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1\"/>
    </mc:Choice>
  </mc:AlternateContent>
  <bookViews>
    <workbookView xWindow="0" yWindow="0" windowWidth="20490" windowHeight="6750"/>
  </bookViews>
  <sheets>
    <sheet name="DECEMBER 2021" sheetId="1" r:id="rId1"/>
    <sheet name="Market Share" sheetId="2" r:id="rId2"/>
    <sheet name="Unit Holders" sheetId="3" r:id="rId3"/>
    <sheet name="NAV Comparison Oct - Dec '21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X17" i="1" l="1"/>
  <c r="W17" i="1"/>
  <c r="V17" i="1"/>
  <c r="U17" i="1"/>
  <c r="T17" i="1"/>
  <c r="Z89" i="1" l="1"/>
  <c r="Y89" i="1"/>
  <c r="Z85" i="1"/>
  <c r="Y85" i="1"/>
  <c r="K85" i="1"/>
  <c r="L85" i="1"/>
  <c r="K39" i="1"/>
  <c r="K64" i="1" l="1"/>
  <c r="K5" i="1"/>
  <c r="O85" i="1" l="1"/>
  <c r="N85" i="1"/>
  <c r="M85" i="1"/>
  <c r="J85" i="1"/>
  <c r="F85" i="1"/>
  <c r="G85" i="1"/>
  <c r="G88" i="1"/>
  <c r="AA5" i="1"/>
  <c r="AA39" i="1"/>
  <c r="AA64" i="1"/>
  <c r="AA123" i="1"/>
  <c r="Z96" i="1" l="1"/>
  <c r="Y96" i="1"/>
  <c r="R96" i="1"/>
  <c r="O96" i="1"/>
  <c r="N96" i="1"/>
  <c r="M96" i="1"/>
  <c r="K96" i="1"/>
  <c r="L96" i="1"/>
  <c r="J96" i="1"/>
  <c r="G96" i="1"/>
  <c r="F96" i="1"/>
  <c r="G94" i="1" l="1"/>
  <c r="G98" i="1"/>
  <c r="Z95" i="1"/>
  <c r="Y95" i="1"/>
  <c r="R95" i="1"/>
  <c r="O95" i="1"/>
  <c r="N95" i="1"/>
  <c r="M95" i="1"/>
  <c r="L95" i="1"/>
  <c r="K95" i="1"/>
  <c r="J95" i="1"/>
  <c r="G95" i="1"/>
  <c r="J128" i="1"/>
  <c r="F92" i="1"/>
  <c r="J47" i="1"/>
  <c r="X35" i="1"/>
  <c r="V34" i="1"/>
  <c r="V35" i="1"/>
  <c r="Z87" i="1"/>
  <c r="Y87" i="1"/>
  <c r="Z88" i="1"/>
  <c r="Y88" i="1"/>
  <c r="R88" i="1"/>
  <c r="O88" i="1"/>
  <c r="N88" i="1"/>
  <c r="M88" i="1"/>
  <c r="L88" i="1"/>
  <c r="K88" i="1"/>
  <c r="J88" i="1"/>
  <c r="O84" i="1"/>
  <c r="P88" i="1"/>
  <c r="P84" i="1"/>
  <c r="Z84" i="1"/>
  <c r="Y84" i="1"/>
  <c r="R84" i="1"/>
  <c r="N84" i="1"/>
  <c r="M84" i="1"/>
  <c r="L84" i="1"/>
  <c r="K84" i="1"/>
  <c r="J84" i="1"/>
  <c r="G84" i="1"/>
  <c r="F93" i="1"/>
  <c r="I25" i="1"/>
  <c r="Z92" i="1" l="1"/>
  <c r="Y92" i="1"/>
  <c r="R92" i="1"/>
  <c r="O92" i="1"/>
  <c r="N92" i="1"/>
  <c r="M92" i="1"/>
  <c r="L92" i="1"/>
  <c r="K92" i="1"/>
  <c r="J92" i="1"/>
  <c r="G92" i="1"/>
  <c r="J126" i="1" l="1"/>
  <c r="I32" i="1"/>
  <c r="I41" i="1"/>
  <c r="I144" i="1"/>
  <c r="V42" i="1"/>
  <c r="V48" i="1"/>
  <c r="V118" i="1"/>
  <c r="X117" i="1"/>
  <c r="X119" i="1"/>
  <c r="Z93" i="1"/>
  <c r="Y93" i="1"/>
  <c r="R93" i="1"/>
  <c r="O93" i="1"/>
  <c r="N93" i="1"/>
  <c r="M93" i="1"/>
  <c r="L93" i="1"/>
  <c r="K93" i="1"/>
  <c r="J93" i="1"/>
  <c r="G93" i="1"/>
  <c r="AA30" i="1"/>
  <c r="Z98" i="1"/>
  <c r="Y98" i="1"/>
  <c r="X95" i="1"/>
  <c r="W95" i="1"/>
  <c r="J94" i="1"/>
  <c r="K94" i="1"/>
  <c r="L94" i="1"/>
  <c r="M94" i="1"/>
  <c r="X94" i="1" s="1"/>
  <c r="N94" i="1"/>
  <c r="O94" i="1"/>
  <c r="R94" i="1"/>
  <c r="Z94" i="1"/>
  <c r="Y94" i="1"/>
  <c r="AA94" i="1"/>
  <c r="W98" i="1"/>
  <c r="R98" i="1"/>
  <c r="O98" i="1"/>
  <c r="N98" i="1"/>
  <c r="M98" i="1"/>
  <c r="X98" i="1" s="1"/>
  <c r="L98" i="1"/>
  <c r="U98" i="1" s="1"/>
  <c r="K98" i="1"/>
  <c r="V98" i="1" l="1"/>
  <c r="I48" i="1"/>
  <c r="AA137" i="1" l="1"/>
  <c r="I137" i="1"/>
  <c r="I68" i="1"/>
  <c r="P105" i="1" l="1"/>
  <c r="P98" i="1"/>
  <c r="P96" i="1"/>
  <c r="P95" i="1"/>
  <c r="P94" i="1"/>
  <c r="P93" i="1"/>
  <c r="P92" i="1"/>
  <c r="P85" i="1"/>
  <c r="P99" i="1" l="1"/>
  <c r="T76" i="1"/>
  <c r="T70" i="1"/>
  <c r="T132" i="1"/>
  <c r="R129" i="1" l="1"/>
  <c r="E146" i="1" l="1"/>
  <c r="AA134" i="1"/>
  <c r="R134" i="1"/>
  <c r="S132" i="1" s="1"/>
  <c r="P134" i="1"/>
  <c r="S133" i="1" l="1"/>
  <c r="S131" i="1"/>
  <c r="Q132" i="1"/>
  <c r="Q133" i="1"/>
  <c r="Q131" i="1"/>
  <c r="T134" i="1"/>
  <c r="AA145" i="1"/>
  <c r="R145" i="1"/>
  <c r="P145" i="1"/>
  <c r="AA99" i="1"/>
  <c r="R99" i="1"/>
  <c r="AA79" i="1"/>
  <c r="R79" i="1"/>
  <c r="P79" i="1"/>
  <c r="S93" i="1" l="1"/>
  <c r="S85" i="1"/>
  <c r="S94" i="1"/>
  <c r="S86" i="1"/>
  <c r="S87" i="1"/>
  <c r="S96" i="1"/>
  <c r="S88" i="1"/>
  <c r="S95" i="1"/>
  <c r="S97" i="1"/>
  <c r="S89" i="1"/>
  <c r="S98" i="1"/>
  <c r="S82" i="1"/>
  <c r="S83" i="1"/>
  <c r="S84" i="1"/>
  <c r="S61" i="1"/>
  <c r="S69" i="1"/>
  <c r="S77" i="1"/>
  <c r="S63" i="1"/>
  <c r="S71" i="1"/>
  <c r="S54" i="1"/>
  <c r="S62" i="1"/>
  <c r="S70" i="1"/>
  <c r="S78" i="1"/>
  <c r="S55" i="1"/>
  <c r="S53" i="1"/>
  <c r="S56" i="1"/>
  <c r="S64" i="1"/>
  <c r="S72" i="1"/>
  <c r="S65" i="1"/>
  <c r="S73" i="1"/>
  <c r="S75" i="1"/>
  <c r="S57" i="1"/>
  <c r="S67" i="1"/>
  <c r="S58" i="1"/>
  <c r="S66" i="1"/>
  <c r="S74" i="1"/>
  <c r="S59" i="1"/>
  <c r="S60" i="1"/>
  <c r="S68" i="1"/>
  <c r="S76" i="1"/>
  <c r="S142" i="1"/>
  <c r="S143" i="1"/>
  <c r="S144" i="1"/>
  <c r="S141" i="1"/>
  <c r="S138" i="1"/>
  <c r="Q142" i="1"/>
  <c r="Q143" i="1"/>
  <c r="Q144" i="1"/>
  <c r="Q141" i="1"/>
  <c r="Q138" i="1"/>
  <c r="Q98" i="1"/>
  <c r="Q89" i="1"/>
  <c r="Q92" i="1"/>
  <c r="Q82" i="1"/>
  <c r="Q96" i="1"/>
  <c r="Q83" i="1"/>
  <c r="Q93" i="1"/>
  <c r="Q84" i="1"/>
  <c r="Q88" i="1"/>
  <c r="Q94" i="1"/>
  <c r="Q85" i="1"/>
  <c r="Q95" i="1"/>
  <c r="Q86" i="1"/>
  <c r="Q87" i="1"/>
  <c r="Q97" i="1"/>
  <c r="Q59" i="1"/>
  <c r="Q60" i="1"/>
  <c r="Q68" i="1"/>
  <c r="Q76" i="1"/>
  <c r="Q62" i="1"/>
  <c r="Q70" i="1"/>
  <c r="Q63" i="1"/>
  <c r="Q71" i="1"/>
  <c r="Q61" i="1"/>
  <c r="Q69" i="1"/>
  <c r="Q77" i="1"/>
  <c r="Q54" i="1"/>
  <c r="Q78" i="1"/>
  <c r="Q55" i="1"/>
  <c r="Q53" i="1"/>
  <c r="Q67" i="1"/>
  <c r="Q56" i="1"/>
  <c r="Q64" i="1"/>
  <c r="Q72" i="1"/>
  <c r="Q57" i="1"/>
  <c r="Q65" i="1"/>
  <c r="Q73" i="1"/>
  <c r="Q58" i="1"/>
  <c r="Q66" i="1"/>
  <c r="Q74" i="1"/>
  <c r="Q75" i="1"/>
  <c r="X123" i="1"/>
  <c r="W123" i="1"/>
  <c r="V123" i="1"/>
  <c r="U123" i="1"/>
  <c r="T123" i="1"/>
  <c r="X122" i="1"/>
  <c r="W122" i="1"/>
  <c r="V122" i="1"/>
  <c r="U122" i="1"/>
  <c r="T122" i="1"/>
  <c r="X97" i="1" l="1"/>
  <c r="W97" i="1"/>
  <c r="V97" i="1"/>
  <c r="U97" i="1"/>
  <c r="T97" i="1"/>
  <c r="W96" i="1"/>
  <c r="X96" i="1"/>
  <c r="X89" i="1"/>
  <c r="W89" i="1"/>
  <c r="V89" i="1"/>
  <c r="U89" i="1"/>
  <c r="T89" i="1"/>
  <c r="W88" i="1"/>
  <c r="X88" i="1"/>
  <c r="X87" i="1"/>
  <c r="W87" i="1"/>
  <c r="V87" i="1"/>
  <c r="U87" i="1"/>
  <c r="T87" i="1"/>
  <c r="X86" i="1"/>
  <c r="W86" i="1"/>
  <c r="V86" i="1"/>
  <c r="U86" i="1"/>
  <c r="T86" i="1"/>
  <c r="X84" i="1"/>
  <c r="X85" i="1"/>
  <c r="X83" i="1"/>
  <c r="W83" i="1"/>
  <c r="V83" i="1"/>
  <c r="U83" i="1"/>
  <c r="T83" i="1"/>
  <c r="X82" i="1"/>
  <c r="W82" i="1"/>
  <c r="V82" i="1"/>
  <c r="U82" i="1"/>
  <c r="T82" i="1"/>
  <c r="U95" i="1" l="1"/>
  <c r="W94" i="1"/>
  <c r="U96" i="1"/>
  <c r="V95" i="1"/>
  <c r="V94" i="1"/>
  <c r="T96" i="1"/>
  <c r="T95" i="1"/>
  <c r="T94" i="1"/>
  <c r="U94" i="1"/>
  <c r="V96" i="1"/>
  <c r="U85" i="1"/>
  <c r="U88" i="1"/>
  <c r="T84" i="1"/>
  <c r="W84" i="1"/>
  <c r="U84" i="1"/>
  <c r="T88" i="1"/>
  <c r="V85" i="1"/>
  <c r="V88" i="1"/>
  <c r="W85" i="1"/>
  <c r="V84" i="1"/>
  <c r="T85" i="1"/>
  <c r="P129" i="1" l="1"/>
  <c r="T144" i="1"/>
  <c r="U137" i="1"/>
  <c r="U132" i="1"/>
  <c r="U133" i="1"/>
  <c r="U138" i="1"/>
  <c r="U142" i="1"/>
  <c r="U143" i="1"/>
  <c r="U144" i="1"/>
  <c r="T124" i="1"/>
  <c r="Q137" i="1"/>
  <c r="T50" i="1"/>
  <c r="T45" i="1"/>
  <c r="P51" i="1"/>
  <c r="P20" i="1"/>
  <c r="Q17" i="1" s="1"/>
  <c r="T58" i="1"/>
  <c r="P146" i="1" l="1"/>
  <c r="S108" i="1"/>
  <c r="S116" i="1"/>
  <c r="S124" i="1"/>
  <c r="S109" i="1"/>
  <c r="S117" i="1"/>
  <c r="S125" i="1"/>
  <c r="S110" i="1"/>
  <c r="S118" i="1"/>
  <c r="S126" i="1"/>
  <c r="S111" i="1"/>
  <c r="S119" i="1"/>
  <c r="S127" i="1"/>
  <c r="S112" i="1"/>
  <c r="S120" i="1"/>
  <c r="S128" i="1"/>
  <c r="S122" i="1"/>
  <c r="S113" i="1"/>
  <c r="S121" i="1"/>
  <c r="S114" i="1"/>
  <c r="S115" i="1"/>
  <c r="S123" i="1"/>
  <c r="Q103" i="1"/>
  <c r="Q102" i="1"/>
  <c r="Q104" i="1"/>
  <c r="Q24" i="1"/>
  <c r="Q25" i="1"/>
  <c r="Q33" i="1"/>
  <c r="Q26" i="1"/>
  <c r="Q34" i="1"/>
  <c r="Q42" i="1"/>
  <c r="Q50" i="1"/>
  <c r="Q38" i="1"/>
  <c r="Q47" i="1"/>
  <c r="Q40" i="1"/>
  <c r="Q27" i="1"/>
  <c r="Q35" i="1"/>
  <c r="Q43" i="1"/>
  <c r="Q23" i="1"/>
  <c r="Q41" i="1"/>
  <c r="Q28" i="1"/>
  <c r="Q36" i="1"/>
  <c r="Q44" i="1"/>
  <c r="Q46" i="1"/>
  <c r="Q39" i="1"/>
  <c r="Q48" i="1"/>
  <c r="Q29" i="1"/>
  <c r="Q37" i="1"/>
  <c r="Q45" i="1"/>
  <c r="Q30" i="1"/>
  <c r="Q31" i="1"/>
  <c r="Q32" i="1"/>
  <c r="Q49" i="1"/>
  <c r="Q6" i="1"/>
  <c r="Q7" i="1"/>
  <c r="Q15" i="1"/>
  <c r="Q10" i="1"/>
  <c r="Q8" i="1"/>
  <c r="Q16" i="1"/>
  <c r="Q9" i="1"/>
  <c r="Q18" i="1"/>
  <c r="Q11" i="1"/>
  <c r="Q19" i="1"/>
  <c r="Q12" i="1"/>
  <c r="Q5" i="1"/>
  <c r="Q13" i="1"/>
  <c r="Q14" i="1"/>
  <c r="S137" i="1"/>
  <c r="Q118" i="1" l="1"/>
  <c r="Q134" i="1"/>
  <c r="Q111" i="1"/>
  <c r="Q119" i="1"/>
  <c r="Q127" i="1"/>
  <c r="Q112" i="1"/>
  <c r="Q120" i="1"/>
  <c r="Q128" i="1"/>
  <c r="Q145" i="1"/>
  <c r="Q113" i="1"/>
  <c r="Q121" i="1"/>
  <c r="Q107" i="1"/>
  <c r="Q51" i="1"/>
  <c r="Q115" i="1"/>
  <c r="Q116" i="1"/>
  <c r="Q114" i="1"/>
  <c r="Q122" i="1"/>
  <c r="Q129" i="1"/>
  <c r="Q108" i="1"/>
  <c r="Q124" i="1"/>
  <c r="Q123" i="1"/>
  <c r="Q109" i="1"/>
  <c r="Q117" i="1"/>
  <c r="Q125" i="1"/>
  <c r="Q105" i="1"/>
  <c r="Q110" i="1"/>
  <c r="Q126" i="1"/>
  <c r="Q99" i="1"/>
  <c r="Q79" i="1"/>
  <c r="Q20" i="1"/>
  <c r="U145" i="1"/>
  <c r="U128" i="1"/>
  <c r="U127" i="1"/>
  <c r="U45" i="1"/>
  <c r="U44" i="1"/>
  <c r="X107" i="1" l="1"/>
  <c r="W120" i="1"/>
  <c r="T19" i="1" l="1"/>
  <c r="U64" i="1"/>
  <c r="U65" i="1"/>
  <c r="X132" i="1" l="1"/>
  <c r="T98" i="1" l="1"/>
  <c r="T57" i="1" l="1"/>
  <c r="X109" i="1"/>
  <c r="T127" i="1"/>
  <c r="T128" i="1"/>
  <c r="T56" i="1"/>
  <c r="AA105" i="1" l="1"/>
  <c r="T18" i="1" l="1"/>
  <c r="AA20" i="1"/>
  <c r="U19" i="1"/>
  <c r="U18" i="1"/>
  <c r="R20" i="1"/>
  <c r="S17" i="1" s="1"/>
  <c r="S7" i="1" l="1"/>
  <c r="S15" i="1"/>
  <c r="S13" i="1"/>
  <c r="S6" i="1"/>
  <c r="S8" i="1"/>
  <c r="S16" i="1"/>
  <c r="S10" i="1"/>
  <c r="S14" i="1"/>
  <c r="S9" i="1"/>
  <c r="S18" i="1"/>
  <c r="S11" i="1"/>
  <c r="S19" i="1"/>
  <c r="S12" i="1"/>
  <c r="S5" i="1"/>
  <c r="T20" i="1"/>
  <c r="X55" i="1" l="1"/>
  <c r="X49" i="1"/>
  <c r="W49" i="1"/>
  <c r="V49" i="1"/>
  <c r="U49" i="1"/>
  <c r="T49" i="1"/>
  <c r="U76" i="1" l="1"/>
  <c r="U28" i="1"/>
  <c r="X76" i="1" l="1"/>
  <c r="W76" i="1"/>
  <c r="V76" i="1"/>
  <c r="T48" i="1" l="1"/>
  <c r="X127" i="1" l="1"/>
  <c r="W127" i="1"/>
  <c r="V127" i="1"/>
  <c r="X56" i="1"/>
  <c r="W56" i="1"/>
  <c r="V56" i="1"/>
  <c r="U56" i="1"/>
  <c r="X48" i="1"/>
  <c r="W48" i="1"/>
  <c r="U48" i="1"/>
  <c r="X143" i="1" l="1"/>
  <c r="W143" i="1"/>
  <c r="V143" i="1"/>
  <c r="T143" i="1"/>
  <c r="X126" i="1" l="1"/>
  <c r="W126" i="1"/>
  <c r="V126" i="1"/>
  <c r="U126" i="1"/>
  <c r="T126" i="1"/>
  <c r="X47" i="1" l="1"/>
  <c r="W47" i="1"/>
  <c r="V47" i="1"/>
  <c r="U47" i="1"/>
  <c r="T47" i="1"/>
  <c r="X103" i="1" l="1"/>
  <c r="W103" i="1"/>
  <c r="V103" i="1"/>
  <c r="U103" i="1"/>
  <c r="T103" i="1"/>
  <c r="X77" i="1" l="1"/>
  <c r="W77" i="1"/>
  <c r="V77" i="1"/>
  <c r="U77" i="1"/>
  <c r="T77" i="1"/>
  <c r="X142" i="1"/>
  <c r="W142" i="1"/>
  <c r="V142" i="1"/>
  <c r="T142" i="1"/>
  <c r="T145" i="1" l="1"/>
  <c r="X144" i="1"/>
  <c r="W144" i="1"/>
  <c r="V144" i="1"/>
  <c r="X138" i="1"/>
  <c r="W138" i="1"/>
  <c r="V138" i="1"/>
  <c r="T138" i="1"/>
  <c r="X133" i="1"/>
  <c r="W133" i="1"/>
  <c r="V133" i="1"/>
  <c r="T133" i="1"/>
  <c r="W132" i="1"/>
  <c r="V132" i="1"/>
  <c r="X137" i="1"/>
  <c r="W137" i="1"/>
  <c r="V137" i="1"/>
  <c r="T137" i="1"/>
  <c r="X131" i="1"/>
  <c r="W131" i="1"/>
  <c r="V131" i="1"/>
  <c r="U131" i="1"/>
  <c r="T131" i="1"/>
  <c r="AA129" i="1"/>
  <c r="X128" i="1"/>
  <c r="W128" i="1"/>
  <c r="V128" i="1"/>
  <c r="X124" i="1"/>
  <c r="W124" i="1"/>
  <c r="V124" i="1"/>
  <c r="U124" i="1"/>
  <c r="X118" i="1"/>
  <c r="W118" i="1"/>
  <c r="U118" i="1"/>
  <c r="T118" i="1"/>
  <c r="W117" i="1"/>
  <c r="U117" i="1"/>
  <c r="T117" i="1"/>
  <c r="X121" i="1"/>
  <c r="W121" i="1"/>
  <c r="V121" i="1"/>
  <c r="U121" i="1"/>
  <c r="T121" i="1"/>
  <c r="X120" i="1"/>
  <c r="V120" i="1"/>
  <c r="U120" i="1"/>
  <c r="T120" i="1"/>
  <c r="X116" i="1"/>
  <c r="W116" i="1"/>
  <c r="V116" i="1"/>
  <c r="U116" i="1"/>
  <c r="T116" i="1"/>
  <c r="W119" i="1"/>
  <c r="V119" i="1"/>
  <c r="U119" i="1"/>
  <c r="T119" i="1"/>
  <c r="X114" i="1"/>
  <c r="W114" i="1"/>
  <c r="V114" i="1"/>
  <c r="U114" i="1"/>
  <c r="T114" i="1"/>
  <c r="X115" i="1"/>
  <c r="W115" i="1"/>
  <c r="V115" i="1"/>
  <c r="U115" i="1"/>
  <c r="T115" i="1"/>
  <c r="X113" i="1"/>
  <c r="W113" i="1"/>
  <c r="V113" i="1"/>
  <c r="U113" i="1"/>
  <c r="T113" i="1"/>
  <c r="X112" i="1"/>
  <c r="W112" i="1"/>
  <c r="V112" i="1"/>
  <c r="U112" i="1"/>
  <c r="T112" i="1"/>
  <c r="X125" i="1"/>
  <c r="W125" i="1"/>
  <c r="V125" i="1"/>
  <c r="U125" i="1"/>
  <c r="T125" i="1"/>
  <c r="X111" i="1"/>
  <c r="W111" i="1"/>
  <c r="V111" i="1"/>
  <c r="U111" i="1"/>
  <c r="T111" i="1"/>
  <c r="X110" i="1"/>
  <c r="W110" i="1"/>
  <c r="V110" i="1"/>
  <c r="U110" i="1"/>
  <c r="T110" i="1"/>
  <c r="W109" i="1"/>
  <c r="V109" i="1"/>
  <c r="U109" i="1"/>
  <c r="T109" i="1"/>
  <c r="X108" i="1"/>
  <c r="W108" i="1"/>
  <c r="V108" i="1"/>
  <c r="U108" i="1"/>
  <c r="T108" i="1"/>
  <c r="W107" i="1"/>
  <c r="V107" i="1"/>
  <c r="U107" i="1"/>
  <c r="T107" i="1"/>
  <c r="R105" i="1"/>
  <c r="Q101" i="1"/>
  <c r="X104" i="1"/>
  <c r="W104" i="1"/>
  <c r="V104" i="1"/>
  <c r="U104" i="1"/>
  <c r="T104" i="1"/>
  <c r="X102" i="1"/>
  <c r="W102" i="1"/>
  <c r="V102" i="1"/>
  <c r="U102" i="1"/>
  <c r="T102" i="1"/>
  <c r="X101" i="1"/>
  <c r="W101" i="1"/>
  <c r="V101" i="1"/>
  <c r="U101" i="1"/>
  <c r="T101" i="1"/>
  <c r="X78" i="1"/>
  <c r="W78" i="1"/>
  <c r="V78" i="1"/>
  <c r="U78" i="1"/>
  <c r="T78" i="1"/>
  <c r="X75" i="1"/>
  <c r="W75" i="1"/>
  <c r="V75" i="1"/>
  <c r="U75" i="1"/>
  <c r="T75" i="1"/>
  <c r="X74" i="1"/>
  <c r="W74" i="1"/>
  <c r="V74" i="1"/>
  <c r="U74" i="1"/>
  <c r="T74" i="1"/>
  <c r="X141" i="1"/>
  <c r="W141" i="1"/>
  <c r="V141" i="1"/>
  <c r="U141" i="1"/>
  <c r="T141" i="1"/>
  <c r="X73" i="1"/>
  <c r="W73" i="1"/>
  <c r="V73" i="1"/>
  <c r="U73" i="1"/>
  <c r="T73" i="1"/>
  <c r="X72" i="1"/>
  <c r="W72" i="1"/>
  <c r="V72" i="1"/>
  <c r="U72" i="1"/>
  <c r="T72" i="1"/>
  <c r="X93" i="1"/>
  <c r="W93" i="1"/>
  <c r="V93" i="1"/>
  <c r="U93" i="1"/>
  <c r="T93" i="1"/>
  <c r="X60" i="1"/>
  <c r="W60" i="1"/>
  <c r="V60" i="1"/>
  <c r="U60" i="1"/>
  <c r="T60" i="1"/>
  <c r="X71" i="1"/>
  <c r="W71" i="1"/>
  <c r="V71" i="1"/>
  <c r="U71" i="1"/>
  <c r="T71" i="1"/>
  <c r="X70" i="1"/>
  <c r="W70" i="1"/>
  <c r="V70" i="1"/>
  <c r="U70" i="1"/>
  <c r="X92" i="1"/>
  <c r="W92" i="1"/>
  <c r="V92" i="1"/>
  <c r="U92" i="1"/>
  <c r="T92" i="1"/>
  <c r="X69" i="1"/>
  <c r="W69" i="1"/>
  <c r="V69" i="1"/>
  <c r="U69" i="1"/>
  <c r="T69" i="1"/>
  <c r="X67" i="1"/>
  <c r="W67" i="1"/>
  <c r="V67" i="1"/>
  <c r="U67" i="1"/>
  <c r="T67" i="1"/>
  <c r="X68" i="1"/>
  <c r="W68" i="1"/>
  <c r="V68" i="1"/>
  <c r="U68" i="1"/>
  <c r="T68" i="1"/>
  <c r="X66" i="1"/>
  <c r="W66" i="1"/>
  <c r="V66" i="1"/>
  <c r="U66" i="1"/>
  <c r="T66" i="1"/>
  <c r="X65" i="1"/>
  <c r="W65" i="1"/>
  <c r="V65" i="1"/>
  <c r="T65" i="1"/>
  <c r="X64" i="1"/>
  <c r="W64" i="1"/>
  <c r="V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59" i="1"/>
  <c r="W59" i="1"/>
  <c r="V59" i="1"/>
  <c r="U59" i="1"/>
  <c r="T59" i="1"/>
  <c r="X58" i="1"/>
  <c r="W58" i="1"/>
  <c r="V58" i="1"/>
  <c r="U58" i="1"/>
  <c r="X57" i="1"/>
  <c r="W57" i="1"/>
  <c r="V57" i="1"/>
  <c r="U57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AA51" i="1"/>
  <c r="R51" i="1"/>
  <c r="X50" i="1"/>
  <c r="W50" i="1"/>
  <c r="V50" i="1"/>
  <c r="U50" i="1"/>
  <c r="X46" i="1"/>
  <c r="W46" i="1"/>
  <c r="V46" i="1"/>
  <c r="U46" i="1"/>
  <c r="T46" i="1"/>
  <c r="X45" i="1"/>
  <c r="W45" i="1"/>
  <c r="V45" i="1"/>
  <c r="X44" i="1"/>
  <c r="W44" i="1"/>
  <c r="V44" i="1"/>
  <c r="T44" i="1"/>
  <c r="X43" i="1"/>
  <c r="W43" i="1"/>
  <c r="V43" i="1"/>
  <c r="U43" i="1"/>
  <c r="T43" i="1"/>
  <c r="X42" i="1"/>
  <c r="W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W35" i="1"/>
  <c r="U35" i="1"/>
  <c r="T35" i="1"/>
  <c r="X34" i="1"/>
  <c r="W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18" i="1"/>
  <c r="W18" i="1"/>
  <c r="V18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R146" i="1" l="1"/>
  <c r="S51" i="1" s="1"/>
  <c r="AA146" i="1"/>
  <c r="S102" i="1"/>
  <c r="S104" i="1"/>
  <c r="S103" i="1"/>
  <c r="S29" i="1"/>
  <c r="S37" i="1"/>
  <c r="S45" i="1"/>
  <c r="S40" i="1"/>
  <c r="S42" i="1"/>
  <c r="S30" i="1"/>
  <c r="S38" i="1"/>
  <c r="S46" i="1"/>
  <c r="S24" i="1"/>
  <c r="S23" i="1"/>
  <c r="S31" i="1"/>
  <c r="S39" i="1"/>
  <c r="S47" i="1"/>
  <c r="S32" i="1"/>
  <c r="S48" i="1"/>
  <c r="S50" i="1"/>
  <c r="S25" i="1"/>
  <c r="S33" i="1"/>
  <c r="S41" i="1"/>
  <c r="S49" i="1"/>
  <c r="S26" i="1"/>
  <c r="S34" i="1"/>
  <c r="S27" i="1"/>
  <c r="S35" i="1"/>
  <c r="S43" i="1"/>
  <c r="S28" i="1"/>
  <c r="S36" i="1"/>
  <c r="S44" i="1"/>
  <c r="T79" i="1"/>
  <c r="S92" i="1"/>
  <c r="S101" i="1"/>
  <c r="S107" i="1"/>
  <c r="Q4" i="1"/>
  <c r="Q22" i="1"/>
  <c r="T129" i="1"/>
  <c r="S22" i="1"/>
  <c r="T99" i="1"/>
  <c r="T51" i="1"/>
  <c r="S4" i="1"/>
  <c r="T105" i="1"/>
  <c r="S79" i="1" l="1"/>
  <c r="S99" i="1"/>
  <c r="S105" i="1"/>
  <c r="S20" i="1"/>
  <c r="S129" i="1"/>
  <c r="S145" i="1"/>
  <c r="S134" i="1"/>
  <c r="V117" i="1"/>
</calcChain>
</file>

<file path=xl/sharedStrings.xml><?xml version="1.0" encoding="utf-8"?>
<sst xmlns="http://schemas.openxmlformats.org/spreadsheetml/2006/main" count="313" uniqueCount="226">
  <si>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</si>
  <si>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</si>
  <si>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</si>
  <si>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</si>
  <si>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</si>
  <si>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</si>
  <si>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</si>
  <si>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</si>
  <si>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</si>
  <si>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</si>
  <si>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</si>
  <si>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</si>
  <si>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</si>
  <si>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</si>
  <si>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</si>
  <si>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</si>
  <si>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</si>
  <si>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</si>
  <si>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</si>
  <si>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</si>
  <si>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</si>
  <si>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</si>
  <si>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</si>
  <si>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</si>
  <si>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</si>
  <si>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</si>
  <si>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</si>
  <si>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</si>
  <si>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</si>
  <si>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</si>
  <si>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</si>
  <si>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</si>
  <si>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</si>
  <si>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</si>
  <si>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</si>
  <si>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</si>
  <si>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</si>
  <si>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</si>
  <si>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</si>
  <si>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</si>
  <si>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</si>
  <si>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</si>
  <si>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</si>
  <si>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</si>
  <si>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</si>
  <si>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</si>
  <si>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</si>
  <si>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</si>
  <si>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</si>
  <si>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</si>
  <si>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</si>
  <si>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</si>
  <si>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</si>
  <si>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</si>
  <si>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</si>
  <si>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</si>
  <si>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</si>
  <si>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</si>
  <si>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</si>
  <si>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</si>
  <si>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</si>
  <si>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</si>
  <si>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</si>
  <si>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</si>
  <si>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</si>
  <si>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</si>
  <si>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</si>
  <si>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</si>
  <si>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</si>
  <si>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</si>
  <si>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</si>
  <si>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</si>
  <si>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</si>
  <si>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</si>
  <si>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</si>
  <si>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</si>
  <si>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</si>
  <si>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</si>
  <si>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</si>
  <si>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</si>
  <si>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</si>
  <si>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</si>
  <si>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</si>
  <si>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</si>
  <si>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</si>
  <si>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</si>
  <si>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</si>
  <si>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</si>
  <si>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</si>
  <si>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</si>
  <si>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</si>
  <si>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</si>
  <si>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</si>
  <si>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</si>
  <si>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</si>
  <si>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</si>
  <si>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</si>
  <si>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</si>
  <si>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</si>
  <si>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</si>
  <si>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</si>
  <si>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</si>
  <si>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</si>
  <si>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</si>
  <si>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</si>
  <si>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</si>
  <si>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</si>
  <si>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</si>
  <si>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</si>
  <si>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</si>
  <si>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</si>
  <si>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</si>
  <si>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</si>
  <si>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</si>
  <si>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</si>
  <si>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</si>
  <si>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</si>
  <si>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</si>
  <si>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</si>
  <si>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</si>
  <si>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</si>
  <si>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</si>
  <si>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</si>
  <si>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</si>
  <si>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</si>
  <si>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</si>
  <si>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</si>
  <si>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</si>
  <si>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</si>
  <si>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</si>
  <si>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</si>
  <si>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</si>
  <si>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</si>
  <si>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</si>
  <si>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</si>
  <si>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</si>
  <si>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</si>
  <si>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</si>
  <si>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</si>
  <si>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</si>
  <si>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</si>
  <si>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</si>
  <si>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</si>
  <si>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</si>
  <si>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</si>
  <si>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</si>
  <si>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</si>
  <si>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</si>
  <si>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</si>
  <si>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</si>
  <si>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</si>
  <si>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</si>
  <si>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</si>
  <si>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</si>
  <si>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</si>
  <si>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</si>
  <si>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</si>
  <si>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</si>
  <si>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</si>
  <si>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</si>
  <si>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</si>
  <si>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</si>
  <si>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</si>
  <si>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</si>
  <si>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</si>
  <si>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</si>
  <si>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</si>
  <si>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</si>
  <si>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</si>
  <si>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</si>
  <si>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</si>
  <si>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</si>
  <si>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</si>
  <si>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</si>
  <si>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</si>
  <si>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</si>
  <si>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</si>
  <si>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</si>
  <si>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</si>
  <si>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</si>
  <si>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</si>
  <si>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</si>
  <si>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DOLLAR FUNDS (EUROBONDS)</t>
  </si>
  <si>
    <t>DOLLAR FUND</t>
  </si>
  <si>
    <t>DOLLAR FUNDS (FIXED INCOME)</t>
  </si>
  <si>
    <t>FBN Eurobond Fund (Retail)</t>
  </si>
  <si>
    <t>FBN Eurobond Fund (Institutional)</t>
  </si>
  <si>
    <t>FBNQuest Asset Management Limited</t>
  </si>
  <si>
    <t>First City Asset Management Ltd.</t>
  </si>
  <si>
    <t>Nigeria Dollar Income Fund</t>
  </si>
  <si>
    <t>MIXED FUNDS</t>
  </si>
  <si>
    <t>ESG Impact Fund</t>
  </si>
  <si>
    <t>SHARI'AH COMPLIANT FUNDS</t>
  </si>
  <si>
    <t>SHARI'AH COMPLIANT FUNDS (EQUITIES)</t>
  </si>
  <si>
    <t>SHARI'AH COMPLIANT FUNDS (FIXED INCOME)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</si>
  <si>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</si>
  <si>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</si>
  <si>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</si>
  <si>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</si>
  <si>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</si>
  <si>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EDC Fixed Income Fund</t>
  </si>
  <si>
    <t>Balanced Strategy Fund</t>
  </si>
  <si>
    <t>NOVA Hybrid Balanced Fund</t>
  </si>
  <si>
    <t>Emerging Africa Balanced-Diversity Fund (Gender/Diversity)</t>
  </si>
  <si>
    <t>72a</t>
  </si>
  <si>
    <t>72b</t>
  </si>
  <si>
    <t>S/N</t>
  </si>
  <si>
    <t>Stanbic IBTC Asset Management Limited</t>
  </si>
  <si>
    <t>6,930,096,964</t>
  </si>
  <si>
    <t>7,624,245,906</t>
  </si>
  <si>
    <t>57,068,807</t>
  </si>
  <si>
    <t>1,651,054,398.73</t>
  </si>
  <si>
    <t>1,626,836,507.53</t>
  </si>
  <si>
    <t>29,800,115,906.26</t>
  </si>
  <si>
    <t>138,937,321.13</t>
  </si>
  <si>
    <t xml:space="preserve">Nigerian Eurobond Fund </t>
  </si>
  <si>
    <t xml:space="preserve">53,524,301.69	</t>
  </si>
  <si>
    <t>-</t>
  </si>
  <si>
    <t>430,716,231.92</t>
  </si>
  <si>
    <t>2,252,787,256.37</t>
  </si>
  <si>
    <t>21,321,543.19</t>
  </si>
  <si>
    <t>402,256,108.08</t>
  </si>
  <si>
    <t>10,450,423,611.55</t>
  </si>
  <si>
    <t>63,958,010.61</t>
  </si>
  <si>
    <t>NET ASSET VALUE  (N) PREVIOUS (NOVEMBER)</t>
  </si>
  <si>
    <t>SPREADSHEET OF REGISTERED MUTUAL FUNDS AS AT 31ST DECEMBER,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</si>
</sst>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  <numFmt numFmtId="167" formatCode="_-* #,##0_-;\-* #,##0_-;_-* &quot;-&quot;??_-;_-@_-"/>
  </numFmts>
  <fonts count="24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1"/>
      <color indexed="8"/>
      <name val="Calibri"/>
      <family val="2"/>
    </font>
    <font>
      <b/>
      <sz val="8"/>
      <name val="Trebuchet MS"/>
      <family val="2"/>
    </font>
    <font>
      <sz val="8"/>
      <color theme="1"/>
      <name val="Trebuchet MS"/>
      <family val="2"/>
    </font>
    <font>
      <sz val="9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9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4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165" fontId="3" fillId="2" borderId="3" xfId="0" applyNumberFormat="1" applyFont="1" applyFill="1" applyBorder="1" applyAlignment="1"/>
    <xf numFmtId="0" fontId="0" fillId="2" borderId="8" xfId="0" applyNumberFormat="1" applyFont="1" applyFill="1" applyBorder="1" applyAlignment="1"/>
    <xf numFmtId="0" fontId="2" fillId="2" borderId="6" xfId="0" applyNumberFormat="1" applyFont="1" applyFill="1" applyBorder="1" applyAlignment="1"/>
    <xf numFmtId="0" fontId="2" fillId="2" borderId="7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10" xfId="0" applyNumberFormat="1" applyFont="1" applyFill="1" applyBorder="1" applyAlignment="1"/>
    <xf numFmtId="0" fontId="2" fillId="2" borderId="4" xfId="0" applyNumberFormat="1" applyFont="1" applyFill="1" applyBorder="1" applyAlignment="1"/>
    <xf numFmtId="165" fontId="3" fillId="2" borderId="13" xfId="0" applyNumberFormat="1" applyFont="1" applyFill="1" applyBorder="1" applyAlignment="1"/>
    <xf numFmtId="164" fontId="3" fillId="2" borderId="13" xfId="0" applyNumberFormat="1" applyFont="1" applyFill="1" applyBorder="1" applyAlignment="1"/>
    <xf numFmtId="0" fontId="0" fillId="2" borderId="9" xfId="0" applyNumberFormat="1" applyFont="1" applyFill="1" applyBorder="1" applyAlignment="1"/>
    <xf numFmtId="165" fontId="2" fillId="2" borderId="10" xfId="0" applyNumberFormat="1" applyFont="1" applyFill="1" applyBorder="1" applyAlignment="1"/>
    <xf numFmtId="165" fontId="2" fillId="2" borderId="4" xfId="0" applyNumberFormat="1" applyFont="1" applyFill="1" applyBorder="1" applyAlignment="1"/>
    <xf numFmtId="3" fontId="2" fillId="2" borderId="10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0" fillId="0" borderId="0" xfId="0" applyNumberFormat="1" applyFont="1" applyAlignment="1"/>
    <xf numFmtId="0" fontId="0" fillId="2" borderId="17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18" xfId="0" applyNumberFormat="1" applyFont="1" applyFill="1" applyBorder="1" applyAlignment="1"/>
    <xf numFmtId="4" fontId="2" fillId="2" borderId="6" xfId="0" applyNumberFormat="1" applyFont="1" applyFill="1" applyBorder="1" applyAlignment="1"/>
    <xf numFmtId="4" fontId="0" fillId="2" borderId="11" xfId="0" applyNumberFormat="1" applyFont="1" applyFill="1" applyBorder="1" applyAlignment="1"/>
    <xf numFmtId="165" fontId="5" fillId="2" borderId="11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6" xfId="0" applyNumberFormat="1" applyFont="1" applyFill="1" applyBorder="1" applyAlignment="1"/>
    <xf numFmtId="165" fontId="1" fillId="2" borderId="11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6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0" fillId="2" borderId="21" xfId="0" applyNumberFormat="1" applyFont="1" applyFill="1" applyBorder="1" applyAlignment="1"/>
    <xf numFmtId="4" fontId="2" fillId="2" borderId="11" xfId="0" applyNumberFormat="1" applyFont="1" applyFill="1" applyBorder="1" applyAlignment="1"/>
    <xf numFmtId="165" fontId="3" fillId="2" borderId="19" xfId="0" applyNumberFormat="1" applyFont="1" applyFill="1" applyBorder="1" applyAlignment="1"/>
    <xf numFmtId="4" fontId="3" fillId="2" borderId="19" xfId="0" applyNumberFormat="1" applyFont="1" applyFill="1" applyBorder="1" applyAlignment="1"/>
    <xf numFmtId="4" fontId="3" fillId="5" borderId="19" xfId="0" applyNumberFormat="1" applyFont="1" applyFill="1" applyBorder="1" applyAlignment="1"/>
    <xf numFmtId="165" fontId="3" fillId="7" borderId="19" xfId="0" applyNumberFormat="1" applyFont="1" applyFill="1" applyBorder="1" applyAlignment="1">
      <alignment horizontal="left"/>
    </xf>
    <xf numFmtId="10" fontId="3" fillId="6" borderId="19" xfId="0" applyNumberFormat="1" applyFont="1" applyFill="1" applyBorder="1" applyAlignment="1"/>
    <xf numFmtId="10" fontId="3" fillId="4" borderId="19" xfId="0" applyNumberFormat="1" applyFont="1" applyFill="1" applyBorder="1" applyAlignment="1"/>
    <xf numFmtId="10" fontId="3" fillId="3" borderId="19" xfId="0" applyNumberFormat="1" applyFont="1" applyFill="1" applyBorder="1" applyAlignment="1">
      <alignment horizontal="right" vertical="center"/>
    </xf>
    <xf numFmtId="165" fontId="3" fillId="3" borderId="19" xfId="0" applyNumberFormat="1" applyFont="1" applyFill="1" applyBorder="1" applyAlignment="1">
      <alignment horizontal="right" vertical="center"/>
    </xf>
    <xf numFmtId="164" fontId="3" fillId="2" borderId="19" xfId="0" applyNumberFormat="1" applyFont="1" applyFill="1" applyBorder="1" applyAlignment="1"/>
    <xf numFmtId="165" fontId="3" fillId="2" borderId="19" xfId="0" applyNumberFormat="1" applyFont="1" applyFill="1" applyBorder="1" applyAlignment="1">
      <alignment horizontal="left"/>
    </xf>
    <xf numFmtId="165" fontId="3" fillId="5" borderId="19" xfId="0" applyNumberFormat="1" applyFont="1" applyFill="1" applyBorder="1" applyAlignment="1"/>
    <xf numFmtId="0" fontId="3" fillId="2" borderId="19" xfId="0" applyNumberFormat="1" applyFont="1" applyFill="1" applyBorder="1" applyAlignment="1"/>
    <xf numFmtId="165" fontId="3" fillId="7" borderId="19" xfId="0" applyNumberFormat="1" applyFont="1" applyFill="1" applyBorder="1" applyAlignment="1"/>
    <xf numFmtId="164" fontId="3" fillId="2" borderId="19" xfId="0" applyNumberFormat="1" applyFont="1" applyFill="1" applyBorder="1" applyAlignment="1">
      <alignment horizontal="left"/>
    </xf>
    <xf numFmtId="10" fontId="6" fillId="3" borderId="19" xfId="0" applyNumberFormat="1" applyFont="1" applyFill="1" applyBorder="1" applyAlignment="1">
      <alignment horizontal="right" vertical="center"/>
    </xf>
    <xf numFmtId="165" fontId="6" fillId="3" borderId="19" xfId="0" applyNumberFormat="1" applyFont="1" applyFill="1" applyBorder="1" applyAlignment="1">
      <alignment horizontal="right" vertical="center"/>
    </xf>
    <xf numFmtId="165" fontId="4" fillId="2" borderId="19" xfId="0" applyNumberFormat="1" applyFont="1" applyFill="1" applyBorder="1" applyAlignment="1">
      <alignment vertical="top" wrapText="1"/>
    </xf>
    <xf numFmtId="49" fontId="4" fillId="2" borderId="19" xfId="0" applyNumberFormat="1" applyFont="1" applyFill="1" applyBorder="1" applyAlignment="1">
      <alignment horizontal="right"/>
    </xf>
    <xf numFmtId="165" fontId="4" fillId="2" borderId="19" xfId="0" applyNumberFormat="1" applyFont="1" applyFill="1" applyBorder="1" applyAlignment="1"/>
    <xf numFmtId="165" fontId="4" fillId="7" borderId="19" xfId="0" applyNumberFormat="1" applyFont="1" applyFill="1" applyBorder="1" applyAlignment="1"/>
    <xf numFmtId="10" fontId="4" fillId="4" borderId="19" xfId="0" applyNumberFormat="1" applyFont="1" applyFill="1" applyBorder="1" applyAlignment="1"/>
    <xf numFmtId="10" fontId="4" fillId="3" borderId="19" xfId="0" applyNumberFormat="1" applyFont="1" applyFill="1" applyBorder="1" applyAlignment="1">
      <alignment horizontal="right" vertical="center"/>
    </xf>
    <xf numFmtId="165" fontId="4" fillId="3" borderId="19" xfId="0" applyNumberFormat="1" applyFont="1" applyFill="1" applyBorder="1" applyAlignment="1">
      <alignment horizontal="right" vertical="center"/>
    </xf>
    <xf numFmtId="164" fontId="4" fillId="2" borderId="19" xfId="0" applyNumberFormat="1" applyFont="1" applyFill="1" applyBorder="1" applyAlignment="1"/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Font="1" applyBorder="1" applyAlignment="1"/>
    <xf numFmtId="3" fontId="3" fillId="2" borderId="19" xfId="0" applyNumberFormat="1" applyFont="1" applyFill="1" applyBorder="1" applyAlignment="1"/>
    <xf numFmtId="165" fontId="3" fillId="5" borderId="19" xfId="0" applyNumberFormat="1" applyFont="1" applyFill="1" applyBorder="1" applyAlignment="1">
      <alignment horizontal="left"/>
    </xf>
    <xf numFmtId="165" fontId="4" fillId="2" borderId="19" xfId="0" applyNumberFormat="1" applyFont="1" applyFill="1" applyBorder="1" applyAlignment="1">
      <alignment wrapText="1"/>
    </xf>
    <xf numFmtId="165" fontId="3" fillId="4" borderId="19" xfId="0" applyNumberFormat="1" applyFont="1" applyFill="1" applyBorder="1" applyAlignment="1"/>
    <xf numFmtId="10" fontId="3" fillId="4" borderId="19" xfId="0" applyNumberFormat="1" applyFont="1" applyFill="1" applyBorder="1" applyAlignment="1">
      <alignment horizontal="right" vertical="center"/>
    </xf>
    <xf numFmtId="165" fontId="3" fillId="4" borderId="19" xfId="0" applyNumberFormat="1" applyFont="1" applyFill="1" applyBorder="1" applyAlignment="1">
      <alignment horizontal="right" vertical="center"/>
    </xf>
    <xf numFmtId="165" fontId="6" fillId="2" borderId="19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right"/>
    </xf>
    <xf numFmtId="43" fontId="3" fillId="5" borderId="19" xfId="1" applyFont="1" applyFill="1" applyBorder="1" applyAlignment="1">
      <alignment horizontal="right"/>
    </xf>
    <xf numFmtId="10" fontId="10" fillId="9" borderId="19" xfId="0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/>
    </xf>
    <xf numFmtId="165" fontId="3" fillId="0" borderId="19" xfId="0" applyNumberFormat="1" applyFont="1" applyFill="1" applyBorder="1" applyAlignment="1"/>
    <xf numFmtId="4" fontId="3" fillId="0" borderId="19" xfId="0" applyNumberFormat="1" applyFont="1" applyFill="1" applyBorder="1" applyAlignment="1"/>
    <xf numFmtId="165" fontId="3" fillId="0" borderId="19" xfId="0" applyNumberFormat="1" applyFont="1" applyFill="1" applyBorder="1" applyAlignment="1">
      <alignment horizontal="left"/>
    </xf>
    <xf numFmtId="165" fontId="4" fillId="0" borderId="19" xfId="0" applyNumberFormat="1" applyFont="1" applyFill="1" applyBorder="1" applyAlignment="1"/>
    <xf numFmtId="49" fontId="3" fillId="0" borderId="19" xfId="0" applyNumberFormat="1" applyFont="1" applyFill="1" applyBorder="1" applyAlignment="1"/>
    <xf numFmtId="49" fontId="3" fillId="0" borderId="19" xfId="0" applyNumberFormat="1" applyFont="1" applyFill="1" applyBorder="1" applyAlignment="1">
      <alignment wrapText="1"/>
    </xf>
    <xf numFmtId="10" fontId="13" fillId="9" borderId="19" xfId="0" applyNumberFormat="1" applyFont="1" applyFill="1" applyBorder="1" applyAlignment="1">
      <alignment horizontal="right" vertical="center"/>
    </xf>
    <xf numFmtId="49" fontId="3" fillId="0" borderId="19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top" wrapText="1"/>
    </xf>
    <xf numFmtId="49" fontId="11" fillId="0" borderId="19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0" fontId="3" fillId="2" borderId="11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2" borderId="5" xfId="0" applyNumberFormat="1" applyFont="1" applyFill="1" applyBorder="1" applyAlignment="1"/>
    <xf numFmtId="0" fontId="3" fillId="2" borderId="6" xfId="0" applyNumberFormat="1" applyFont="1" applyFill="1" applyBorder="1" applyAlignment="1"/>
    <xf numFmtId="0" fontId="3" fillId="2" borderId="7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4" fontId="3" fillId="2" borderId="19" xfId="0" applyNumberFormat="1" applyFont="1" applyFill="1" applyBorder="1" applyAlignment="1">
      <alignment horizontal="right"/>
    </xf>
    <xf numFmtId="10" fontId="3" fillId="13" borderId="19" xfId="0" applyNumberFormat="1" applyFont="1" applyFill="1" applyBorder="1" applyAlignment="1"/>
    <xf numFmtId="10" fontId="3" fillId="10" borderId="19" xfId="0" applyNumberFormat="1" applyFont="1" applyFill="1" applyBorder="1" applyAlignment="1">
      <alignment horizontal="right" vertical="center"/>
    </xf>
    <xf numFmtId="165" fontId="3" fillId="10" borderId="19" xfId="0" applyNumberFormat="1" applyFont="1" applyFill="1" applyBorder="1" applyAlignment="1">
      <alignment horizontal="right" vertical="center"/>
    </xf>
    <xf numFmtId="43" fontId="3" fillId="0" borderId="19" xfId="1" applyFont="1" applyFill="1" applyBorder="1" applyAlignment="1"/>
    <xf numFmtId="0" fontId="9" fillId="0" borderId="0" xfId="0" applyNumberFormat="1" applyFont="1" applyAlignment="1"/>
    <xf numFmtId="49" fontId="6" fillId="0" borderId="19" xfId="0" applyNumberFormat="1" applyFont="1" applyFill="1" applyBorder="1" applyAlignment="1">
      <alignment vertical="center" wrapText="1"/>
    </xf>
    <xf numFmtId="43" fontId="3" fillId="2" borderId="19" xfId="1" applyFont="1" applyFill="1" applyBorder="1" applyAlignment="1"/>
    <xf numFmtId="165" fontId="4" fillId="0" borderId="19" xfId="0" applyNumberFormat="1" applyFont="1" applyFill="1" applyBorder="1" applyAlignment="1">
      <alignment vertical="top" wrapText="1"/>
    </xf>
    <xf numFmtId="49" fontId="4" fillId="0" borderId="19" xfId="0" applyNumberFormat="1" applyFont="1" applyFill="1" applyBorder="1" applyAlignment="1">
      <alignment horizontal="right"/>
    </xf>
    <xf numFmtId="165" fontId="3" fillId="13" borderId="19" xfId="0" applyNumberFormat="1" applyFont="1" applyFill="1" applyBorder="1" applyAlignment="1"/>
    <xf numFmtId="165" fontId="3" fillId="7" borderId="19" xfId="0" applyNumberFormat="1" applyFont="1" applyFill="1" applyBorder="1"/>
    <xf numFmtId="165" fontId="3" fillId="12" borderId="19" xfId="0" applyNumberFormat="1" applyFont="1" applyFill="1" applyBorder="1"/>
    <xf numFmtId="0" fontId="18" fillId="14" borderId="23" xfId="0" applyFont="1" applyFill="1" applyBorder="1" applyAlignment="1"/>
    <xf numFmtId="0" fontId="18" fillId="14" borderId="24" xfId="0" applyFont="1" applyFill="1" applyBorder="1" applyAlignment="1"/>
    <xf numFmtId="0" fontId="18" fillId="14" borderId="6" xfId="0" applyFont="1" applyFill="1" applyBorder="1" applyAlignment="1"/>
    <xf numFmtId="0" fontId="18" fillId="14" borderId="25" xfId="0" applyFont="1" applyFill="1" applyBorder="1" applyAlignment="1"/>
    <xf numFmtId="0" fontId="18" fillId="0" borderId="6" xfId="0" applyFont="1" applyBorder="1" applyAlignment="1"/>
    <xf numFmtId="43" fontId="4" fillId="2" borderId="19" xfId="1" applyFont="1" applyFill="1" applyBorder="1" applyAlignment="1"/>
    <xf numFmtId="43" fontId="3" fillId="2" borderId="19" xfId="1" applyFont="1" applyFill="1" applyBorder="1" applyAlignment="1">
      <alignment horizontal="right"/>
    </xf>
    <xf numFmtId="49" fontId="3" fillId="17" borderId="19" xfId="0" applyNumberFormat="1" applyFont="1" applyFill="1" applyBorder="1" applyAlignment="1">
      <alignment wrapText="1"/>
    </xf>
    <xf numFmtId="165" fontId="3" fillId="13" borderId="19" xfId="0" applyNumberFormat="1" applyFont="1" applyFill="1" applyBorder="1"/>
    <xf numFmtId="49" fontId="3" fillId="17" borderId="19" xfId="0" applyNumberFormat="1" applyFont="1" applyFill="1" applyBorder="1" applyAlignment="1"/>
    <xf numFmtId="165" fontId="4" fillId="12" borderId="19" xfId="0" applyNumberFormat="1" applyFont="1" applyFill="1" applyBorder="1" applyAlignment="1"/>
    <xf numFmtId="165" fontId="4" fillId="11" borderId="19" xfId="0" applyNumberFormat="1" applyFont="1" applyFill="1" applyBorder="1" applyAlignment="1"/>
    <xf numFmtId="10" fontId="10" fillId="6" borderId="19" xfId="0" applyNumberFormat="1" applyFont="1" applyFill="1" applyBorder="1" applyAlignment="1"/>
    <xf numFmtId="165" fontId="4" fillId="18" borderId="19" xfId="0" applyNumberFormat="1" applyFont="1" applyFill="1" applyBorder="1" applyAlignment="1"/>
    <xf numFmtId="165" fontId="4" fillId="17" borderId="19" xfId="0" applyNumberFormat="1" applyFont="1" applyFill="1" applyBorder="1" applyAlignment="1">
      <alignment wrapText="1"/>
    </xf>
    <xf numFmtId="165" fontId="3" fillId="2" borderId="15" xfId="0" applyNumberFormat="1" applyFont="1" applyFill="1" applyBorder="1" applyAlignment="1"/>
    <xf numFmtId="164" fontId="3" fillId="2" borderId="15" xfId="0" applyNumberFormat="1" applyFont="1" applyFill="1" applyBorder="1" applyAlignment="1"/>
    <xf numFmtId="165" fontId="3" fillId="2" borderId="26" xfId="0" applyNumberFormat="1" applyFont="1" applyFill="1" applyBorder="1" applyAlignment="1"/>
    <xf numFmtId="165" fontId="3" fillId="18" borderId="19" xfId="0" applyNumberFormat="1" applyFont="1" applyFill="1" applyBorder="1" applyAlignment="1"/>
    <xf numFmtId="165" fontId="3" fillId="19" borderId="19" xfId="0" applyNumberFormat="1" applyFont="1" applyFill="1" applyBorder="1" applyAlignment="1"/>
    <xf numFmtId="165" fontId="3" fillId="19" borderId="19" xfId="0" applyNumberFormat="1" applyFont="1" applyFill="1" applyBorder="1"/>
    <xf numFmtId="10" fontId="3" fillId="19" borderId="19" xfId="0" applyNumberFormat="1" applyFont="1" applyFill="1" applyBorder="1" applyAlignment="1"/>
    <xf numFmtId="10" fontId="10" fillId="19" borderId="19" xfId="0" applyNumberFormat="1" applyFont="1" applyFill="1" applyBorder="1" applyAlignment="1">
      <alignment horizontal="right" vertical="center"/>
    </xf>
    <xf numFmtId="10" fontId="3" fillId="19" borderId="19" xfId="0" applyNumberFormat="1" applyFont="1" applyFill="1" applyBorder="1" applyAlignment="1">
      <alignment horizontal="right" vertical="center"/>
    </xf>
    <xf numFmtId="165" fontId="3" fillId="19" borderId="19" xfId="0" applyNumberFormat="1" applyFont="1" applyFill="1" applyBorder="1" applyAlignment="1">
      <alignment horizontal="right" vertical="center"/>
    </xf>
    <xf numFmtId="3" fontId="3" fillId="19" borderId="19" xfId="0" applyNumberFormat="1" applyFont="1" applyFill="1" applyBorder="1" applyAlignment="1"/>
    <xf numFmtId="10" fontId="13" fillId="19" borderId="19" xfId="0" applyNumberFormat="1" applyFont="1" applyFill="1" applyBorder="1" applyAlignment="1">
      <alignment horizontal="right" vertical="center"/>
    </xf>
    <xf numFmtId="164" fontId="3" fillId="19" borderId="19" xfId="0" applyNumberFormat="1" applyFont="1" applyFill="1" applyBorder="1" applyAlignment="1"/>
    <xf numFmtId="4" fontId="3" fillId="19" borderId="19" xfId="0" applyNumberFormat="1" applyFont="1" applyFill="1" applyBorder="1" applyAlignment="1"/>
    <xf numFmtId="9" fontId="13" fillId="9" borderId="19" xfId="2" applyFont="1" applyFill="1" applyBorder="1" applyAlignment="1">
      <alignment horizontal="right" vertical="center"/>
    </xf>
    <xf numFmtId="165" fontId="3" fillId="17" borderId="6" xfId="0" applyNumberFormat="1" applyFont="1" applyFill="1" applyBorder="1"/>
    <xf numFmtId="165" fontId="4" fillId="17" borderId="6" xfId="0" applyNumberFormat="1" applyFont="1" applyFill="1" applyBorder="1"/>
    <xf numFmtId="0" fontId="0" fillId="0" borderId="6" xfId="0" applyNumberFormat="1" applyFont="1" applyBorder="1" applyAlignment="1"/>
    <xf numFmtId="49" fontId="1" fillId="3" borderId="19" xfId="0" applyNumberFormat="1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vertical="top" wrapText="1"/>
    </xf>
    <xf numFmtId="49" fontId="17" fillId="0" borderId="19" xfId="0" applyNumberFormat="1" applyFont="1" applyBorder="1" applyAlignment="1">
      <alignment wrapText="1"/>
    </xf>
    <xf numFmtId="10" fontId="13" fillId="15" borderId="19" xfId="0" applyNumberFormat="1" applyFont="1" applyFill="1" applyBorder="1" applyAlignment="1">
      <alignment horizontal="right" vertical="center"/>
    </xf>
    <xf numFmtId="10" fontId="17" fillId="16" borderId="19" xfId="0" applyNumberFormat="1" applyFont="1" applyFill="1" applyBorder="1" applyAlignment="1">
      <alignment horizontal="right" vertical="center"/>
    </xf>
    <xf numFmtId="165" fontId="17" fillId="16" borderId="19" xfId="0" applyNumberFormat="1" applyFont="1" applyFill="1" applyBorder="1" applyAlignment="1">
      <alignment horizontal="right" vertical="center"/>
    </xf>
    <xf numFmtId="0" fontId="21" fillId="19" borderId="19" xfId="0" applyFont="1" applyFill="1" applyBorder="1" applyAlignment="1">
      <alignment wrapText="1"/>
    </xf>
    <xf numFmtId="49" fontId="1" fillId="3" borderId="31" xfId="0" applyNumberFormat="1" applyFont="1" applyFill="1" applyBorder="1" applyAlignment="1">
      <alignment horizontal="center" vertical="top" wrapText="1"/>
    </xf>
    <xf numFmtId="49" fontId="1" fillId="3" borderId="27" xfId="0" applyNumberFormat="1" applyFont="1" applyFill="1" applyBorder="1" applyAlignment="1">
      <alignment horizontal="center" vertical="top" wrapText="1"/>
    </xf>
    <xf numFmtId="0" fontId="4" fillId="4" borderId="27" xfId="0" applyNumberFormat="1" applyFont="1" applyFill="1" applyBorder="1" applyAlignment="1">
      <alignment vertical="top" wrapText="1"/>
    </xf>
    <xf numFmtId="164" fontId="3" fillId="17" borderId="31" xfId="0" applyNumberFormat="1" applyFont="1" applyFill="1" applyBorder="1" applyAlignment="1">
      <alignment horizontal="center" wrapText="1"/>
    </xf>
    <xf numFmtId="4" fontId="3" fillId="2" borderId="27" xfId="0" applyNumberFormat="1" applyFont="1" applyFill="1" applyBorder="1" applyAlignment="1"/>
    <xf numFmtId="165" fontId="3" fillId="2" borderId="27" xfId="0" applyNumberFormat="1" applyFont="1" applyFill="1" applyBorder="1" applyAlignment="1"/>
    <xf numFmtId="164" fontId="4" fillId="2" borderId="31" xfId="0" applyNumberFormat="1" applyFont="1" applyFill="1" applyBorder="1" applyAlignment="1">
      <alignment horizontal="center"/>
    </xf>
    <xf numFmtId="165" fontId="4" fillId="2" borderId="27" xfId="0" applyNumberFormat="1" applyFont="1" applyFill="1" applyBorder="1" applyAlignment="1"/>
    <xf numFmtId="0" fontId="3" fillId="4" borderId="27" xfId="0" applyNumberFormat="1" applyFont="1" applyFill="1" applyBorder="1" applyAlignment="1">
      <alignment vertical="top" wrapText="1"/>
    </xf>
    <xf numFmtId="49" fontId="4" fillId="17" borderId="31" xfId="0" applyNumberFormat="1" applyFont="1" applyFill="1" applyBorder="1" applyAlignment="1">
      <alignment horizontal="center" wrapText="1"/>
    </xf>
    <xf numFmtId="165" fontId="3" fillId="4" borderId="27" xfId="0" applyNumberFormat="1" applyFont="1" applyFill="1" applyBorder="1" applyAlignment="1"/>
    <xf numFmtId="165" fontId="3" fillId="2" borderId="27" xfId="0" applyNumberFormat="1" applyFont="1" applyFill="1" applyBorder="1" applyAlignment="1">
      <alignment horizontal="center" wrapText="1"/>
    </xf>
    <xf numFmtId="3" fontId="3" fillId="2" borderId="27" xfId="0" applyNumberFormat="1" applyFont="1" applyFill="1" applyBorder="1" applyAlignment="1"/>
    <xf numFmtId="165" fontId="3" fillId="19" borderId="27" xfId="0" applyNumberFormat="1" applyFont="1" applyFill="1" applyBorder="1" applyAlignment="1"/>
    <xf numFmtId="164" fontId="4" fillId="0" borderId="31" xfId="0" applyNumberFormat="1" applyFont="1" applyFill="1" applyBorder="1" applyAlignment="1">
      <alignment horizontal="center" wrapText="1"/>
    </xf>
    <xf numFmtId="164" fontId="4" fillId="2" borderId="31" xfId="0" applyNumberFormat="1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>
      <alignment wrapText="1"/>
    </xf>
    <xf numFmtId="164" fontId="3" fillId="0" borderId="31" xfId="0" applyNumberFormat="1" applyFont="1" applyFill="1" applyBorder="1" applyAlignment="1">
      <alignment horizontal="center"/>
    </xf>
    <xf numFmtId="164" fontId="3" fillId="8" borderId="32" xfId="0" applyNumberFormat="1" applyFont="1" applyFill="1" applyBorder="1" applyAlignment="1">
      <alignment horizontal="center" wrapText="1"/>
    </xf>
    <xf numFmtId="165" fontId="3" fillId="8" borderId="22" xfId="0" applyNumberFormat="1" applyFont="1" applyFill="1" applyBorder="1" applyAlignment="1">
      <alignment wrapText="1"/>
    </xf>
    <xf numFmtId="49" fontId="4" fillId="8" borderId="22" xfId="0" applyNumberFormat="1" applyFont="1" applyFill="1" applyBorder="1" applyAlignment="1">
      <alignment horizontal="right"/>
    </xf>
    <xf numFmtId="165" fontId="4" fillId="8" borderId="22" xfId="0" applyNumberFormat="1" applyFont="1" applyFill="1" applyBorder="1" applyAlignment="1"/>
    <xf numFmtId="10" fontId="4" fillId="6" borderId="22" xfId="0" applyNumberFormat="1" applyFont="1" applyFill="1" applyBorder="1" applyAlignment="1"/>
    <xf numFmtId="10" fontId="4" fillId="4" borderId="22" xfId="0" applyNumberFormat="1" applyFont="1" applyFill="1" applyBorder="1" applyAlignment="1"/>
    <xf numFmtId="10" fontId="10" fillId="9" borderId="22" xfId="0" applyNumberFormat="1" applyFont="1" applyFill="1" applyBorder="1" applyAlignment="1">
      <alignment horizontal="right" vertical="center"/>
    </xf>
    <xf numFmtId="10" fontId="4" fillId="3" borderId="22" xfId="0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5" fontId="4" fillId="8" borderId="33" xfId="0" applyNumberFormat="1" applyFont="1" applyFill="1" applyBorder="1" applyAlignment="1"/>
    <xf numFmtId="164" fontId="4" fillId="8" borderId="22" xfId="0" applyNumberFormat="1" applyFont="1" applyFill="1" applyBorder="1" applyAlignment="1"/>
    <xf numFmtId="167" fontId="4" fillId="2" borderId="19" xfId="1" applyNumberFormat="1" applyFont="1" applyFill="1" applyBorder="1" applyAlignment="1"/>
    <xf numFmtId="165" fontId="5" fillId="17" borderId="16" xfId="0" applyNumberFormat="1" applyFont="1" applyFill="1" applyBorder="1" applyAlignment="1"/>
    <xf numFmtId="0" fontId="0" fillId="17" borderId="10" xfId="0" applyNumberFormat="1" applyFont="1" applyFill="1" applyBorder="1" applyAlignment="1"/>
    <xf numFmtId="0" fontId="0" fillId="17" borderId="5" xfId="0" applyNumberFormat="1" applyFont="1" applyFill="1" applyBorder="1" applyAlignment="1"/>
    <xf numFmtId="0" fontId="0" fillId="17" borderId="6" xfId="0" applyNumberFormat="1" applyFont="1" applyFill="1" applyBorder="1" applyAlignment="1"/>
    <xf numFmtId="0" fontId="0" fillId="17" borderId="7" xfId="0" applyNumberFormat="1" applyFont="1" applyFill="1" applyBorder="1" applyAlignment="1"/>
    <xf numFmtId="0" fontId="0" fillId="17" borderId="0" xfId="0" applyNumberFormat="1" applyFont="1" applyFill="1" applyAlignment="1"/>
    <xf numFmtId="0" fontId="0" fillId="17" borderId="11" xfId="0" applyNumberFormat="1" applyFont="1" applyFill="1" applyBorder="1" applyAlignment="1"/>
    <xf numFmtId="0" fontId="0" fillId="17" borderId="4" xfId="0" applyNumberFormat="1" applyFont="1" applyFill="1" applyBorder="1" applyAlignment="1"/>
    <xf numFmtId="0" fontId="0" fillId="0" borderId="19" xfId="0" applyNumberFormat="1" applyFont="1" applyBorder="1" applyAlignment="1"/>
    <xf numFmtId="165" fontId="4" fillId="12" borderId="19" xfId="0" applyNumberFormat="1" applyFont="1" applyFill="1" applyBorder="1"/>
    <xf numFmtId="0" fontId="14" fillId="2" borderId="6" xfId="0" applyNumberFormat="1" applyFont="1" applyFill="1" applyBorder="1" applyAlignment="1"/>
    <xf numFmtId="0" fontId="15" fillId="2" borderId="6" xfId="0" applyNumberFormat="1" applyFont="1" applyFill="1" applyBorder="1" applyAlignment="1"/>
    <xf numFmtId="0" fontId="8" fillId="2" borderId="6" xfId="0" applyNumberFormat="1" applyFont="1" applyFill="1" applyBorder="1" applyAlignment="1"/>
    <xf numFmtId="4" fontId="4" fillId="0" borderId="6" xfId="0" applyNumberFormat="1" applyFont="1" applyBorder="1" applyAlignment="1"/>
    <xf numFmtId="165" fontId="2" fillId="2" borderId="6" xfId="0" applyNumberFormat="1" applyFont="1" applyFill="1" applyBorder="1" applyAlignment="1"/>
    <xf numFmtId="166" fontId="2" fillId="2" borderId="6" xfId="0" applyNumberFormat="1" applyFont="1" applyFill="1" applyBorder="1" applyAlignment="1"/>
    <xf numFmtId="0" fontId="7" fillId="2" borderId="6" xfId="0" applyNumberFormat="1" applyFont="1" applyFill="1" applyBorder="1" applyAlignment="1"/>
    <xf numFmtId="4" fontId="0" fillId="2" borderId="6" xfId="0" applyNumberFormat="1" applyFont="1" applyFill="1" applyBorder="1" applyAlignment="1"/>
    <xf numFmtId="165" fontId="3" fillId="11" borderId="19" xfId="0" applyNumberFormat="1" applyFont="1" applyFill="1" applyBorder="1" applyAlignment="1">
      <alignment horizontal="left"/>
    </xf>
    <xf numFmtId="10" fontId="3" fillId="9" borderId="19" xfId="0" applyNumberFormat="1" applyFont="1" applyFill="1" applyBorder="1" applyAlignment="1"/>
    <xf numFmtId="165" fontId="3" fillId="11" borderId="19" xfId="0" applyNumberFormat="1" applyFont="1" applyFill="1" applyBorder="1" applyAlignment="1"/>
    <xf numFmtId="2" fontId="3" fillId="0" borderId="19" xfId="0" applyNumberFormat="1" applyFont="1" applyFill="1" applyBorder="1" applyAlignment="1"/>
    <xf numFmtId="164" fontId="3" fillId="0" borderId="19" xfId="0" applyNumberFormat="1" applyFont="1" applyFill="1" applyBorder="1" applyAlignment="1"/>
    <xf numFmtId="165" fontId="3" fillId="0" borderId="27" xfId="0" applyNumberFormat="1" applyFont="1" applyFill="1" applyBorder="1" applyAlignment="1"/>
    <xf numFmtId="4" fontId="3" fillId="0" borderId="27" xfId="0" applyNumberFormat="1" applyFont="1" applyFill="1" applyBorder="1" applyAlignment="1"/>
    <xf numFmtId="165" fontId="4" fillId="5" borderId="19" xfId="0" applyNumberFormat="1" applyFont="1" applyFill="1" applyBorder="1" applyAlignment="1"/>
    <xf numFmtId="165" fontId="22" fillId="2" borderId="19" xfId="0" applyNumberFormat="1" applyFont="1" applyFill="1" applyBorder="1" applyAlignment="1">
      <alignment horizontal="left"/>
    </xf>
    <xf numFmtId="43" fontId="3" fillId="5" borderId="19" xfId="1" applyFont="1" applyFill="1" applyBorder="1" applyAlignment="1"/>
    <xf numFmtId="43" fontId="3" fillId="11" borderId="19" xfId="1" applyFont="1" applyFill="1" applyBorder="1" applyAlignment="1">
      <alignment horizontal="left"/>
    </xf>
    <xf numFmtId="165" fontId="3" fillId="17" borderId="19" xfId="0" applyNumberFormat="1" applyFont="1" applyFill="1" applyBorder="1" applyAlignment="1"/>
    <xf numFmtId="2" fontId="3" fillId="17" borderId="19" xfId="0" applyNumberFormat="1" applyFont="1" applyFill="1" applyBorder="1" applyAlignment="1"/>
    <xf numFmtId="165" fontId="3" fillId="17" borderId="27" xfId="0" applyNumberFormat="1" applyFont="1" applyFill="1" applyBorder="1" applyAlignment="1"/>
    <xf numFmtId="164" fontId="3" fillId="17" borderId="19" xfId="0" applyNumberFormat="1" applyFont="1" applyFill="1" applyBorder="1" applyAlignment="1"/>
    <xf numFmtId="4" fontId="3" fillId="17" borderId="27" xfId="0" applyNumberFormat="1" applyFont="1" applyFill="1" applyBorder="1" applyAlignment="1"/>
    <xf numFmtId="4" fontId="3" fillId="17" borderId="19" xfId="0" applyNumberFormat="1" applyFont="1" applyFill="1" applyBorder="1" applyAlignment="1"/>
    <xf numFmtId="165" fontId="3" fillId="17" borderId="19" xfId="0" applyNumberFormat="1" applyFont="1" applyFill="1" applyBorder="1" applyAlignment="1">
      <alignment horizontal="left"/>
    </xf>
    <xf numFmtId="165" fontId="6" fillId="2" borderId="19" xfId="0" applyNumberFormat="1" applyFont="1" applyFill="1" applyBorder="1" applyAlignment="1"/>
    <xf numFmtId="165" fontId="6" fillId="5" borderId="19" xfId="0" applyNumberFormat="1" applyFont="1" applyFill="1" applyBorder="1" applyAlignment="1"/>
    <xf numFmtId="164" fontId="6" fillId="2" borderId="19" xfId="0" applyNumberFormat="1" applyFont="1" applyFill="1" applyBorder="1" applyAlignment="1"/>
    <xf numFmtId="165" fontId="6" fillId="2" borderId="27" xfId="0" applyNumberFormat="1" applyFont="1" applyFill="1" applyBorder="1" applyAlignment="1"/>
    <xf numFmtId="4" fontId="23" fillId="0" borderId="0" xfId="0" applyNumberFormat="1" applyFont="1" applyAlignment="1"/>
    <xf numFmtId="165" fontId="3" fillId="12" borderId="19" xfId="0" applyNumberFormat="1" applyFont="1" applyFill="1" applyBorder="1" applyAlignment="1">
      <alignment horizontal="right"/>
    </xf>
    <xf numFmtId="165" fontId="4" fillId="7" borderId="19" xfId="0" applyNumberFormat="1" applyFont="1" applyFill="1" applyBorder="1"/>
    <xf numFmtId="165" fontId="4" fillId="7" borderId="19" xfId="0" applyNumberFormat="1" applyFont="1" applyFill="1" applyBorder="1" applyAlignment="1">
      <alignment horizontal="left"/>
    </xf>
    <xf numFmtId="164" fontId="11" fillId="17" borderId="31" xfId="0" applyNumberFormat="1" applyFont="1" applyFill="1" applyBorder="1" applyAlignment="1">
      <alignment horizontal="center" wrapText="1"/>
    </xf>
    <xf numFmtId="49" fontId="3" fillId="17" borderId="19" xfId="0" applyNumberFormat="1" applyFont="1" applyFill="1" applyBorder="1" applyAlignment="1">
      <alignment vertical="center" wrapText="1"/>
    </xf>
    <xf numFmtId="49" fontId="6" fillId="17" borderId="19" xfId="0" applyNumberFormat="1" applyFont="1" applyFill="1" applyBorder="1" applyAlignment="1">
      <alignment vertical="center" wrapText="1"/>
    </xf>
    <xf numFmtId="164" fontId="17" fillId="17" borderId="31" xfId="0" applyNumberFormat="1" applyFont="1" applyFill="1" applyBorder="1" applyAlignment="1">
      <alignment horizontal="center" wrapText="1"/>
    </xf>
    <xf numFmtId="49" fontId="17" fillId="17" borderId="19" xfId="0" applyNumberFormat="1" applyFont="1" applyFill="1" applyBorder="1" applyAlignment="1">
      <alignment wrapText="1"/>
    </xf>
    <xf numFmtId="164" fontId="22" fillId="17" borderId="31" xfId="0" applyNumberFormat="1" applyFont="1" applyFill="1" applyBorder="1" applyAlignment="1">
      <alignment horizontal="center" wrapText="1"/>
    </xf>
    <xf numFmtId="49" fontId="22" fillId="17" borderId="19" xfId="0" applyNumberFormat="1" applyFont="1" applyFill="1" applyBorder="1" applyAlignment="1">
      <alignment wrapText="1"/>
    </xf>
    <xf numFmtId="164" fontId="3" fillId="17" borderId="31" xfId="0" applyNumberFormat="1" applyFont="1" applyFill="1" applyBorder="1" applyAlignment="1">
      <alignment horizontal="right" wrapText="1"/>
    </xf>
    <xf numFmtId="49" fontId="11" fillId="17" borderId="19" xfId="0" applyNumberFormat="1" applyFont="1" applyFill="1" applyBorder="1" applyAlignment="1"/>
    <xf numFmtId="165" fontId="4" fillId="19" borderId="31" xfId="0" applyNumberFormat="1" applyFont="1" applyFill="1" applyBorder="1" applyAlignment="1">
      <alignment horizontal="center" wrapText="1"/>
    </xf>
    <xf numFmtId="165" fontId="4" fillId="19" borderId="19" xfId="0" applyNumberFormat="1" applyFont="1" applyFill="1" applyBorder="1" applyAlignment="1">
      <alignment horizontal="center" wrapText="1"/>
    </xf>
    <xf numFmtId="49" fontId="19" fillId="13" borderId="31" xfId="0" applyNumberFormat="1" applyFont="1" applyFill="1" applyBorder="1" applyAlignment="1">
      <alignment horizontal="center" vertical="top" wrapText="1"/>
    </xf>
    <xf numFmtId="49" fontId="19" fillId="13" borderId="19" xfId="0" applyNumberFormat="1" applyFont="1" applyFill="1" applyBorder="1" applyAlignment="1">
      <alignment horizontal="center" vertical="top" wrapText="1"/>
    </xf>
    <xf numFmtId="49" fontId="19" fillId="4" borderId="31" xfId="0" applyNumberFormat="1" applyFont="1" applyFill="1" applyBorder="1" applyAlignment="1">
      <alignment horizontal="center" vertical="top" wrapText="1"/>
    </xf>
    <xf numFmtId="49" fontId="19" fillId="4" borderId="19" xfId="0" applyNumberFormat="1" applyFont="1" applyFill="1" applyBorder="1" applyAlignment="1">
      <alignment horizontal="center" vertical="top" wrapText="1"/>
    </xf>
    <xf numFmtId="49" fontId="12" fillId="2" borderId="28" xfId="0" applyNumberFormat="1" applyFont="1" applyFill="1" applyBorder="1" applyAlignment="1">
      <alignment horizontal="center"/>
    </xf>
    <xf numFmtId="0" fontId="12" fillId="2" borderId="29" xfId="0" applyNumberFormat="1" applyFont="1" applyFill="1" applyBorder="1" applyAlignment="1">
      <alignment horizontal="center"/>
    </xf>
    <xf numFmtId="0" fontId="12" fillId="2" borderId="30" xfId="0" applyNumberFormat="1" applyFont="1" applyFill="1" applyBorder="1" applyAlignment="1">
      <alignment horizontal="center"/>
    </xf>
    <xf numFmtId="49" fontId="19" fillId="4" borderId="27" xfId="0" applyNumberFormat="1" applyFont="1" applyFill="1" applyBorder="1" applyAlignment="1">
      <alignment horizontal="center" vertical="top" wrapText="1"/>
    </xf>
    <xf numFmtId="0" fontId="21" fillId="19" borderId="31" xfId="0" applyFont="1" applyFill="1" applyBorder="1" applyAlignment="1">
      <alignment horizontal="center" wrapText="1"/>
    </xf>
    <xf numFmtId="0" fontId="21" fillId="19" borderId="19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631030</xdr:colOff>
      <xdr:row>26</xdr:row>
      <xdr:rowOff>154781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65530" cy="4488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14</xdr:col>
      <xdr:colOff>35719</xdr:colOff>
      <xdr:row>27</xdr:row>
      <xdr:rowOff>11906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3"/>
          <a:ext cx="9370219" cy="4488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547686</xdr:colOff>
      <xdr:row>27</xdr:row>
      <xdr:rowOff>154780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7936" cy="529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51"/>
  <sheetViews>
    <sheetView showGridLines="0" tabSelected="1" view="pageBreakPreview" zoomScale="120" zoomScaleNormal="160" zoomScaleSheetLayoutView="120" workbookViewId="0">
      <pane ySplit="2" topLeftCell="A3" activePane="bottomLeft" state="frozen"/>
      <selection pane="bottomLeft" activeCell="A3" sqref="A3:C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31" customWidth="1"/>
    <col min="12" max="12" width="19.7109375" style="1" customWidth="1"/>
    <col min="13" max="13" width="17.7109375" style="1" customWidth="1"/>
    <col min="14" max="14" width="22.42578125" style="1" customWidth="1"/>
    <col min="15" max="15" width="19.42578125" style="1" customWidth="1"/>
    <col min="16" max="16" width="21.7109375" style="1" customWidth="1"/>
    <col min="17" max="17" width="9.28515625" style="1" customWidth="1"/>
    <col min="18" max="18" width="21" style="1" customWidth="1"/>
    <col min="19" max="19" width="9.140625" style="1" customWidth="1"/>
    <col min="20" max="20" width="10.140625" style="1" customWidth="1"/>
    <col min="21" max="21" width="11" style="1" customWidth="1"/>
    <col min="22" max="22" width="12.140625" style="1" customWidth="1"/>
    <col min="23" max="23" width="15.42578125" style="1" customWidth="1"/>
    <col min="24" max="24" width="16.7109375" style="1" customWidth="1"/>
    <col min="25" max="25" width="15" style="1" customWidth="1"/>
    <col min="26" max="26" width="14.42578125" style="1" customWidth="1"/>
    <col min="27" max="27" width="14.7109375" style="1" customWidth="1"/>
    <col min="28" max="28" width="20" style="1" customWidth="1"/>
    <col min="29" max="29" width="18.140625" style="1" customWidth="1"/>
    <col min="30" max="30" width="18.42578125" style="1" customWidth="1"/>
    <col min="31" max="31" width="12.42578125" style="1" customWidth="1"/>
    <col min="32" max="257" width="8.85546875" style="1" customWidth="1"/>
  </cols>
  <sheetData>
    <row r="1" spans="1:257" ht="39" customHeight="1" x14ac:dyDescent="0.7">
      <c r="A1" s="242" t="s">
        <v>225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4"/>
      <c r="AC1" s="145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ht="54" customHeight="1" x14ac:dyDescent="0.25">
      <c r="A2" s="153" t="s">
        <v>206</v>
      </c>
      <c r="B2" s="146" t="s">
        <v>0</v>
      </c>
      <c r="C2" s="146" t="s">
        <v>1</v>
      </c>
      <c r="D2" s="146" t="s">
        <v>2</v>
      </c>
      <c r="E2" s="146" t="s">
        <v>3</v>
      </c>
      <c r="F2" s="146" t="s">
        <v>4</v>
      </c>
      <c r="G2" s="146" t="s">
        <v>5</v>
      </c>
      <c r="H2" s="146" t="s">
        <v>6</v>
      </c>
      <c r="I2" s="146" t="s">
        <v>7</v>
      </c>
      <c r="J2" s="146" t="s">
        <v>8</v>
      </c>
      <c r="K2" s="146" t="s">
        <v>171</v>
      </c>
      <c r="L2" s="146" t="s">
        <v>9</v>
      </c>
      <c r="M2" s="146" t="s">
        <v>10</v>
      </c>
      <c r="N2" s="146" t="s">
        <v>11</v>
      </c>
      <c r="O2" s="146" t="s">
        <v>12</v>
      </c>
      <c r="P2" s="146" t="s">
        <v>224</v>
      </c>
      <c r="Q2" s="146" t="s">
        <v>13</v>
      </c>
      <c r="R2" s="146" t="s">
        <v>14</v>
      </c>
      <c r="S2" s="146" t="s">
        <v>13</v>
      </c>
      <c r="T2" s="146" t="s">
        <v>15</v>
      </c>
      <c r="U2" s="146" t="s">
        <v>16</v>
      </c>
      <c r="V2" s="146" t="s">
        <v>17</v>
      </c>
      <c r="W2" s="146" t="s">
        <v>18</v>
      </c>
      <c r="X2" s="146" t="s">
        <v>19</v>
      </c>
      <c r="Y2" s="146" t="s">
        <v>20</v>
      </c>
      <c r="Z2" s="146" t="s">
        <v>21</v>
      </c>
      <c r="AA2" s="146" t="s">
        <v>22</v>
      </c>
      <c r="AB2" s="154" t="s">
        <v>23</v>
      </c>
      <c r="AC2" s="39"/>
      <c r="AD2" s="4"/>
      <c r="AE2" s="4"/>
      <c r="AF2" s="4"/>
      <c r="AG2" s="5"/>
      <c r="AH2" s="6"/>
      <c r="AI2" s="6"/>
      <c r="AJ2" s="6"/>
      <c r="AK2" s="7"/>
      <c r="AL2" s="5"/>
      <c r="AM2" s="6"/>
      <c r="AN2" s="6"/>
      <c r="AO2" s="6"/>
      <c r="AP2" s="7"/>
      <c r="AQ2" s="5"/>
      <c r="AR2" s="6"/>
      <c r="AS2" s="6"/>
      <c r="AT2" s="6"/>
      <c r="AU2" s="7"/>
    </row>
    <row r="3" spans="1:257" ht="18" customHeight="1" x14ac:dyDescent="0.25">
      <c r="A3" s="240" t="s">
        <v>24</v>
      </c>
      <c r="B3" s="241"/>
      <c r="C3" s="241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55"/>
      <c r="AC3" s="13"/>
      <c r="AD3" s="4"/>
      <c r="AE3" s="4"/>
      <c r="AF3" s="4"/>
      <c r="AG3" s="5"/>
      <c r="AH3" s="6"/>
      <c r="AI3" s="6"/>
      <c r="AJ3" s="6"/>
      <c r="AK3" s="7"/>
      <c r="AL3" s="5"/>
      <c r="AM3" s="6"/>
      <c r="AN3" s="6"/>
      <c r="AO3" s="6"/>
      <c r="AP3" s="7"/>
      <c r="AQ3" s="5"/>
      <c r="AR3" s="6"/>
      <c r="AS3" s="6"/>
      <c r="AT3" s="6"/>
      <c r="AU3" s="7"/>
    </row>
    <row r="4" spans="1:257" ht="18" customHeight="1" x14ac:dyDescent="0.35">
      <c r="A4" s="156">
        <v>1</v>
      </c>
      <c r="B4" s="120" t="s">
        <v>25</v>
      </c>
      <c r="C4" s="86" t="s">
        <v>26</v>
      </c>
      <c r="D4" s="80">
        <v>5102352160.6899996</v>
      </c>
      <c r="E4" s="104"/>
      <c r="F4" s="81">
        <v>1753228267.4000001</v>
      </c>
      <c r="G4" s="81">
        <v>57224961.950000003</v>
      </c>
      <c r="H4" s="81"/>
      <c r="I4" s="81"/>
      <c r="J4" s="82">
        <v>6912805390.04</v>
      </c>
      <c r="K4" s="82">
        <v>17431159.460000001</v>
      </c>
      <c r="L4" s="82">
        <v>19563233.949999999</v>
      </c>
      <c r="M4" s="210">
        <v>-28537017.719999999</v>
      </c>
      <c r="N4" s="45">
        <v>7040267251.8100004</v>
      </c>
      <c r="O4" s="45">
        <v>70275261.769999996</v>
      </c>
      <c r="P4" s="224">
        <v>7018089933.4200001</v>
      </c>
      <c r="Q4" s="48">
        <f t="shared" ref="Q4:Q19" si="0">(P4/$P$20)</f>
        <v>0.44342679783222733</v>
      </c>
      <c r="R4" s="47">
        <v>6969991990.04</v>
      </c>
      <c r="S4" s="48">
        <f t="shared" ref="S4:S19" si="1">(R4/$R$20)</f>
        <v>0.44236697882638942</v>
      </c>
      <c r="T4" s="49">
        <f t="shared" ref="T4:T17" si="2">((R4-P4)/P4)</f>
        <v>-6.8534236289789757E-3</v>
      </c>
      <c r="U4" s="87">
        <f t="shared" ref="U4:U16" si="3">(L4/R4)</f>
        <v>2.8067799759247253E-3</v>
      </c>
      <c r="V4" s="50">
        <f t="shared" ref="V4:V18" si="4">M4/R4</f>
        <v>-4.0942683665603791E-3</v>
      </c>
      <c r="W4" s="51">
        <f t="shared" ref="W4:W18" si="5">R4/AB4</f>
        <v>11130.457495608416</v>
      </c>
      <c r="X4" s="51">
        <f t="shared" ref="X4:X18" si="6">M4/AB4</f>
        <v>-45.5710800296144</v>
      </c>
      <c r="Y4" s="81">
        <v>11028.18</v>
      </c>
      <c r="Z4" s="81">
        <v>11187.18</v>
      </c>
      <c r="AA4" s="205">
        <v>17164</v>
      </c>
      <c r="AB4" s="207">
        <v>626208.93999999994</v>
      </c>
      <c r="AC4" s="35"/>
      <c r="AD4" s="4"/>
      <c r="AE4" s="4"/>
      <c r="AF4" s="4"/>
      <c r="AG4" s="5"/>
      <c r="AH4" s="6"/>
      <c r="AI4" s="6"/>
      <c r="AJ4" s="6"/>
      <c r="AK4" s="7"/>
      <c r="AL4" s="5"/>
      <c r="AM4" s="6"/>
      <c r="AN4" s="6"/>
      <c r="AO4" s="6"/>
      <c r="AP4" s="7"/>
      <c r="AQ4" s="5"/>
      <c r="AR4" s="6"/>
      <c r="AS4" s="6"/>
      <c r="AT4" s="6"/>
      <c r="AU4" s="7"/>
    </row>
    <row r="5" spans="1:257" ht="18" customHeight="1" x14ac:dyDescent="0.35">
      <c r="A5" s="156">
        <v>2</v>
      </c>
      <c r="B5" s="122" t="s">
        <v>27</v>
      </c>
      <c r="C5" s="120" t="s">
        <v>28</v>
      </c>
      <c r="D5" s="80">
        <v>1332970</v>
      </c>
      <c r="E5" s="104"/>
      <c r="F5" s="81">
        <v>769306.47</v>
      </c>
      <c r="G5" s="81">
        <v>712052.33</v>
      </c>
      <c r="H5" s="81"/>
      <c r="I5" s="81"/>
      <c r="J5" s="82">
        <v>2814328.8</v>
      </c>
      <c r="K5" s="217">
        <f>M5+L5</f>
        <v>1605067.0999999999</v>
      </c>
      <c r="L5" s="82">
        <v>1210.47</v>
      </c>
      <c r="M5" s="46">
        <v>1603856.63</v>
      </c>
      <c r="N5" s="45">
        <v>859568065.08000004</v>
      </c>
      <c r="O5" s="45">
        <v>3590507.32</v>
      </c>
      <c r="P5" s="224">
        <v>869841114.40999997</v>
      </c>
      <c r="Q5" s="48">
        <f t="shared" si="0"/>
        <v>5.4959520844680997E-2</v>
      </c>
      <c r="R5" s="47">
        <v>855977557.75999999</v>
      </c>
      <c r="S5" s="48">
        <f t="shared" si="1"/>
        <v>5.4326634336248271E-2</v>
      </c>
      <c r="T5" s="49">
        <f t="shared" si="2"/>
        <v>-1.5938033303246901E-2</v>
      </c>
      <c r="U5" s="87">
        <f t="shared" si="3"/>
        <v>1.414137542539863E-6</v>
      </c>
      <c r="V5" s="50">
        <f t="shared" si="4"/>
        <v>1.873713411595881E-3</v>
      </c>
      <c r="W5" s="51">
        <f t="shared" si="5"/>
        <v>1.8882411605295113</v>
      </c>
      <c r="X5" s="51">
        <f t="shared" si="6"/>
        <v>3.5380227868115162E-3</v>
      </c>
      <c r="Y5" s="81">
        <v>1.72</v>
      </c>
      <c r="Z5" s="81">
        <v>1.76</v>
      </c>
      <c r="AA5" s="215">
        <f>3608+84</f>
        <v>3692</v>
      </c>
      <c r="AB5" s="216">
        <v>453320039.64999998</v>
      </c>
      <c r="AC5" s="36"/>
      <c r="AD5" s="9"/>
      <c r="AE5" s="9"/>
      <c r="AF5" s="9"/>
      <c r="AG5" s="5"/>
      <c r="AH5" s="6"/>
      <c r="AI5" s="6"/>
      <c r="AJ5" s="6"/>
      <c r="AK5" s="7"/>
      <c r="AL5" s="5"/>
      <c r="AM5" s="6"/>
      <c r="AN5" s="6"/>
      <c r="AO5" s="6"/>
      <c r="AP5" s="7"/>
      <c r="AQ5" s="5"/>
      <c r="AR5" s="6"/>
      <c r="AS5" s="6"/>
      <c r="AT5" s="6"/>
      <c r="AU5" s="7"/>
    </row>
    <row r="6" spans="1:257" ht="18" customHeight="1" x14ac:dyDescent="0.35">
      <c r="A6" s="156">
        <v>3</v>
      </c>
      <c r="B6" s="122" t="s">
        <v>29</v>
      </c>
      <c r="C6" s="86" t="s">
        <v>30</v>
      </c>
      <c r="D6" s="80">
        <v>117533262.45</v>
      </c>
      <c r="E6" s="104"/>
      <c r="F6" s="81">
        <v>138936373.38</v>
      </c>
      <c r="G6" s="81"/>
      <c r="H6" s="81"/>
      <c r="I6" s="81"/>
      <c r="J6" s="82">
        <v>254442411.83000001</v>
      </c>
      <c r="K6" s="82">
        <v>1335405.8400000001</v>
      </c>
      <c r="L6" s="82">
        <v>627515.81999999995</v>
      </c>
      <c r="M6" s="46">
        <v>707891.02</v>
      </c>
      <c r="N6" s="45">
        <v>261767854.09</v>
      </c>
      <c r="O6" s="45">
        <v>5824214.1100000003</v>
      </c>
      <c r="P6" s="224">
        <v>254570950.31999999</v>
      </c>
      <c r="Q6" s="48">
        <f t="shared" si="0"/>
        <v>1.6084658702356508E-2</v>
      </c>
      <c r="R6" s="47">
        <v>255584938.75</v>
      </c>
      <c r="S6" s="48">
        <f t="shared" si="1"/>
        <v>1.6221300878097054E-2</v>
      </c>
      <c r="T6" s="49">
        <f t="shared" si="2"/>
        <v>3.9831270171455406E-3</v>
      </c>
      <c r="U6" s="87">
        <f t="shared" si="3"/>
        <v>2.4552143920100219E-3</v>
      </c>
      <c r="V6" s="50">
        <f t="shared" si="4"/>
        <v>2.7696898865094024E-3</v>
      </c>
      <c r="W6" s="51">
        <f t="shared" si="5"/>
        <v>1282.0207500463982</v>
      </c>
      <c r="X6" s="51">
        <f t="shared" si="6"/>
        <v>3.5507999056987076</v>
      </c>
      <c r="Y6" s="81">
        <v>128.09</v>
      </c>
      <c r="Z6" s="81">
        <v>130.47999999999999</v>
      </c>
      <c r="AA6" s="205">
        <v>2470</v>
      </c>
      <c r="AB6" s="207">
        <v>199361</v>
      </c>
      <c r="AC6" s="37"/>
      <c r="AD6" s="10"/>
      <c r="AE6" s="10"/>
      <c r="AF6" s="11"/>
      <c r="AG6" s="5"/>
      <c r="AH6" s="6"/>
      <c r="AI6" s="6"/>
      <c r="AJ6" s="6"/>
      <c r="AK6" s="7"/>
      <c r="AL6" s="5"/>
      <c r="AM6" s="6"/>
      <c r="AN6" s="6"/>
      <c r="AO6" s="6"/>
      <c r="AP6" s="7"/>
      <c r="AQ6" s="5"/>
      <c r="AR6" s="6"/>
      <c r="AS6" s="6"/>
      <c r="AT6" s="6"/>
      <c r="AU6" s="7"/>
    </row>
    <row r="7" spans="1:257" s="92" customFormat="1" ht="18" customHeight="1" x14ac:dyDescent="0.35">
      <c r="A7" s="156">
        <v>4</v>
      </c>
      <c r="B7" s="120" t="s">
        <v>31</v>
      </c>
      <c r="C7" s="86" t="s">
        <v>32</v>
      </c>
      <c r="D7" s="80">
        <v>533310901.55000001</v>
      </c>
      <c r="E7" s="104"/>
      <c r="F7" s="81">
        <v>73369089.200000003</v>
      </c>
      <c r="G7" s="81">
        <v>10204281.800000001</v>
      </c>
      <c r="H7" s="81"/>
      <c r="I7" s="81"/>
      <c r="J7" s="82">
        <v>616884272.54999995</v>
      </c>
      <c r="K7" s="82">
        <v>1938089.01</v>
      </c>
      <c r="L7" s="82">
        <v>1033222.3</v>
      </c>
      <c r="M7" s="46">
        <v>904866.71</v>
      </c>
      <c r="N7" s="45">
        <v>617880213.54999995</v>
      </c>
      <c r="O7" s="45">
        <v>5119624.0199999996</v>
      </c>
      <c r="P7" s="224">
        <v>610918337.63999999</v>
      </c>
      <c r="Q7" s="48">
        <f t="shared" si="0"/>
        <v>3.8599898942115865E-2</v>
      </c>
      <c r="R7" s="47">
        <v>612760589.52999997</v>
      </c>
      <c r="S7" s="48">
        <f t="shared" si="1"/>
        <v>3.8890295874315313E-2</v>
      </c>
      <c r="T7" s="101">
        <f t="shared" si="2"/>
        <v>3.0155452480223012E-3</v>
      </c>
      <c r="U7" s="87">
        <f t="shared" si="3"/>
        <v>1.6861761635037641E-3</v>
      </c>
      <c r="V7" s="102">
        <f t="shared" si="4"/>
        <v>1.4767051364939306E-3</v>
      </c>
      <c r="W7" s="103">
        <f t="shared" si="5"/>
        <v>17.579731906546268</v>
      </c>
      <c r="X7" s="103">
        <f t="shared" si="6"/>
        <v>2.596008040458311E-2</v>
      </c>
      <c r="Y7" s="81">
        <v>16.98</v>
      </c>
      <c r="Z7" s="81">
        <v>17.29</v>
      </c>
      <c r="AA7" s="205">
        <v>8762</v>
      </c>
      <c r="AB7" s="207">
        <v>34856082.719999999</v>
      </c>
      <c r="AC7" s="183"/>
      <c r="AD7" s="184"/>
      <c r="AE7" s="184"/>
      <c r="AF7" s="184"/>
      <c r="AG7" s="185"/>
      <c r="AH7" s="186"/>
      <c r="AI7" s="186"/>
      <c r="AJ7" s="186"/>
      <c r="AK7" s="187"/>
      <c r="AL7" s="185"/>
      <c r="AM7" s="186"/>
      <c r="AN7" s="186"/>
      <c r="AO7" s="186"/>
      <c r="AP7" s="187"/>
      <c r="AQ7" s="185"/>
      <c r="AR7" s="186"/>
      <c r="AS7" s="186"/>
      <c r="AT7" s="186"/>
      <c r="AU7" s="187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pans="1:257" s="92" customFormat="1" ht="16.5" customHeight="1" x14ac:dyDescent="0.3">
      <c r="A8" s="156">
        <v>5</v>
      </c>
      <c r="B8" s="120" t="s">
        <v>33</v>
      </c>
      <c r="C8" s="86" t="s">
        <v>34</v>
      </c>
      <c r="D8" s="80">
        <v>259430770.59</v>
      </c>
      <c r="E8" s="104"/>
      <c r="F8" s="81">
        <v>93313080.200000003</v>
      </c>
      <c r="G8" s="81"/>
      <c r="H8" s="81"/>
      <c r="I8" s="81"/>
      <c r="J8" s="82">
        <v>352743850.79000002</v>
      </c>
      <c r="K8" s="82">
        <v>1106800.27</v>
      </c>
      <c r="L8" s="82">
        <v>681743.57</v>
      </c>
      <c r="M8" s="46">
        <v>425056.7</v>
      </c>
      <c r="N8" s="45">
        <v>354662111.70999998</v>
      </c>
      <c r="O8" s="45">
        <v>5318956.59</v>
      </c>
      <c r="P8" s="224">
        <v>351930514.23000002</v>
      </c>
      <c r="Q8" s="48">
        <f t="shared" si="0"/>
        <v>2.2236167171544113E-2</v>
      </c>
      <c r="R8" s="47">
        <v>349343155.12</v>
      </c>
      <c r="S8" s="48">
        <f t="shared" si="1"/>
        <v>2.2171887187954466E-2</v>
      </c>
      <c r="T8" s="101">
        <f t="shared" si="2"/>
        <v>-7.3519033030170168E-3</v>
      </c>
      <c r="U8" s="87">
        <f t="shared" si="3"/>
        <v>1.9515011529732701E-3</v>
      </c>
      <c r="V8" s="102">
        <f t="shared" si="4"/>
        <v>1.2167311532238045E-3</v>
      </c>
      <c r="W8" s="103">
        <f t="shared" si="5"/>
        <v>165.02514065822996</v>
      </c>
      <c r="X8" s="103">
        <f t="shared" si="6"/>
        <v>0.20079122970400867</v>
      </c>
      <c r="Y8" s="81">
        <v>165.02510000000001</v>
      </c>
      <c r="Z8" s="81">
        <v>167.5377</v>
      </c>
      <c r="AA8" s="205">
        <v>1798</v>
      </c>
      <c r="AB8" s="207">
        <v>2116908.6948000002</v>
      </c>
      <c r="AC8" s="189"/>
      <c r="AD8" s="190"/>
      <c r="AE8" s="190"/>
      <c r="AF8" s="190"/>
      <c r="AG8" s="185"/>
      <c r="AH8" s="186"/>
      <c r="AI8" s="186"/>
      <c r="AJ8" s="186"/>
      <c r="AK8" s="187"/>
      <c r="AL8" s="185"/>
      <c r="AM8" s="186"/>
      <c r="AN8" s="186"/>
      <c r="AO8" s="186"/>
      <c r="AP8" s="187"/>
      <c r="AQ8" s="185"/>
      <c r="AR8" s="186"/>
      <c r="AS8" s="186"/>
      <c r="AT8" s="186"/>
      <c r="AU8" s="187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pans="1:257" ht="18" customHeight="1" x14ac:dyDescent="0.35">
      <c r="A9" s="156">
        <v>6</v>
      </c>
      <c r="B9" s="120" t="s">
        <v>35</v>
      </c>
      <c r="C9" s="86" t="s">
        <v>36</v>
      </c>
      <c r="D9" s="80">
        <v>1393424904</v>
      </c>
      <c r="E9" s="104"/>
      <c r="F9" s="81"/>
      <c r="G9" s="81"/>
      <c r="H9" s="81"/>
      <c r="I9" s="81"/>
      <c r="J9" s="82">
        <v>1393424905</v>
      </c>
      <c r="K9" s="82">
        <v>5825890</v>
      </c>
      <c r="L9" s="82">
        <v>2858739</v>
      </c>
      <c r="M9" s="46">
        <v>7903146</v>
      </c>
      <c r="N9" s="45">
        <v>1797288791</v>
      </c>
      <c r="O9" s="45">
        <v>84361994.829999998</v>
      </c>
      <c r="P9" s="224">
        <v>1791896937</v>
      </c>
      <c r="Q9" s="48">
        <f t="shared" si="0"/>
        <v>0.11321814458881981</v>
      </c>
      <c r="R9" s="47">
        <v>1712926796</v>
      </c>
      <c r="S9" s="48">
        <f t="shared" si="1"/>
        <v>0.10871493866565241</v>
      </c>
      <c r="T9" s="49">
        <f t="shared" si="2"/>
        <v>-4.4070693670704118E-2</v>
      </c>
      <c r="U9" s="87">
        <f t="shared" si="3"/>
        <v>1.6689207073388558E-3</v>
      </c>
      <c r="V9" s="50">
        <f t="shared" si="4"/>
        <v>4.6138258905490323E-3</v>
      </c>
      <c r="W9" s="51">
        <f t="shared" si="5"/>
        <v>0.94347666618241055</v>
      </c>
      <c r="X9" s="51">
        <f t="shared" si="6"/>
        <v>4.3530370695612922E-3</v>
      </c>
      <c r="Y9" s="81">
        <v>0.94</v>
      </c>
      <c r="Z9" s="81">
        <v>0.97</v>
      </c>
      <c r="AA9" s="205">
        <v>2742</v>
      </c>
      <c r="AB9" s="207">
        <v>1815547599</v>
      </c>
      <c r="AC9" s="35"/>
      <c r="AD9" s="4"/>
      <c r="AE9" s="4"/>
      <c r="AF9" s="4"/>
      <c r="AG9" s="5"/>
      <c r="AH9" s="6"/>
      <c r="AI9" s="6"/>
      <c r="AJ9" s="6"/>
      <c r="AK9" s="7"/>
      <c r="AL9" s="5"/>
      <c r="AM9" s="6"/>
      <c r="AN9" s="6"/>
      <c r="AO9" s="6"/>
      <c r="AP9" s="7"/>
      <c r="AQ9" s="5"/>
      <c r="AR9" s="6"/>
      <c r="AS9" s="6"/>
      <c r="AT9" s="6"/>
      <c r="AU9" s="7"/>
    </row>
    <row r="10" spans="1:257" ht="18" customHeight="1" x14ac:dyDescent="0.35">
      <c r="A10" s="156">
        <v>7</v>
      </c>
      <c r="B10" s="122" t="s">
        <v>37</v>
      </c>
      <c r="C10" s="86" t="s">
        <v>38</v>
      </c>
      <c r="D10" s="80">
        <v>2053979611.9100001</v>
      </c>
      <c r="E10" s="104"/>
      <c r="F10" s="81"/>
      <c r="G10" s="81">
        <v>58001122.979999997</v>
      </c>
      <c r="H10" s="81"/>
      <c r="I10" s="81"/>
      <c r="J10" s="82">
        <v>2111980734.8900001</v>
      </c>
      <c r="K10" s="82">
        <v>12364941.99</v>
      </c>
      <c r="L10" s="82">
        <v>1417591.73</v>
      </c>
      <c r="M10" s="210">
        <v>-14870709.189999999</v>
      </c>
      <c r="N10" s="45">
        <v>2710992249</v>
      </c>
      <c r="O10" s="45">
        <v>2044221</v>
      </c>
      <c r="P10" s="224">
        <v>2747460080</v>
      </c>
      <c r="Q10" s="48">
        <f t="shared" si="0"/>
        <v>0.1735938748297835</v>
      </c>
      <c r="R10" s="47">
        <v>2713036471</v>
      </c>
      <c r="S10" s="48">
        <f t="shared" si="1"/>
        <v>0.17218925772613289</v>
      </c>
      <c r="T10" s="49">
        <f t="shared" si="2"/>
        <v>-1.2529248104671278E-2</v>
      </c>
      <c r="U10" s="87">
        <f t="shared" si="3"/>
        <v>5.2251112181971103E-4</v>
      </c>
      <c r="V10" s="50">
        <f t="shared" si="4"/>
        <v>-5.4812050442207272E-3</v>
      </c>
      <c r="W10" s="51">
        <f t="shared" si="5"/>
        <v>20.888703213167545</v>
      </c>
      <c r="X10" s="51">
        <f t="shared" si="6"/>
        <v>-0.11449526541924365</v>
      </c>
      <c r="Y10" s="81">
        <v>20.49</v>
      </c>
      <c r="Z10" s="81">
        <v>21.1</v>
      </c>
      <c r="AA10" s="205">
        <v>12286</v>
      </c>
      <c r="AB10" s="207">
        <v>129880560</v>
      </c>
      <c r="AC10" s="35"/>
      <c r="AD10" s="4"/>
      <c r="AE10" s="4"/>
      <c r="AF10" s="4"/>
      <c r="AG10" s="5"/>
      <c r="AH10" s="6"/>
      <c r="AI10" s="6"/>
      <c r="AJ10" s="6"/>
      <c r="AK10" s="7"/>
      <c r="AL10" s="5"/>
      <c r="AM10" s="6"/>
      <c r="AN10" s="6"/>
      <c r="AO10" s="6"/>
      <c r="AP10" s="7"/>
      <c r="AQ10" s="5"/>
      <c r="AR10" s="6"/>
      <c r="AS10" s="6"/>
      <c r="AT10" s="6"/>
      <c r="AU10" s="7"/>
    </row>
    <row r="11" spans="1:257" ht="15" customHeight="1" x14ac:dyDescent="0.35">
      <c r="A11" s="156">
        <v>8</v>
      </c>
      <c r="B11" s="120" t="s">
        <v>39</v>
      </c>
      <c r="C11" s="86" t="s">
        <v>40</v>
      </c>
      <c r="D11" s="80">
        <v>272949662.25999999</v>
      </c>
      <c r="E11" s="104"/>
      <c r="F11" s="81">
        <v>85820366.930000007</v>
      </c>
      <c r="G11" s="81"/>
      <c r="H11" s="81"/>
      <c r="I11" s="81"/>
      <c r="J11" s="82">
        <v>354548588.49000001</v>
      </c>
      <c r="K11" s="82">
        <v>2716937.29</v>
      </c>
      <c r="L11" s="82">
        <v>674717.68</v>
      </c>
      <c r="M11" s="46">
        <v>3650223.45</v>
      </c>
      <c r="N11" s="45">
        <v>360055439.63</v>
      </c>
      <c r="O11" s="45">
        <v>5506851.1399999997</v>
      </c>
      <c r="P11" s="224">
        <v>353796124.10000002</v>
      </c>
      <c r="Q11" s="48">
        <f t="shared" si="0"/>
        <v>2.2354042750014388E-2</v>
      </c>
      <c r="R11" s="47">
        <v>354548588.49000001</v>
      </c>
      <c r="S11" s="48">
        <f t="shared" si="1"/>
        <v>2.250226229264031E-2</v>
      </c>
      <c r="T11" s="49">
        <f t="shared" si="2"/>
        <v>2.126830507016246E-3</v>
      </c>
      <c r="U11" s="87">
        <f t="shared" si="3"/>
        <v>1.903033045128116E-3</v>
      </c>
      <c r="V11" s="50">
        <f t="shared" si="4"/>
        <v>1.0295411033918005E-2</v>
      </c>
      <c r="W11" s="51">
        <f t="shared" si="5"/>
        <v>150.1233588684494</v>
      </c>
      <c r="X11" s="51">
        <f t="shared" si="6"/>
        <v>1.5455816853430664</v>
      </c>
      <c r="Y11" s="81">
        <v>150.12</v>
      </c>
      <c r="Z11" s="81">
        <v>152.16</v>
      </c>
      <c r="AA11" s="205">
        <v>1438</v>
      </c>
      <c r="AB11" s="207">
        <v>2361715</v>
      </c>
      <c r="AC11" s="38"/>
      <c r="AD11" s="4"/>
      <c r="AE11" s="4"/>
      <c r="AF11" s="4"/>
      <c r="AG11" s="5"/>
      <c r="AH11" s="6"/>
      <c r="AI11" s="6"/>
      <c r="AJ11" s="6"/>
      <c r="AK11" s="7"/>
      <c r="AL11" s="5"/>
      <c r="AM11" s="6"/>
      <c r="AN11" s="6"/>
      <c r="AO11" s="6"/>
      <c r="AP11" s="7"/>
      <c r="AQ11" s="5"/>
      <c r="AR11" s="6"/>
      <c r="AS11" s="6"/>
      <c r="AT11" s="6"/>
      <c r="AU11" s="7"/>
    </row>
    <row r="12" spans="1:257" ht="16.5" customHeight="1" x14ac:dyDescent="0.3">
      <c r="A12" s="227">
        <v>9</v>
      </c>
      <c r="B12" s="120" t="s">
        <v>41</v>
      </c>
      <c r="C12" s="86" t="s">
        <v>42</v>
      </c>
      <c r="D12" s="223">
        <v>196341.43</v>
      </c>
      <c r="E12" s="104"/>
      <c r="F12" s="81"/>
      <c r="G12" s="81"/>
      <c r="H12" s="81"/>
      <c r="I12" s="81"/>
      <c r="J12" s="82">
        <v>247419.06</v>
      </c>
      <c r="K12" s="82">
        <f>M12+L12</f>
        <v>-155548.87</v>
      </c>
      <c r="L12" s="82">
        <v>1479.41</v>
      </c>
      <c r="M12" s="46">
        <v>-157028.28</v>
      </c>
      <c r="N12" s="45">
        <v>247419057.69999999</v>
      </c>
      <c r="O12" s="45">
        <v>2118021.15</v>
      </c>
      <c r="P12" s="224">
        <v>246108114.59999999</v>
      </c>
      <c r="Q12" s="48">
        <f t="shared" si="0"/>
        <v>1.5549947950641893E-2</v>
      </c>
      <c r="R12" s="47">
        <v>245301036.55000001</v>
      </c>
      <c r="S12" s="48">
        <f t="shared" si="1"/>
        <v>1.5568608772674141E-2</v>
      </c>
      <c r="T12" s="49">
        <f t="shared" si="2"/>
        <v>-3.2793638328899788E-3</v>
      </c>
      <c r="U12" s="87">
        <f t="shared" si="3"/>
        <v>6.0309977520150025E-6</v>
      </c>
      <c r="V12" s="50">
        <f t="shared" si="4"/>
        <v>-6.4014519550549369E-4</v>
      </c>
      <c r="W12" s="51">
        <f t="shared" si="5"/>
        <v>402.68032701509833</v>
      </c>
      <c r="X12" s="51">
        <f t="shared" si="6"/>
        <v>-0.25777387666329621</v>
      </c>
      <c r="Y12" s="81">
        <v>11.78</v>
      </c>
      <c r="Z12" s="81">
        <v>11.8</v>
      </c>
      <c r="AA12" s="52">
        <v>130</v>
      </c>
      <c r="AB12" s="207">
        <v>609170.65</v>
      </c>
      <c r="AC12" s="13"/>
      <c r="AD12" s="4"/>
      <c r="AE12" s="4"/>
      <c r="AF12" s="4"/>
      <c r="AG12" s="5"/>
      <c r="AH12" s="6"/>
      <c r="AI12" s="6"/>
      <c r="AJ12" s="6"/>
      <c r="AK12" s="7"/>
      <c r="AL12" s="5"/>
      <c r="AM12" s="6"/>
      <c r="AN12" s="6"/>
      <c r="AO12" s="6"/>
      <c r="AP12" s="7"/>
      <c r="AQ12" s="5"/>
      <c r="AR12" s="6"/>
      <c r="AS12" s="6"/>
      <c r="AT12" s="6"/>
      <c r="AU12" s="7"/>
    </row>
    <row r="13" spans="1:257" ht="16.5" customHeight="1" x14ac:dyDescent="0.3">
      <c r="A13" s="156">
        <v>10</v>
      </c>
      <c r="B13" s="120" t="s">
        <v>25</v>
      </c>
      <c r="C13" s="85" t="s">
        <v>43</v>
      </c>
      <c r="D13" s="80">
        <v>251641643.02000001</v>
      </c>
      <c r="E13" s="104"/>
      <c r="F13" s="81">
        <v>101532907.01000001</v>
      </c>
      <c r="G13" s="81"/>
      <c r="H13" s="81"/>
      <c r="I13" s="81"/>
      <c r="J13" s="82">
        <v>353178150.02999997</v>
      </c>
      <c r="K13" s="82">
        <v>864131.79</v>
      </c>
      <c r="L13" s="82">
        <v>386580.9</v>
      </c>
      <c r="M13" s="210">
        <v>-1496911.45</v>
      </c>
      <c r="N13" s="45">
        <v>355957282.16000003</v>
      </c>
      <c r="O13" s="45">
        <v>3449758.99</v>
      </c>
      <c r="P13" s="224">
        <v>332407490.95999998</v>
      </c>
      <c r="Q13" s="48">
        <f t="shared" si="0"/>
        <v>2.1002636143194708E-2</v>
      </c>
      <c r="R13" s="47">
        <v>352507523.17000002</v>
      </c>
      <c r="S13" s="48">
        <f t="shared" si="1"/>
        <v>2.2372721268707148E-2</v>
      </c>
      <c r="T13" s="49">
        <f t="shared" si="2"/>
        <v>6.0468048273974555E-2</v>
      </c>
      <c r="U13" s="87">
        <f t="shared" si="3"/>
        <v>1.0966599989798453E-3</v>
      </c>
      <c r="V13" s="50">
        <f t="shared" si="4"/>
        <v>-4.2464666754873787E-3</v>
      </c>
      <c r="W13" s="51">
        <f t="shared" si="5"/>
        <v>2832.8560829725438</v>
      </c>
      <c r="X13" s="51">
        <f t="shared" si="6"/>
        <v>-12.029628952794614</v>
      </c>
      <c r="Y13" s="81">
        <v>2807.05</v>
      </c>
      <c r="Z13" s="81">
        <v>2847.11</v>
      </c>
      <c r="AA13" s="205">
        <v>20</v>
      </c>
      <c r="AB13" s="207">
        <v>124435.38</v>
      </c>
      <c r="AC13" s="13"/>
      <c r="AD13" s="4"/>
      <c r="AE13" s="4"/>
      <c r="AF13" s="4"/>
      <c r="AG13" s="5"/>
      <c r="AH13" s="6"/>
      <c r="AI13" s="6"/>
      <c r="AJ13" s="6"/>
      <c r="AK13" s="7"/>
      <c r="AL13" s="5"/>
      <c r="AM13" s="6"/>
      <c r="AN13" s="6"/>
      <c r="AO13" s="6"/>
      <c r="AP13" s="7"/>
      <c r="AQ13" s="5"/>
      <c r="AR13" s="6"/>
      <c r="AS13" s="6"/>
      <c r="AT13" s="6"/>
      <c r="AU13" s="7"/>
    </row>
    <row r="14" spans="1:257" ht="16.5" customHeight="1" x14ac:dyDescent="0.3">
      <c r="A14" s="156">
        <v>11</v>
      </c>
      <c r="B14" s="228" t="s">
        <v>44</v>
      </c>
      <c r="C14" s="88" t="s">
        <v>45</v>
      </c>
      <c r="D14" s="80">
        <v>228209117.75</v>
      </c>
      <c r="E14" s="104"/>
      <c r="F14" s="81"/>
      <c r="G14" s="81"/>
      <c r="H14" s="81"/>
      <c r="I14" s="81"/>
      <c r="J14" s="82">
        <v>228209117.75</v>
      </c>
      <c r="K14" s="82">
        <v>259798.84</v>
      </c>
      <c r="L14" s="82">
        <v>504746.78</v>
      </c>
      <c r="M14" s="210">
        <v>-244947.84</v>
      </c>
      <c r="N14" s="45">
        <v>270828487.26999998</v>
      </c>
      <c r="O14" s="45">
        <v>2432023.27</v>
      </c>
      <c r="P14" s="224">
        <v>258622817.46000001</v>
      </c>
      <c r="Q14" s="48">
        <f t="shared" si="0"/>
        <v>1.6340669452885075E-2</v>
      </c>
      <c r="R14" s="47">
        <v>268396464</v>
      </c>
      <c r="S14" s="48">
        <f t="shared" si="1"/>
        <v>1.7034414541225954E-2</v>
      </c>
      <c r="T14" s="49">
        <f t="shared" si="2"/>
        <v>3.7791122361087247E-2</v>
      </c>
      <c r="U14" s="87">
        <f t="shared" si="3"/>
        <v>1.88060145233508E-3</v>
      </c>
      <c r="V14" s="50">
        <f t="shared" si="4"/>
        <v>-9.1263437807436983E-4</v>
      </c>
      <c r="W14" s="51">
        <f t="shared" si="5"/>
        <v>133.14414973814556</v>
      </c>
      <c r="X14" s="51">
        <f t="shared" si="6"/>
        <v>-0.12151192829051326</v>
      </c>
      <c r="Y14" s="81">
        <v>130.35</v>
      </c>
      <c r="Z14" s="81">
        <v>131.29</v>
      </c>
      <c r="AA14" s="205">
        <v>571</v>
      </c>
      <c r="AB14" s="207">
        <v>2015833.7</v>
      </c>
      <c r="AC14" s="13"/>
      <c r="AD14" s="4"/>
      <c r="AE14" s="4"/>
      <c r="AF14" s="4"/>
      <c r="AG14" s="5"/>
      <c r="AH14" s="6"/>
      <c r="AI14" s="6"/>
      <c r="AJ14" s="6"/>
      <c r="AK14" s="7"/>
      <c r="AL14" s="5"/>
      <c r="AM14" s="6"/>
      <c r="AN14" s="6"/>
      <c r="AO14" s="6"/>
      <c r="AP14" s="7"/>
      <c r="AQ14" s="5"/>
      <c r="AR14" s="6"/>
      <c r="AS14" s="6"/>
      <c r="AT14" s="6"/>
      <c r="AU14" s="7"/>
    </row>
    <row r="15" spans="1:257" ht="16.5" customHeight="1" x14ac:dyDescent="0.3">
      <c r="A15" s="156">
        <v>12</v>
      </c>
      <c r="B15" s="120" t="s">
        <v>46</v>
      </c>
      <c r="C15" s="85" t="s">
        <v>47</v>
      </c>
      <c r="D15" s="80">
        <v>263940352.09999999</v>
      </c>
      <c r="E15" s="104"/>
      <c r="F15" s="81">
        <v>52452212.490000002</v>
      </c>
      <c r="G15" s="81"/>
      <c r="H15" s="81"/>
      <c r="I15" s="81"/>
      <c r="J15" s="82">
        <v>316392564.58999997</v>
      </c>
      <c r="K15" s="82">
        <v>1273894.76</v>
      </c>
      <c r="L15" s="82">
        <v>822892.97</v>
      </c>
      <c r="M15" s="46">
        <v>6330447.1900000004</v>
      </c>
      <c r="N15" s="45">
        <v>328416292.91000003</v>
      </c>
      <c r="O15" s="45">
        <v>4153237.36</v>
      </c>
      <c r="P15" s="224">
        <v>314051504.32999998</v>
      </c>
      <c r="Q15" s="48">
        <f t="shared" si="0"/>
        <v>1.984284246006851E-2</v>
      </c>
      <c r="R15" s="47">
        <v>324263055.55000001</v>
      </c>
      <c r="S15" s="48">
        <f t="shared" si="1"/>
        <v>2.0580119522898333E-2</v>
      </c>
      <c r="T15" s="49">
        <f t="shared" si="2"/>
        <v>3.2515530348391213E-2</v>
      </c>
      <c r="U15" s="87">
        <f t="shared" si="3"/>
        <v>2.5377327324700833E-3</v>
      </c>
      <c r="V15" s="50">
        <f t="shared" si="4"/>
        <v>1.9522566884046005E-2</v>
      </c>
      <c r="W15" s="51">
        <f t="shared" si="5"/>
        <v>1.2187529650363398</v>
      </c>
      <c r="X15" s="51">
        <f t="shared" si="6"/>
        <v>2.3793186275051326E-2</v>
      </c>
      <c r="Y15" s="81">
        <v>1.28</v>
      </c>
      <c r="Z15" s="81">
        <v>1.33</v>
      </c>
      <c r="AA15" s="205">
        <v>102</v>
      </c>
      <c r="AB15" s="207">
        <v>266061347.00999999</v>
      </c>
      <c r="AC15" s="13"/>
      <c r="AD15" s="4"/>
      <c r="AE15" s="4"/>
      <c r="AF15" s="4"/>
      <c r="AG15" s="5"/>
      <c r="AH15" s="6"/>
      <c r="AI15" s="6"/>
      <c r="AJ15" s="6"/>
      <c r="AK15" s="7"/>
      <c r="AL15" s="5"/>
      <c r="AM15" s="6"/>
      <c r="AN15" s="6"/>
      <c r="AO15" s="6"/>
      <c r="AP15" s="7"/>
      <c r="AQ15" s="5"/>
      <c r="AR15" s="6"/>
      <c r="AS15" s="6"/>
      <c r="AT15" s="6"/>
      <c r="AU15" s="7"/>
    </row>
    <row r="16" spans="1:257" ht="16.5" customHeight="1" x14ac:dyDescent="0.3">
      <c r="A16" s="156">
        <v>13</v>
      </c>
      <c r="B16" s="228" t="s">
        <v>48</v>
      </c>
      <c r="C16" s="88" t="s">
        <v>49</v>
      </c>
      <c r="D16" s="80">
        <v>213680912.69999999</v>
      </c>
      <c r="E16" s="104"/>
      <c r="F16" s="81">
        <v>61291760.270000003</v>
      </c>
      <c r="G16" s="81"/>
      <c r="H16" s="81"/>
      <c r="I16" s="81"/>
      <c r="J16" s="82">
        <v>283143102.10000002</v>
      </c>
      <c r="K16" s="82">
        <v>371787.67</v>
      </c>
      <c r="L16" s="82">
        <v>361684.83</v>
      </c>
      <c r="M16" s="46">
        <v>10102.84</v>
      </c>
      <c r="N16" s="45">
        <v>287151096.07999998</v>
      </c>
      <c r="O16" s="45">
        <v>3558823.57</v>
      </c>
      <c r="P16" s="224">
        <v>293445925.73000002</v>
      </c>
      <c r="Q16" s="48">
        <f t="shared" si="0"/>
        <v>1.8540911903070695E-2</v>
      </c>
      <c r="R16" s="47">
        <v>283592272.50999999</v>
      </c>
      <c r="S16" s="48">
        <f t="shared" si="1"/>
        <v>1.7998852364253418E-2</v>
      </c>
      <c r="T16" s="49">
        <f t="shared" si="2"/>
        <v>-3.3579110684489065E-2</v>
      </c>
      <c r="U16" s="87">
        <f t="shared" si="3"/>
        <v>1.275369130473209E-3</v>
      </c>
      <c r="V16" s="50">
        <f t="shared" si="4"/>
        <v>3.5624524993514254E-5</v>
      </c>
      <c r="W16" s="51">
        <f t="shared" si="5"/>
        <v>1.4358478920429256</v>
      </c>
      <c r="X16" s="51">
        <f t="shared" si="6"/>
        <v>5.1151399116967962E-5</v>
      </c>
      <c r="Y16" s="81">
        <v>1.4358</v>
      </c>
      <c r="Z16" s="81">
        <v>1.4539</v>
      </c>
      <c r="AA16" s="205">
        <v>11</v>
      </c>
      <c r="AB16" s="207">
        <v>197508576</v>
      </c>
      <c r="AC16" s="13"/>
      <c r="AD16" s="4"/>
      <c r="AE16" s="4"/>
      <c r="AF16" s="4"/>
      <c r="AG16" s="5"/>
      <c r="AH16" s="6"/>
      <c r="AI16" s="6"/>
      <c r="AJ16" s="6"/>
      <c r="AK16" s="7"/>
      <c r="AL16" s="5"/>
      <c r="AM16" s="6"/>
      <c r="AN16" s="6"/>
      <c r="AO16" s="6"/>
      <c r="AP16" s="7"/>
      <c r="AQ16" s="5"/>
      <c r="AR16" s="6"/>
      <c r="AS16" s="6"/>
      <c r="AT16" s="6"/>
      <c r="AU16" s="7"/>
    </row>
    <row r="17" spans="1:257" ht="15.95" customHeight="1" x14ac:dyDescent="0.3">
      <c r="A17" s="156">
        <v>14</v>
      </c>
      <c r="B17" s="229" t="s">
        <v>50</v>
      </c>
      <c r="C17" s="106" t="s">
        <v>51</v>
      </c>
      <c r="D17" s="219">
        <v>3621932.74</v>
      </c>
      <c r="E17" s="219"/>
      <c r="F17" s="44"/>
      <c r="G17" s="219"/>
      <c r="H17" s="219"/>
      <c r="I17" s="219">
        <v>1882545.57</v>
      </c>
      <c r="J17" s="219">
        <v>3621932.74</v>
      </c>
      <c r="K17" s="219">
        <v>0</v>
      </c>
      <c r="L17" s="219">
        <v>0</v>
      </c>
      <c r="M17" s="220">
        <v>0</v>
      </c>
      <c r="N17" s="219">
        <v>5504478.3099999996</v>
      </c>
      <c r="O17" s="219">
        <v>0</v>
      </c>
      <c r="P17" s="224">
        <v>5504478.3099999996</v>
      </c>
      <c r="Q17" s="48">
        <f t="shared" si="0"/>
        <v>3.4779166609379749E-4</v>
      </c>
      <c r="R17" s="56">
        <v>5504478.3099999996</v>
      </c>
      <c r="S17" s="48">
        <f t="shared" si="1"/>
        <v>3.4935469703403711E-4</v>
      </c>
      <c r="T17" s="49">
        <f t="shared" si="2"/>
        <v>0</v>
      </c>
      <c r="U17" s="87">
        <f>(L17/R17)</f>
        <v>0</v>
      </c>
      <c r="V17" s="58">
        <f t="shared" si="4"/>
        <v>0</v>
      </c>
      <c r="W17" s="59">
        <f t="shared" si="5"/>
        <v>1.3927630965032134</v>
      </c>
      <c r="X17" s="59">
        <f t="shared" si="6"/>
        <v>0</v>
      </c>
      <c r="Y17" s="219">
        <v>1.39</v>
      </c>
      <c r="Z17" s="219">
        <v>1.45</v>
      </c>
      <c r="AA17" s="221">
        <v>2420</v>
      </c>
      <c r="AB17" s="222">
        <v>3952200</v>
      </c>
      <c r="AC17" s="13"/>
      <c r="AD17" s="4"/>
      <c r="AE17" s="4"/>
      <c r="AF17" s="4"/>
      <c r="AG17" s="5"/>
      <c r="AH17" s="6"/>
      <c r="AI17" s="6"/>
      <c r="AJ17" s="6"/>
      <c r="AK17" s="7"/>
      <c r="AL17" s="5"/>
      <c r="AM17" s="6"/>
      <c r="AN17" s="6"/>
      <c r="AO17" s="6"/>
      <c r="AP17" s="7"/>
      <c r="AQ17" s="5"/>
      <c r="AR17" s="6"/>
      <c r="AS17" s="6"/>
      <c r="AT17" s="6"/>
      <c r="AU17" s="7"/>
    </row>
    <row r="18" spans="1:257" ht="16.5" customHeight="1" x14ac:dyDescent="0.3">
      <c r="A18" s="156">
        <v>15</v>
      </c>
      <c r="B18" s="120" t="s">
        <v>52</v>
      </c>
      <c r="C18" s="86" t="s">
        <v>53</v>
      </c>
      <c r="D18" s="80">
        <v>362334556.60000002</v>
      </c>
      <c r="E18" s="104"/>
      <c r="F18" s="81">
        <v>16071013.67</v>
      </c>
      <c r="G18" s="81">
        <v>50581958.719999999</v>
      </c>
      <c r="H18" s="81"/>
      <c r="I18" s="81"/>
      <c r="J18" s="82">
        <v>428987528.99000001</v>
      </c>
      <c r="K18" s="82">
        <v>5227262.79</v>
      </c>
      <c r="L18" s="82">
        <v>3827698.84</v>
      </c>
      <c r="M18" s="46">
        <v>1399563.95</v>
      </c>
      <c r="N18" s="45">
        <v>432258056.91000003</v>
      </c>
      <c r="O18" s="45">
        <v>3827698.84</v>
      </c>
      <c r="P18" s="224">
        <v>354398003.36000001</v>
      </c>
      <c r="Q18" s="48">
        <f t="shared" si="0"/>
        <v>2.2392071529279883E-2</v>
      </c>
      <c r="R18" s="47">
        <v>428430358.06999999</v>
      </c>
      <c r="S18" s="48">
        <f t="shared" si="1"/>
        <v>2.7191343032783956E-2</v>
      </c>
      <c r="T18" s="49">
        <f>((R18-P18)/P18)</f>
        <v>0.20889608295788673</v>
      </c>
      <c r="U18" s="87">
        <f>(L18/R18)</f>
        <v>8.934238127389197E-3</v>
      </c>
      <c r="V18" s="50">
        <f t="shared" si="4"/>
        <v>3.266724506416348E-3</v>
      </c>
      <c r="W18" s="51">
        <f t="shared" si="5"/>
        <v>139.80864537590398</v>
      </c>
      <c r="X18" s="51">
        <f t="shared" si="6"/>
        <v>0.45671632805833812</v>
      </c>
      <c r="Y18" s="81">
        <v>139.69</v>
      </c>
      <c r="Z18" s="81">
        <v>141.44999999999999</v>
      </c>
      <c r="AA18" s="205">
        <v>139</v>
      </c>
      <c r="AB18" s="207">
        <v>3064405.33</v>
      </c>
      <c r="AC18" s="3"/>
      <c r="AD18" s="9"/>
      <c r="AE18" s="4"/>
      <c r="AF18" s="4"/>
      <c r="AG18" s="5"/>
      <c r="AH18" s="6"/>
      <c r="AI18" s="6"/>
      <c r="AJ18" s="6"/>
      <c r="AK18" s="7"/>
      <c r="AL18" s="5"/>
      <c r="AM18" s="6"/>
      <c r="AN18" s="6"/>
      <c r="AO18" s="6"/>
      <c r="AP18" s="7"/>
      <c r="AQ18" s="5"/>
      <c r="AR18" s="6"/>
      <c r="AS18" s="6"/>
      <c r="AT18" s="6"/>
      <c r="AU18" s="7"/>
    </row>
    <row r="19" spans="1:257" ht="16.5" customHeight="1" x14ac:dyDescent="0.3">
      <c r="A19" s="230">
        <v>16</v>
      </c>
      <c r="B19" s="231" t="s">
        <v>176</v>
      </c>
      <c r="C19" s="148" t="s">
        <v>177</v>
      </c>
      <c r="D19" s="80">
        <v>17887574.449999999</v>
      </c>
      <c r="E19" s="104"/>
      <c r="F19" s="81">
        <v>5503901.6799999997</v>
      </c>
      <c r="G19" s="81"/>
      <c r="H19" s="81"/>
      <c r="I19" s="81"/>
      <c r="J19" s="82">
        <v>23391476.129999999</v>
      </c>
      <c r="K19" s="82">
        <v>61064.160000000003</v>
      </c>
      <c r="L19" s="82">
        <v>21526.47</v>
      </c>
      <c r="M19" s="46">
        <v>39537.69</v>
      </c>
      <c r="N19" s="45">
        <v>24322268.52</v>
      </c>
      <c r="O19" s="45">
        <v>356720.65</v>
      </c>
      <c r="P19" s="224">
        <v>23899049.1871964</v>
      </c>
      <c r="Q19" s="48">
        <f t="shared" si="0"/>
        <v>1.510023233223105E-3</v>
      </c>
      <c r="R19" s="47">
        <v>23965547.870000001</v>
      </c>
      <c r="S19" s="48">
        <f t="shared" si="1"/>
        <v>1.5210300129929234E-3</v>
      </c>
      <c r="T19" s="49">
        <f>((R19-P19)/P19)</f>
        <v>2.7824823608140368E-3</v>
      </c>
      <c r="U19" s="149">
        <f>(L18/R19)</f>
        <v>0.15971672589181662</v>
      </c>
      <c r="V19" s="150" t="e">
        <v>#DIV/0!</v>
      </c>
      <c r="W19" s="151" t="e">
        <v>#DIV/0!</v>
      </c>
      <c r="X19" s="151" t="e">
        <v>#DIV/0!</v>
      </c>
      <c r="Y19" s="81">
        <v>93.19</v>
      </c>
      <c r="Z19" s="81">
        <v>96.04</v>
      </c>
      <c r="AA19" s="205">
        <v>3</v>
      </c>
      <c r="AB19" s="207">
        <v>253000</v>
      </c>
      <c r="AC19" s="113"/>
      <c r="AD19" s="113"/>
      <c r="AE19" s="114"/>
      <c r="AF19" s="114"/>
      <c r="AG19" s="115"/>
      <c r="AH19" s="115"/>
      <c r="AI19" s="115"/>
      <c r="AJ19" s="115"/>
      <c r="AK19" s="116"/>
      <c r="AL19" s="115"/>
      <c r="AM19" s="115"/>
      <c r="AN19" s="115"/>
      <c r="AO19" s="115"/>
      <c r="AP19" s="116"/>
      <c r="AQ19" s="115"/>
      <c r="AR19" s="115"/>
      <c r="AS19" s="115"/>
      <c r="AT19" s="115"/>
      <c r="AU19" s="116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  <c r="IW19" s="117"/>
    </row>
    <row r="20" spans="1:257" ht="16.5" customHeight="1" x14ac:dyDescent="0.3">
      <c r="A20" s="159"/>
      <c r="B20" s="60"/>
      <c r="C20" s="61" t="s">
        <v>54</v>
      </c>
      <c r="D20" s="62"/>
      <c r="E20" s="62"/>
      <c r="F20" s="62"/>
      <c r="G20" s="62"/>
      <c r="H20" s="62"/>
      <c r="I20" s="62"/>
      <c r="J20" s="62"/>
      <c r="K20" s="62"/>
      <c r="L20" s="62"/>
      <c r="M20" s="126"/>
      <c r="N20" s="62"/>
      <c r="O20" s="62"/>
      <c r="P20" s="192">
        <f>SUM(P4:P19)</f>
        <v>15826941375.057194</v>
      </c>
      <c r="Q20" s="125">
        <f>(P20/$P$146)</f>
        <v>1.2249150623319039E-2</v>
      </c>
      <c r="R20" s="226">
        <f>SUM(R4:R19)</f>
        <v>15756130822.719999</v>
      </c>
      <c r="S20" s="125">
        <f>(R20/$R$146)</f>
        <v>1.2104103842155201E-2</v>
      </c>
      <c r="T20" s="64">
        <f>((R20-P20)/P20)</f>
        <v>-4.4740515971576069E-3</v>
      </c>
      <c r="U20" s="79"/>
      <c r="V20" s="65"/>
      <c r="W20" s="66"/>
      <c r="X20" s="66"/>
      <c r="Y20" s="62"/>
      <c r="Z20" s="62"/>
      <c r="AA20" s="67">
        <f>SUM(AA4:AA19)</f>
        <v>53748</v>
      </c>
      <c r="AB20" s="160"/>
      <c r="AC20" s="10"/>
      <c r="AD20" s="10"/>
      <c r="AE20" s="13"/>
      <c r="AF20" s="4"/>
      <c r="AG20" s="5"/>
      <c r="AH20" s="6"/>
      <c r="AI20" s="6"/>
      <c r="AJ20" s="6"/>
      <c r="AK20" s="7"/>
      <c r="AL20" s="5"/>
      <c r="AM20" s="6"/>
      <c r="AN20" s="6"/>
      <c r="AO20" s="6"/>
      <c r="AP20" s="7"/>
      <c r="AQ20" s="5"/>
      <c r="AR20" s="6"/>
      <c r="AS20" s="6"/>
      <c r="AT20" s="6"/>
      <c r="AU20" s="7"/>
    </row>
    <row r="21" spans="1:257" ht="15.75" customHeight="1" x14ac:dyDescent="0.3">
      <c r="A21" s="240" t="s">
        <v>55</v>
      </c>
      <c r="B21" s="241"/>
      <c r="C21" s="241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121"/>
      <c r="Q21" s="68"/>
      <c r="R21" s="68"/>
      <c r="S21" s="68"/>
      <c r="T21" s="49"/>
      <c r="U21" s="49"/>
      <c r="V21" s="68"/>
      <c r="W21" s="68"/>
      <c r="X21" s="68"/>
      <c r="Y21" s="68"/>
      <c r="Z21" s="68"/>
      <c r="AA21" s="68"/>
      <c r="AB21" s="161"/>
      <c r="AC21" s="10"/>
      <c r="AD21" s="10"/>
      <c r="AE21" s="13"/>
      <c r="AF21" s="4"/>
      <c r="AG21" s="5"/>
      <c r="AH21" s="6"/>
      <c r="AI21" s="6"/>
      <c r="AJ21" s="6"/>
      <c r="AK21" s="7"/>
      <c r="AL21" s="5"/>
      <c r="AM21" s="6"/>
      <c r="AN21" s="6"/>
      <c r="AO21" s="6"/>
      <c r="AP21" s="7"/>
      <c r="AQ21" s="5"/>
      <c r="AR21" s="6"/>
      <c r="AS21" s="6"/>
      <c r="AT21" s="6"/>
      <c r="AU21" s="7"/>
    </row>
    <row r="22" spans="1:257" ht="18" customHeight="1" x14ac:dyDescent="0.35">
      <c r="A22" s="156">
        <v>17</v>
      </c>
      <c r="B22" s="120" t="s">
        <v>25</v>
      </c>
      <c r="C22" s="86" t="s">
        <v>56</v>
      </c>
      <c r="D22" s="81"/>
      <c r="E22" s="81"/>
      <c r="F22" s="81">
        <v>201185399631.54001</v>
      </c>
      <c r="G22" s="81">
        <v>17783252039.470001</v>
      </c>
      <c r="H22" s="81"/>
      <c r="I22" s="81"/>
      <c r="J22" s="81">
        <v>218968651671.01001</v>
      </c>
      <c r="K22" s="81">
        <v>1759277078.3</v>
      </c>
      <c r="L22" s="81">
        <v>324475530.87</v>
      </c>
      <c r="M22" s="54">
        <v>1434801547.4300001</v>
      </c>
      <c r="N22" s="44">
        <v>220606430302.39999</v>
      </c>
      <c r="O22" s="44">
        <v>1009717277.3200001</v>
      </c>
      <c r="P22" s="224">
        <v>217635743454.04999</v>
      </c>
      <c r="Q22" s="48">
        <f t="shared" ref="Q22:Q50" si="7">(P22/$P$51)</f>
        <v>0.40450654550669107</v>
      </c>
      <c r="R22" s="56">
        <v>219596713025.07999</v>
      </c>
      <c r="S22" s="48">
        <f t="shared" ref="S22:S50" si="8">(R22/$R$51)</f>
        <v>0.40053385174244266</v>
      </c>
      <c r="T22" s="49">
        <f t="shared" ref="T22:T51" si="9">((R22-P22)/P22)</f>
        <v>9.0103286340188112E-3</v>
      </c>
      <c r="U22" s="87">
        <f t="shared" ref="U22:U50" si="10">(L22/R22)</f>
        <v>1.4775973938778487E-3</v>
      </c>
      <c r="V22" s="50">
        <f t="shared" ref="V22:V50" si="11">M22/R22</f>
        <v>6.5338024766615358E-3</v>
      </c>
      <c r="W22" s="51">
        <f t="shared" ref="W22:W50" si="12">R22/AB22</f>
        <v>100.00000000003642</v>
      </c>
      <c r="X22" s="51">
        <f t="shared" ref="X22:X50" si="13">M22/AB22</f>
        <v>0.65338024766639158</v>
      </c>
      <c r="Y22" s="44">
        <v>100</v>
      </c>
      <c r="Z22" s="44">
        <v>100</v>
      </c>
      <c r="AA22" s="205">
        <v>90465</v>
      </c>
      <c r="AB22" s="206">
        <v>2195967130.25</v>
      </c>
      <c r="AC22" s="37"/>
      <c r="AD22" s="10"/>
      <c r="AE22" s="13"/>
      <c r="AF22" s="4"/>
      <c r="AG22" s="5"/>
      <c r="AH22" s="6"/>
      <c r="AI22" s="6"/>
      <c r="AJ22" s="6"/>
      <c r="AK22" s="7"/>
      <c r="AL22" s="5"/>
      <c r="AM22" s="6"/>
      <c r="AN22" s="6"/>
      <c r="AO22" s="6"/>
      <c r="AP22" s="7"/>
      <c r="AQ22" s="5"/>
      <c r="AR22" s="6"/>
      <c r="AS22" s="6"/>
      <c r="AT22" s="6"/>
      <c r="AU22" s="7"/>
    </row>
    <row r="23" spans="1:257" ht="18" customHeight="1" x14ac:dyDescent="0.35">
      <c r="A23" s="156">
        <v>18</v>
      </c>
      <c r="B23" s="120" t="s">
        <v>57</v>
      </c>
      <c r="C23" s="86" t="s">
        <v>58</v>
      </c>
      <c r="D23" s="81"/>
      <c r="E23" s="81"/>
      <c r="F23" s="81">
        <v>156381367539.5</v>
      </c>
      <c r="G23" s="81">
        <v>2151763206.52</v>
      </c>
      <c r="H23" s="81"/>
      <c r="I23" s="81"/>
      <c r="J23" s="81">
        <v>155636512576.94</v>
      </c>
      <c r="K23" s="81">
        <v>2669312879</v>
      </c>
      <c r="L23" s="81">
        <v>186155429.47999999</v>
      </c>
      <c r="M23" s="54">
        <v>2483157449.52</v>
      </c>
      <c r="N23" s="44">
        <v>159316260228.45001</v>
      </c>
      <c r="O23" s="44">
        <v>3679747651.5100002</v>
      </c>
      <c r="P23" s="224">
        <v>151491730259.45999</v>
      </c>
      <c r="Q23" s="48">
        <f t="shared" si="7"/>
        <v>0.28156862244929776</v>
      </c>
      <c r="R23" s="56">
        <v>155636512576.94</v>
      </c>
      <c r="S23" s="48">
        <f t="shared" si="8"/>
        <v>0.28387351976021313</v>
      </c>
      <c r="T23" s="49">
        <f t="shared" si="9"/>
        <v>2.7359792579972779E-2</v>
      </c>
      <c r="U23" s="87">
        <f t="shared" si="10"/>
        <v>1.1960909840354637E-3</v>
      </c>
      <c r="V23" s="50">
        <f t="shared" si="11"/>
        <v>1.595485152169825E-2</v>
      </c>
      <c r="W23" s="51">
        <f t="shared" si="12"/>
        <v>100.02629095914374</v>
      </c>
      <c r="X23" s="51">
        <f t="shared" si="13"/>
        <v>1.5959046205193264</v>
      </c>
      <c r="Y23" s="44">
        <v>100</v>
      </c>
      <c r="Z23" s="44">
        <v>100</v>
      </c>
      <c r="AA23" s="205">
        <v>22586</v>
      </c>
      <c r="AB23" s="206">
        <v>1555956050</v>
      </c>
      <c r="AC23" s="37"/>
      <c r="AD23" s="10"/>
      <c r="AE23" s="13"/>
      <c r="AF23" s="4"/>
      <c r="AG23" s="5"/>
      <c r="AH23" s="6"/>
      <c r="AI23" s="6"/>
      <c r="AJ23" s="6"/>
      <c r="AK23" s="7"/>
      <c r="AL23" s="5"/>
      <c r="AM23" s="6"/>
      <c r="AN23" s="6"/>
      <c r="AO23" s="6"/>
      <c r="AP23" s="7"/>
      <c r="AQ23" s="5"/>
      <c r="AR23" s="6"/>
      <c r="AS23" s="6"/>
      <c r="AT23" s="6"/>
      <c r="AU23" s="7"/>
    </row>
    <row r="24" spans="1:257" ht="18" customHeight="1" x14ac:dyDescent="0.35">
      <c r="A24" s="156">
        <v>19</v>
      </c>
      <c r="B24" s="120" t="s">
        <v>35</v>
      </c>
      <c r="C24" s="86" t="s">
        <v>59</v>
      </c>
      <c r="D24" s="81"/>
      <c r="E24" s="81"/>
      <c r="F24" s="81">
        <v>7661288004</v>
      </c>
      <c r="G24" s="81"/>
      <c r="H24" s="81"/>
      <c r="I24" s="81"/>
      <c r="J24" s="81">
        <v>7661288004</v>
      </c>
      <c r="K24" s="81">
        <v>185819327</v>
      </c>
      <c r="L24" s="81">
        <v>23004695</v>
      </c>
      <c r="M24" s="54">
        <v>162814632</v>
      </c>
      <c r="N24" s="44">
        <v>22152456442.540001</v>
      </c>
      <c r="O24" s="44">
        <v>508312140.74000001</v>
      </c>
      <c r="P24" s="224">
        <v>21988012261</v>
      </c>
      <c r="Q24" s="48">
        <f t="shared" si="7"/>
        <v>4.0867803886882E-2</v>
      </c>
      <c r="R24" s="56">
        <v>21644144302</v>
      </c>
      <c r="S24" s="48">
        <f t="shared" si="8"/>
        <v>3.9477879088104559E-2</v>
      </c>
      <c r="T24" s="49">
        <f t="shared" si="9"/>
        <v>-1.5638883356906091E-2</v>
      </c>
      <c r="U24" s="87">
        <f t="shared" si="10"/>
        <v>1.0628599901671455E-3</v>
      </c>
      <c r="V24" s="50">
        <f t="shared" si="11"/>
        <v>7.5223409033063652E-3</v>
      </c>
      <c r="W24" s="51">
        <f t="shared" si="12"/>
        <v>1.024690244352956</v>
      </c>
      <c r="X24" s="51">
        <f t="shared" si="13"/>
        <v>7.7080693383152358E-3</v>
      </c>
      <c r="Y24" s="44">
        <v>1</v>
      </c>
      <c r="Z24" s="44">
        <v>1</v>
      </c>
      <c r="AA24" s="205">
        <v>3535</v>
      </c>
      <c r="AB24" s="206">
        <v>21122621613</v>
      </c>
      <c r="AC24" s="37"/>
      <c r="AD24" s="10"/>
      <c r="AE24" s="13"/>
      <c r="AF24" s="4"/>
      <c r="AG24" s="5"/>
      <c r="AH24" s="6"/>
      <c r="AI24" s="6"/>
      <c r="AJ24" s="6"/>
      <c r="AK24" s="7"/>
      <c r="AL24" s="5"/>
      <c r="AM24" s="6"/>
      <c r="AN24" s="6"/>
      <c r="AO24" s="6"/>
      <c r="AP24" s="7"/>
      <c r="AQ24" s="5"/>
      <c r="AR24" s="6"/>
      <c r="AS24" s="6"/>
      <c r="AT24" s="6"/>
      <c r="AU24" s="7"/>
    </row>
    <row r="25" spans="1:257" ht="18" customHeight="1" x14ac:dyDescent="0.35">
      <c r="A25" s="156">
        <v>20</v>
      </c>
      <c r="B25" s="120" t="s">
        <v>60</v>
      </c>
      <c r="C25" s="86" t="s">
        <v>61</v>
      </c>
      <c r="D25" s="81"/>
      <c r="E25" s="81"/>
      <c r="F25" s="81">
        <v>821893848.38</v>
      </c>
      <c r="G25" s="81"/>
      <c r="H25" s="81"/>
      <c r="I25" s="81">
        <f>SUM(J25-F25)</f>
        <v>8466063.9700000286</v>
      </c>
      <c r="J25" s="81">
        <v>830359912.35000002</v>
      </c>
      <c r="K25" s="81">
        <v>7946040.2000000002</v>
      </c>
      <c r="L25" s="81">
        <v>1551238.84</v>
      </c>
      <c r="M25" s="54">
        <v>6394801.3600000003</v>
      </c>
      <c r="N25" s="44">
        <v>830359912.35000002</v>
      </c>
      <c r="O25" s="44">
        <v>27477456.399999999</v>
      </c>
      <c r="P25" s="224">
        <v>785917646.33000004</v>
      </c>
      <c r="Q25" s="48">
        <f t="shared" si="7"/>
        <v>1.4607381449583379E-3</v>
      </c>
      <c r="R25" s="56">
        <v>802882445.95000005</v>
      </c>
      <c r="S25" s="48">
        <f t="shared" si="8"/>
        <v>1.4644189985485777E-3</v>
      </c>
      <c r="T25" s="49">
        <f t="shared" si="9"/>
        <v>2.1585976214200733E-2</v>
      </c>
      <c r="U25" s="87">
        <f t="shared" si="10"/>
        <v>1.9320871290995996E-3</v>
      </c>
      <c r="V25" s="50">
        <f t="shared" si="11"/>
        <v>7.9648040535167455E-3</v>
      </c>
      <c r="W25" s="51">
        <f t="shared" si="12"/>
        <v>102.64064826417888</v>
      </c>
      <c r="X25" s="51">
        <f t="shared" si="13"/>
        <v>0.81751265135011852</v>
      </c>
      <c r="Y25" s="44">
        <v>100</v>
      </c>
      <c r="Z25" s="44">
        <v>100</v>
      </c>
      <c r="AA25" s="205">
        <v>743</v>
      </c>
      <c r="AB25" s="206">
        <v>7822265.9299999997</v>
      </c>
      <c r="AC25" s="37"/>
      <c r="AD25" s="10"/>
      <c r="AE25" s="13"/>
      <c r="AF25" s="4"/>
      <c r="AG25" s="5"/>
      <c r="AH25" s="6"/>
      <c r="AI25" s="6"/>
      <c r="AJ25" s="6"/>
      <c r="AK25" s="7"/>
      <c r="AL25" s="5"/>
      <c r="AM25" s="6"/>
      <c r="AN25" s="6"/>
      <c r="AO25" s="6"/>
      <c r="AP25" s="7"/>
      <c r="AQ25" s="5"/>
      <c r="AR25" s="6"/>
      <c r="AS25" s="6"/>
      <c r="AT25" s="6"/>
      <c r="AU25" s="7"/>
    </row>
    <row r="26" spans="1:257" ht="18" customHeight="1" x14ac:dyDescent="0.35">
      <c r="A26" s="156">
        <v>21</v>
      </c>
      <c r="B26" s="122" t="s">
        <v>37</v>
      </c>
      <c r="C26" s="86" t="s">
        <v>62</v>
      </c>
      <c r="D26" s="81"/>
      <c r="E26" s="81"/>
      <c r="F26" s="81">
        <v>17198569476.720001</v>
      </c>
      <c r="G26" s="81"/>
      <c r="H26" s="81"/>
      <c r="I26" s="81"/>
      <c r="J26" s="81">
        <v>17198569476.720001</v>
      </c>
      <c r="K26" s="81">
        <v>514693990.81</v>
      </c>
      <c r="L26" s="81">
        <v>52722532.090000004</v>
      </c>
      <c r="M26" s="54">
        <v>461971458.72000003</v>
      </c>
      <c r="N26" s="44">
        <v>59978095609</v>
      </c>
      <c r="O26" s="44">
        <v>6742594</v>
      </c>
      <c r="P26" s="224">
        <v>58784446053</v>
      </c>
      <c r="Q26" s="48">
        <f t="shared" si="7"/>
        <v>0.10925913558608046</v>
      </c>
      <c r="R26" s="56">
        <v>59971353015</v>
      </c>
      <c r="S26" s="48">
        <f t="shared" si="8"/>
        <v>0.1093848659499759</v>
      </c>
      <c r="T26" s="49">
        <f t="shared" si="9"/>
        <v>2.0190833489013162E-2</v>
      </c>
      <c r="U26" s="87">
        <f t="shared" si="10"/>
        <v>8.7912860790072679E-4</v>
      </c>
      <c r="V26" s="50">
        <f t="shared" si="11"/>
        <v>7.7032022039664836E-3</v>
      </c>
      <c r="W26" s="51">
        <f t="shared" si="12"/>
        <v>1</v>
      </c>
      <c r="X26" s="51">
        <f t="shared" si="13"/>
        <v>7.7032022039664836E-3</v>
      </c>
      <c r="Y26" s="44">
        <v>1</v>
      </c>
      <c r="Z26" s="44">
        <v>1</v>
      </c>
      <c r="AA26" s="205">
        <v>78445</v>
      </c>
      <c r="AB26" s="206">
        <v>59971353015</v>
      </c>
      <c r="AC26" s="37"/>
      <c r="AD26" s="10"/>
      <c r="AE26" s="13"/>
      <c r="AF26" s="4"/>
      <c r="AG26" s="5"/>
      <c r="AH26" s="6"/>
      <c r="AI26" s="6"/>
      <c r="AJ26" s="6"/>
      <c r="AK26" s="7"/>
      <c r="AL26" s="5"/>
      <c r="AM26" s="6"/>
      <c r="AN26" s="6"/>
      <c r="AO26" s="6"/>
      <c r="AP26" s="7"/>
      <c r="AQ26" s="5"/>
      <c r="AR26" s="6"/>
      <c r="AS26" s="6"/>
      <c r="AT26" s="6"/>
      <c r="AU26" s="7"/>
    </row>
    <row r="27" spans="1:257" ht="18" customHeight="1" x14ac:dyDescent="0.35">
      <c r="A27" s="156">
        <v>22</v>
      </c>
      <c r="B27" s="120" t="s">
        <v>41</v>
      </c>
      <c r="C27" s="86" t="s">
        <v>63</v>
      </c>
      <c r="D27" s="81"/>
      <c r="E27" s="81"/>
      <c r="F27" s="81">
        <v>1084762546.8900001</v>
      </c>
      <c r="G27" s="81"/>
      <c r="H27" s="81"/>
      <c r="I27" s="81"/>
      <c r="J27" s="81">
        <v>1736906216.6300001</v>
      </c>
      <c r="K27" s="81">
        <v>15485296.5</v>
      </c>
      <c r="L27" s="81">
        <v>2527401.35</v>
      </c>
      <c r="M27" s="54">
        <v>12957895.15</v>
      </c>
      <c r="N27" s="44">
        <v>1765818558.1900001</v>
      </c>
      <c r="O27" s="44">
        <v>7384851.8300000001</v>
      </c>
      <c r="P27" s="224">
        <v>1612984504.96</v>
      </c>
      <c r="Q27" s="48">
        <f t="shared" si="7"/>
        <v>2.9979578708078623E-3</v>
      </c>
      <c r="R27" s="56">
        <v>1758433706.3599999</v>
      </c>
      <c r="S27" s="48">
        <f t="shared" si="8"/>
        <v>3.2072985781060903E-3</v>
      </c>
      <c r="T27" s="49">
        <f t="shared" si="9"/>
        <v>9.0173960724816024E-2</v>
      </c>
      <c r="U27" s="87">
        <f t="shared" si="10"/>
        <v>1.4373026067794059E-3</v>
      </c>
      <c r="V27" s="50">
        <f t="shared" si="11"/>
        <v>7.3689983893809423E-3</v>
      </c>
      <c r="W27" s="51">
        <f t="shared" si="12"/>
        <v>10.106182089655466</v>
      </c>
      <c r="X27" s="51">
        <f t="shared" si="13"/>
        <v>7.4472439541461655E-2</v>
      </c>
      <c r="Y27" s="44">
        <v>100</v>
      </c>
      <c r="Z27" s="44">
        <v>100</v>
      </c>
      <c r="AA27" s="205">
        <v>1305</v>
      </c>
      <c r="AB27" s="206">
        <v>173995846.38</v>
      </c>
      <c r="AC27" s="37"/>
      <c r="AD27" s="10"/>
      <c r="AE27" s="3"/>
      <c r="AF27" s="9"/>
      <c r="AG27" s="5"/>
      <c r="AH27" s="6"/>
      <c r="AI27" s="6"/>
      <c r="AJ27" s="6"/>
      <c r="AK27" s="7"/>
      <c r="AL27" s="5"/>
      <c r="AM27" s="6"/>
      <c r="AN27" s="6"/>
      <c r="AO27" s="6"/>
      <c r="AP27" s="7"/>
      <c r="AQ27" s="5"/>
      <c r="AR27" s="6"/>
      <c r="AS27" s="6"/>
      <c r="AT27" s="6"/>
      <c r="AU27" s="7"/>
    </row>
    <row r="28" spans="1:257" ht="18" customHeight="1" x14ac:dyDescent="0.35">
      <c r="A28" s="156">
        <v>23</v>
      </c>
      <c r="B28" s="120" t="s">
        <v>64</v>
      </c>
      <c r="C28" s="86" t="s">
        <v>65</v>
      </c>
      <c r="D28" s="81"/>
      <c r="E28" s="81"/>
      <c r="F28" s="81">
        <v>8276168080.4200001</v>
      </c>
      <c r="G28" s="81"/>
      <c r="H28" s="81"/>
      <c r="I28" s="81"/>
      <c r="J28" s="81">
        <v>8276168080.4200001</v>
      </c>
      <c r="K28" s="81">
        <v>227160713.75</v>
      </c>
      <c r="L28" s="81">
        <v>31465121.030000001</v>
      </c>
      <c r="M28" s="54">
        <v>195695592.72</v>
      </c>
      <c r="N28" s="44">
        <v>27687205159.919998</v>
      </c>
      <c r="O28" s="44">
        <v>124203067.91</v>
      </c>
      <c r="P28" s="224">
        <v>26904352414.419998</v>
      </c>
      <c r="Q28" s="48">
        <f t="shared" si="7"/>
        <v>5.0005511417978044E-2</v>
      </c>
      <c r="R28" s="56">
        <v>27563002092.009998</v>
      </c>
      <c r="S28" s="48">
        <f t="shared" si="8"/>
        <v>5.0273591263804158E-2</v>
      </c>
      <c r="T28" s="49">
        <f t="shared" si="9"/>
        <v>2.4481157079885033E-2</v>
      </c>
      <c r="U28" s="87">
        <f>(L28/R28)</f>
        <v>1.1415708972833971E-3</v>
      </c>
      <c r="V28" s="50">
        <f t="shared" si="11"/>
        <v>7.0999375201124598E-3</v>
      </c>
      <c r="W28" s="51">
        <f t="shared" si="12"/>
        <v>1.0071507070937022</v>
      </c>
      <c r="X28" s="51">
        <f t="shared" si="13"/>
        <v>7.1507070937023706E-3</v>
      </c>
      <c r="Y28" s="44">
        <v>1</v>
      </c>
      <c r="Z28" s="44">
        <v>1</v>
      </c>
      <c r="AA28" s="44">
        <v>19142</v>
      </c>
      <c r="AB28" s="206">
        <v>27367306499.290001</v>
      </c>
      <c r="AC28" s="37"/>
      <c r="AD28" s="10"/>
      <c r="AE28" s="10"/>
      <c r="AF28" s="11"/>
      <c r="AG28" s="5"/>
      <c r="AH28" s="6"/>
      <c r="AI28" s="6"/>
      <c r="AJ28" s="6"/>
      <c r="AK28" s="7"/>
      <c r="AL28" s="5"/>
      <c r="AM28" s="6"/>
      <c r="AN28" s="6"/>
      <c r="AO28" s="6"/>
      <c r="AP28" s="7"/>
      <c r="AQ28" s="5"/>
      <c r="AR28" s="6"/>
      <c r="AS28" s="6"/>
      <c r="AT28" s="6"/>
      <c r="AU28" s="7"/>
    </row>
    <row r="29" spans="1:257" ht="16.5" customHeight="1" x14ac:dyDescent="0.3">
      <c r="A29" s="156">
        <v>24</v>
      </c>
      <c r="B29" s="120" t="s">
        <v>66</v>
      </c>
      <c r="C29" s="86" t="s">
        <v>67</v>
      </c>
      <c r="D29" s="81"/>
      <c r="E29" s="81"/>
      <c r="F29" s="81">
        <v>604887232.87</v>
      </c>
      <c r="G29" s="81"/>
      <c r="H29" s="81"/>
      <c r="I29" s="81"/>
      <c r="J29" s="81">
        <v>604887232.87</v>
      </c>
      <c r="K29" s="81">
        <v>15782402.060000001</v>
      </c>
      <c r="L29" s="81">
        <v>3491021.67</v>
      </c>
      <c r="M29" s="54">
        <v>12291380.390000001</v>
      </c>
      <c r="N29" s="44">
        <v>2082899489.29</v>
      </c>
      <c r="O29" s="44">
        <v>58470568.380000003</v>
      </c>
      <c r="P29" s="224">
        <v>1974611178.5</v>
      </c>
      <c r="Q29" s="48">
        <f t="shared" si="7"/>
        <v>3.6700917498993998E-3</v>
      </c>
      <c r="R29" s="56">
        <v>2082783653.0999999</v>
      </c>
      <c r="S29" s="48">
        <f t="shared" si="8"/>
        <v>3.7988972941824599E-3</v>
      </c>
      <c r="T29" s="49">
        <f t="shared" si="9"/>
        <v>5.4781658170380859E-2</v>
      </c>
      <c r="U29" s="87">
        <f t="shared" si="10"/>
        <v>1.6761326433515978E-3</v>
      </c>
      <c r="V29" s="50">
        <f t="shared" si="11"/>
        <v>5.9014196561921351E-3</v>
      </c>
      <c r="W29" s="51">
        <f t="shared" si="12"/>
        <v>99.999997748205914</v>
      </c>
      <c r="X29" s="51">
        <f t="shared" si="13"/>
        <v>0.59014195233043165</v>
      </c>
      <c r="Y29" s="44">
        <v>100</v>
      </c>
      <c r="Z29" s="44">
        <v>100</v>
      </c>
      <c r="AA29" s="205">
        <v>566</v>
      </c>
      <c r="AB29" s="206">
        <v>20827837</v>
      </c>
      <c r="AC29" s="11"/>
      <c r="AD29" s="14"/>
      <c r="AE29" s="15"/>
      <c r="AF29" s="15"/>
      <c r="AG29" s="5"/>
      <c r="AH29" s="6"/>
      <c r="AI29" s="6"/>
      <c r="AJ29" s="6"/>
      <c r="AK29" s="7"/>
      <c r="AL29" s="5"/>
      <c r="AM29" s="6"/>
      <c r="AN29" s="6"/>
      <c r="AO29" s="6"/>
      <c r="AP29" s="7"/>
      <c r="AQ29" s="5"/>
      <c r="AR29" s="6"/>
      <c r="AS29" s="6"/>
      <c r="AT29" s="6"/>
      <c r="AU29" s="7"/>
    </row>
    <row r="30" spans="1:257" ht="18" customHeight="1" x14ac:dyDescent="0.35">
      <c r="A30" s="156">
        <v>25</v>
      </c>
      <c r="B30" s="120" t="s">
        <v>68</v>
      </c>
      <c r="C30" s="86" t="s">
        <v>69</v>
      </c>
      <c r="D30" s="81"/>
      <c r="E30" s="81"/>
      <c r="F30" s="81">
        <v>2118494003.0799999</v>
      </c>
      <c r="G30" s="81"/>
      <c r="H30" s="81"/>
      <c r="I30" s="81"/>
      <c r="J30" s="81">
        <v>2118494003.0799999</v>
      </c>
      <c r="K30" s="81">
        <v>38383027.520000003</v>
      </c>
      <c r="L30" s="81">
        <v>2856897.6</v>
      </c>
      <c r="M30" s="54">
        <v>35526129.920000002</v>
      </c>
      <c r="N30" s="44">
        <v>5148170282.04</v>
      </c>
      <c r="O30" s="44">
        <v>113290840.41</v>
      </c>
      <c r="P30" s="224">
        <v>4869003893.4200001</v>
      </c>
      <c r="Q30" s="48">
        <f t="shared" si="7"/>
        <v>9.0497264545232586E-3</v>
      </c>
      <c r="R30" s="56">
        <v>5034879441.6300001</v>
      </c>
      <c r="S30" s="48">
        <f t="shared" si="8"/>
        <v>9.1833781482174737E-3</v>
      </c>
      <c r="T30" s="49">
        <f t="shared" si="9"/>
        <v>3.4067655693224071E-2</v>
      </c>
      <c r="U30" s="87">
        <f t="shared" si="10"/>
        <v>5.6742125270731474E-4</v>
      </c>
      <c r="V30" s="50">
        <f t="shared" si="11"/>
        <v>7.0560040874580931E-3</v>
      </c>
      <c r="W30" s="51">
        <f t="shared" si="12"/>
        <v>99.845820116517217</v>
      </c>
      <c r="X30" s="51">
        <f t="shared" si="13"/>
        <v>0.7045125148577509</v>
      </c>
      <c r="Y30" s="44">
        <v>100</v>
      </c>
      <c r="Z30" s="44">
        <v>100</v>
      </c>
      <c r="AA30" s="205">
        <f>5128+210+104</f>
        <v>5442</v>
      </c>
      <c r="AB30" s="206">
        <v>50426542</v>
      </c>
      <c r="AC30" s="37"/>
      <c r="AD30" s="44"/>
      <c r="AE30" s="13"/>
      <c r="AF30" s="4"/>
      <c r="AG30" s="5"/>
      <c r="AH30" s="6"/>
      <c r="AI30" s="6"/>
      <c r="AJ30" s="6"/>
      <c r="AK30" s="7"/>
      <c r="AL30" s="5"/>
      <c r="AM30" s="6"/>
      <c r="AN30" s="6"/>
      <c r="AO30" s="6"/>
      <c r="AP30" s="7"/>
      <c r="AQ30" s="5"/>
      <c r="AR30" s="6"/>
      <c r="AS30" s="6"/>
      <c r="AT30" s="6"/>
      <c r="AU30" s="7"/>
    </row>
    <row r="31" spans="1:257" ht="18" customHeight="1" x14ac:dyDescent="0.35">
      <c r="A31" s="156">
        <v>26</v>
      </c>
      <c r="B31" s="122" t="s">
        <v>48</v>
      </c>
      <c r="C31" s="85" t="s">
        <v>70</v>
      </c>
      <c r="D31" s="81"/>
      <c r="E31" s="81"/>
      <c r="F31" s="81">
        <v>760146421.97000003</v>
      </c>
      <c r="G31" s="81"/>
      <c r="H31" s="81"/>
      <c r="I31" s="81"/>
      <c r="J31" s="81">
        <v>760146421.97000003</v>
      </c>
      <c r="K31" s="81">
        <v>6472694.8799999999</v>
      </c>
      <c r="L31" s="81">
        <v>1009798.35</v>
      </c>
      <c r="M31" s="54">
        <v>5462896.5300000003</v>
      </c>
      <c r="N31" s="44">
        <v>782209406.36000001</v>
      </c>
      <c r="O31" s="44">
        <v>5353830.33</v>
      </c>
      <c r="P31" s="224">
        <v>902110290.74000001</v>
      </c>
      <c r="Q31" s="48">
        <f t="shared" si="7"/>
        <v>1.6766984668137403E-3</v>
      </c>
      <c r="R31" s="56">
        <v>776855576.02999997</v>
      </c>
      <c r="S31" s="48">
        <f t="shared" si="8"/>
        <v>1.4169472385470218E-3</v>
      </c>
      <c r="T31" s="49">
        <f t="shared" si="9"/>
        <v>-0.13884634284268474</v>
      </c>
      <c r="U31" s="87">
        <f t="shared" si="10"/>
        <v>1.2998533847956887E-3</v>
      </c>
      <c r="V31" s="50">
        <f t="shared" si="11"/>
        <v>7.0320619411876869E-3</v>
      </c>
      <c r="W31" s="51">
        <f t="shared" si="12"/>
        <v>10.100679013126602</v>
      </c>
      <c r="X31" s="51">
        <f t="shared" si="13"/>
        <v>7.1028600468360778E-2</v>
      </c>
      <c r="Y31" s="44">
        <v>10</v>
      </c>
      <c r="Z31" s="44">
        <v>10</v>
      </c>
      <c r="AA31" s="205">
        <v>466</v>
      </c>
      <c r="AB31" s="206">
        <v>76911223</v>
      </c>
      <c r="AC31" s="37"/>
      <c r="AD31" s="10"/>
      <c r="AE31" s="13"/>
      <c r="AF31" s="4"/>
      <c r="AG31" s="5"/>
      <c r="AH31" s="6"/>
      <c r="AI31" s="6"/>
      <c r="AJ31" s="6"/>
      <c r="AK31" s="7"/>
      <c r="AL31" s="5"/>
      <c r="AM31" s="6"/>
      <c r="AN31" s="6"/>
      <c r="AO31" s="6"/>
      <c r="AP31" s="7"/>
      <c r="AQ31" s="5"/>
      <c r="AR31" s="6"/>
      <c r="AS31" s="6"/>
      <c r="AT31" s="6"/>
      <c r="AU31" s="7"/>
    </row>
    <row r="32" spans="1:257" ht="18" customHeight="1" x14ac:dyDescent="0.35">
      <c r="A32" s="156">
        <v>27</v>
      </c>
      <c r="B32" s="122" t="s">
        <v>31</v>
      </c>
      <c r="C32" s="85" t="s">
        <v>71</v>
      </c>
      <c r="D32" s="81"/>
      <c r="E32" s="81"/>
      <c r="F32" s="81">
        <v>2103774828.9000001</v>
      </c>
      <c r="G32" s="81"/>
      <c r="H32" s="81"/>
      <c r="I32" s="81">
        <f>J32-F32</f>
        <v>13542877.619999886</v>
      </c>
      <c r="J32" s="81">
        <v>2117317706.52</v>
      </c>
      <c r="K32" s="81">
        <v>16354383.52</v>
      </c>
      <c r="L32" s="81">
        <v>3124871.71</v>
      </c>
      <c r="M32" s="54">
        <v>13229511.810000001</v>
      </c>
      <c r="N32" s="44">
        <v>2117317706.52</v>
      </c>
      <c r="O32" s="44">
        <v>41642919.009999998</v>
      </c>
      <c r="P32" s="224">
        <v>1988024484.1199999</v>
      </c>
      <c r="Q32" s="48">
        <f t="shared" si="7"/>
        <v>3.6950222591717297E-3</v>
      </c>
      <c r="R32" s="56">
        <v>2075674787.51</v>
      </c>
      <c r="S32" s="48">
        <f t="shared" si="8"/>
        <v>3.7859310649659196E-3</v>
      </c>
      <c r="T32" s="49">
        <f t="shared" si="9"/>
        <v>4.4089146834023304E-2</v>
      </c>
      <c r="U32" s="87">
        <f t="shared" si="10"/>
        <v>1.5054726919666577E-3</v>
      </c>
      <c r="V32" s="50">
        <f t="shared" si="11"/>
        <v>6.3735956565094927E-3</v>
      </c>
      <c r="W32" s="51">
        <f t="shared" si="12"/>
        <v>99.999999976393227</v>
      </c>
      <c r="X32" s="51">
        <f t="shared" si="13"/>
        <v>0.63735956550048922</v>
      </c>
      <c r="Y32" s="44">
        <v>100</v>
      </c>
      <c r="Z32" s="44">
        <v>100</v>
      </c>
      <c r="AA32" s="205">
        <v>1236</v>
      </c>
      <c r="AB32" s="206">
        <v>20756747.879999999</v>
      </c>
      <c r="AC32" s="37"/>
      <c r="AD32" s="10"/>
      <c r="AE32" s="13"/>
      <c r="AF32" s="4"/>
      <c r="AG32" s="5"/>
      <c r="AH32" s="6"/>
      <c r="AI32" s="6"/>
      <c r="AJ32" s="6"/>
      <c r="AK32" s="7"/>
      <c r="AL32" s="5"/>
      <c r="AM32" s="6"/>
      <c r="AN32" s="6"/>
      <c r="AO32" s="6"/>
      <c r="AP32" s="7"/>
      <c r="AQ32" s="5"/>
      <c r="AR32" s="6"/>
      <c r="AS32" s="6"/>
      <c r="AT32" s="6"/>
      <c r="AU32" s="7"/>
    </row>
    <row r="33" spans="1:257" ht="16.5" customHeight="1" x14ac:dyDescent="0.3">
      <c r="A33" s="156">
        <v>28</v>
      </c>
      <c r="B33" s="120" t="s">
        <v>46</v>
      </c>
      <c r="C33" s="86" t="s">
        <v>72</v>
      </c>
      <c r="D33" s="81"/>
      <c r="E33" s="81"/>
      <c r="F33" s="81">
        <v>8671517027.1200008</v>
      </c>
      <c r="G33" s="81"/>
      <c r="H33" s="81"/>
      <c r="I33" s="81"/>
      <c r="J33" s="81">
        <v>8671517027.1200008</v>
      </c>
      <c r="K33" s="81">
        <v>66826540.159999996</v>
      </c>
      <c r="L33" s="81">
        <v>12073084.550000001</v>
      </c>
      <c r="M33" s="208">
        <v>54753455.609999999</v>
      </c>
      <c r="N33" s="44">
        <v>8737884849.6599998</v>
      </c>
      <c r="O33" s="44">
        <v>184382625.41999999</v>
      </c>
      <c r="P33" s="224">
        <v>8291053563.7799997</v>
      </c>
      <c r="Q33" s="48">
        <f t="shared" si="7"/>
        <v>1.5410085597468419E-2</v>
      </c>
      <c r="R33" s="56">
        <v>8553502224.2399998</v>
      </c>
      <c r="S33" s="48">
        <f t="shared" si="8"/>
        <v>1.5601177014753952E-2</v>
      </c>
      <c r="T33" s="49">
        <f t="shared" si="9"/>
        <v>3.1654440348392376E-2</v>
      </c>
      <c r="U33" s="87">
        <f t="shared" si="10"/>
        <v>1.4114785071062193E-3</v>
      </c>
      <c r="V33" s="50">
        <f t="shared" si="11"/>
        <v>6.4012908601149025E-3</v>
      </c>
      <c r="W33" s="51">
        <f t="shared" si="12"/>
        <v>99.9999658998276</v>
      </c>
      <c r="X33" s="51">
        <f t="shared" si="13"/>
        <v>0.64012886772636834</v>
      </c>
      <c r="Y33" s="44">
        <v>100</v>
      </c>
      <c r="Z33" s="44">
        <v>100</v>
      </c>
      <c r="AA33" s="205">
        <v>5525</v>
      </c>
      <c r="AB33" s="206">
        <v>85535051.409999996</v>
      </c>
      <c r="AC33" s="25"/>
      <c r="AD33" s="12"/>
      <c r="AE33" s="4"/>
      <c r="AF33" s="4"/>
      <c r="AG33" s="5"/>
      <c r="AH33" s="6"/>
      <c r="AI33" s="6"/>
      <c r="AJ33" s="6"/>
      <c r="AK33" s="7"/>
      <c r="AL33" s="5"/>
      <c r="AM33" s="6"/>
      <c r="AN33" s="6"/>
      <c r="AO33" s="6"/>
      <c r="AP33" s="7"/>
      <c r="AQ33" s="5"/>
      <c r="AR33" s="6"/>
      <c r="AS33" s="6"/>
      <c r="AT33" s="6"/>
      <c r="AU33" s="7"/>
    </row>
    <row r="34" spans="1:257" ht="16.5" customHeight="1" x14ac:dyDescent="0.3">
      <c r="A34" s="156">
        <v>29</v>
      </c>
      <c r="B34" s="120" t="s">
        <v>73</v>
      </c>
      <c r="C34" s="86" t="s">
        <v>174</v>
      </c>
      <c r="D34" s="81"/>
      <c r="E34" s="81"/>
      <c r="F34" s="81">
        <v>3089148154.6199999</v>
      </c>
      <c r="G34" s="81"/>
      <c r="H34" s="81"/>
      <c r="I34" s="81"/>
      <c r="J34" s="81">
        <v>9160868302.5599995</v>
      </c>
      <c r="K34" s="81">
        <v>71379091.780000001</v>
      </c>
      <c r="L34" s="81">
        <v>12569789.9</v>
      </c>
      <c r="M34" s="54">
        <v>58809301.880000003</v>
      </c>
      <c r="N34" s="44">
        <v>9159857259.9400005</v>
      </c>
      <c r="O34" s="44">
        <v>111416734.73999999</v>
      </c>
      <c r="P34" s="224">
        <v>8450687923.2399998</v>
      </c>
      <c r="Q34" s="48">
        <f t="shared" si="7"/>
        <v>1.5706788438024439E-2</v>
      </c>
      <c r="R34" s="56">
        <v>9048440525.2000008</v>
      </c>
      <c r="S34" s="48">
        <f t="shared" si="8"/>
        <v>1.6503920691230241E-2</v>
      </c>
      <c r="T34" s="49">
        <f t="shared" si="9"/>
        <v>7.0734194350750818E-2</v>
      </c>
      <c r="U34" s="87">
        <f t="shared" si="10"/>
        <v>1.389166438680014E-3</v>
      </c>
      <c r="V34" s="50">
        <f>M34/R34</f>
        <v>6.4993853599651218E-3</v>
      </c>
      <c r="W34" s="51">
        <f t="shared" si="12"/>
        <v>100.86727504092129</v>
      </c>
      <c r="X34" s="51">
        <f t="shared" si="13"/>
        <v>0.6555752907005391</v>
      </c>
      <c r="Y34" s="44">
        <v>100</v>
      </c>
      <c r="Z34" s="44">
        <v>100</v>
      </c>
      <c r="AA34" s="205">
        <v>2144</v>
      </c>
      <c r="AB34" s="206">
        <v>89706404</v>
      </c>
      <c r="AC34" s="13"/>
      <c r="AD34" s="4"/>
      <c r="AE34" s="4"/>
      <c r="AF34" s="4"/>
      <c r="AG34" s="5"/>
      <c r="AH34" s="6"/>
      <c r="AI34" s="6"/>
      <c r="AJ34" s="6"/>
      <c r="AK34" s="7"/>
      <c r="AL34" s="5"/>
      <c r="AM34" s="6"/>
      <c r="AN34" s="6"/>
      <c r="AO34" s="6"/>
      <c r="AP34" s="7"/>
      <c r="AQ34" s="5"/>
      <c r="AR34" s="6"/>
      <c r="AS34" s="6"/>
      <c r="AT34" s="6"/>
      <c r="AU34" s="7"/>
    </row>
    <row r="35" spans="1:257" ht="16.5" customHeight="1" x14ac:dyDescent="0.3">
      <c r="A35" s="156">
        <v>30</v>
      </c>
      <c r="B35" s="120" t="s">
        <v>73</v>
      </c>
      <c r="C35" s="86" t="s">
        <v>74</v>
      </c>
      <c r="D35" s="81"/>
      <c r="E35" s="81"/>
      <c r="F35" s="81">
        <v>141833495.34</v>
      </c>
      <c r="G35" s="81"/>
      <c r="H35" s="81"/>
      <c r="I35" s="81"/>
      <c r="J35" s="81">
        <v>363889969.85000002</v>
      </c>
      <c r="K35" s="81">
        <v>3430203.03</v>
      </c>
      <c r="L35" s="81">
        <v>300821.46000000002</v>
      </c>
      <c r="M35" s="54">
        <v>3129381.57</v>
      </c>
      <c r="N35" s="44">
        <v>363835907.51999998</v>
      </c>
      <c r="O35" s="44">
        <v>2481218.4500000002</v>
      </c>
      <c r="P35" s="224">
        <v>419156457.74000001</v>
      </c>
      <c r="Q35" s="48">
        <f t="shared" si="7"/>
        <v>7.7906104969851435E-4</v>
      </c>
      <c r="R35" s="56">
        <v>361354689.06999999</v>
      </c>
      <c r="S35" s="48">
        <f t="shared" si="8"/>
        <v>6.5909358780734471E-4</v>
      </c>
      <c r="T35" s="49">
        <f t="shared" si="9"/>
        <v>-0.13790022222645576</v>
      </c>
      <c r="U35" s="87">
        <f t="shared" si="10"/>
        <v>8.3248251399257827E-4</v>
      </c>
      <c r="V35" s="50">
        <f>M35/R35</f>
        <v>8.6601382648553108E-3</v>
      </c>
      <c r="W35" s="51">
        <f t="shared" si="12"/>
        <v>1017900.5325915493</v>
      </c>
      <c r="X35" s="51">
        <f>M35/AB35</f>
        <v>8815.1593521126761</v>
      </c>
      <c r="Y35" s="44">
        <v>100</v>
      </c>
      <c r="Z35" s="44">
        <v>100</v>
      </c>
      <c r="AA35" s="205">
        <v>10</v>
      </c>
      <c r="AB35" s="206">
        <v>355</v>
      </c>
      <c r="AC35" s="13"/>
      <c r="AD35" s="4"/>
      <c r="AE35" s="4"/>
      <c r="AF35" s="4"/>
      <c r="AG35" s="5"/>
      <c r="AH35" s="6"/>
      <c r="AI35" s="6"/>
      <c r="AJ35" s="6"/>
      <c r="AK35" s="7"/>
      <c r="AL35" s="5"/>
      <c r="AM35" s="6"/>
      <c r="AN35" s="6"/>
      <c r="AO35" s="6"/>
      <c r="AP35" s="7"/>
      <c r="AQ35" s="5"/>
      <c r="AR35" s="6"/>
      <c r="AS35" s="6"/>
      <c r="AT35" s="6"/>
      <c r="AU35" s="7"/>
    </row>
    <row r="36" spans="1:257" ht="16.5" customHeight="1" x14ac:dyDescent="0.3">
      <c r="A36" s="156">
        <v>31</v>
      </c>
      <c r="B36" s="120" t="s">
        <v>75</v>
      </c>
      <c r="C36" s="86" t="s">
        <v>76</v>
      </c>
      <c r="D36" s="81"/>
      <c r="E36" s="81"/>
      <c r="F36" s="81">
        <v>2057274524.8199999</v>
      </c>
      <c r="G36" s="81"/>
      <c r="H36" s="81"/>
      <c r="I36" s="81"/>
      <c r="J36" s="81">
        <v>2057274524.8199999</v>
      </c>
      <c r="K36" s="81">
        <v>46834874.159999996</v>
      </c>
      <c r="L36" s="81">
        <v>8969191.7200000007</v>
      </c>
      <c r="M36" s="54">
        <v>37865682.43</v>
      </c>
      <c r="N36" s="44">
        <v>6035319506.3500004</v>
      </c>
      <c r="O36" s="44">
        <v>26197441.489999998</v>
      </c>
      <c r="P36" s="224">
        <v>5515936793.2799997</v>
      </c>
      <c r="Q36" s="48">
        <f t="shared" si="7"/>
        <v>1.0252141960100566E-2</v>
      </c>
      <c r="R36" s="56">
        <v>6009122064.8599997</v>
      </c>
      <c r="S36" s="48">
        <f t="shared" si="8"/>
        <v>1.0960349875337116E-2</v>
      </c>
      <c r="T36" s="49">
        <f t="shared" si="9"/>
        <v>8.9410972254221927E-2</v>
      </c>
      <c r="U36" s="87">
        <f t="shared" si="10"/>
        <v>1.4925960270385961E-3</v>
      </c>
      <c r="V36" s="50">
        <f t="shared" si="11"/>
        <v>6.3013668255184948E-3</v>
      </c>
      <c r="W36" s="51">
        <f t="shared" si="12"/>
        <v>1.016883012113001</v>
      </c>
      <c r="X36" s="51">
        <f t="shared" si="13"/>
        <v>6.4077528779621865E-3</v>
      </c>
      <c r="Y36" s="44">
        <v>1</v>
      </c>
      <c r="Z36" s="44">
        <v>1</v>
      </c>
      <c r="AA36" s="205">
        <v>1431</v>
      </c>
      <c r="AB36" s="206">
        <v>5909354363.5600004</v>
      </c>
      <c r="AC36" s="13"/>
      <c r="AD36" s="4"/>
      <c r="AE36" s="4"/>
      <c r="AF36" s="4"/>
      <c r="AG36" s="5"/>
      <c r="AH36" s="6"/>
      <c r="AI36" s="6"/>
      <c r="AJ36" s="6"/>
      <c r="AK36" s="7"/>
      <c r="AL36" s="5"/>
      <c r="AM36" s="6"/>
      <c r="AN36" s="6"/>
      <c r="AO36" s="6"/>
      <c r="AP36" s="7"/>
      <c r="AQ36" s="5"/>
      <c r="AR36" s="6"/>
      <c r="AS36" s="6"/>
      <c r="AT36" s="6"/>
      <c r="AU36" s="7"/>
    </row>
    <row r="37" spans="1:257" ht="16.5" customHeight="1" x14ac:dyDescent="0.3">
      <c r="A37" s="156">
        <v>32</v>
      </c>
      <c r="B37" s="120" t="s">
        <v>77</v>
      </c>
      <c r="C37" s="86" t="s">
        <v>78</v>
      </c>
      <c r="D37" s="81"/>
      <c r="E37" s="81"/>
      <c r="F37" s="81">
        <v>11767278002.059999</v>
      </c>
      <c r="G37" s="81"/>
      <c r="H37" s="81"/>
      <c r="I37" s="81"/>
      <c r="J37" s="81">
        <v>11767278002.059999</v>
      </c>
      <c r="K37" s="81">
        <v>71903381.019999996</v>
      </c>
      <c r="L37" s="81">
        <v>11214692.119999999</v>
      </c>
      <c r="M37" s="54">
        <v>60688688.899999999</v>
      </c>
      <c r="N37" s="44">
        <v>11767278002.059999</v>
      </c>
      <c r="O37" s="44">
        <v>31066346.100000001</v>
      </c>
      <c r="P37" s="224">
        <v>10131602905.98</v>
      </c>
      <c r="Q37" s="48">
        <f t="shared" si="7"/>
        <v>1.8831004626814928E-2</v>
      </c>
      <c r="R37" s="56">
        <v>11736211655.959999</v>
      </c>
      <c r="S37" s="48">
        <f t="shared" si="8"/>
        <v>2.1406286071728862E-2</v>
      </c>
      <c r="T37" s="49">
        <f t="shared" si="9"/>
        <v>0.15837659301006632</v>
      </c>
      <c r="U37" s="87">
        <f t="shared" si="10"/>
        <v>9.5556321313486564E-4</v>
      </c>
      <c r="V37" s="50">
        <f t="shared" si="11"/>
        <v>5.171062918687264E-3</v>
      </c>
      <c r="W37" s="51">
        <f t="shared" si="12"/>
        <v>1.016027211412811</v>
      </c>
      <c r="X37" s="51">
        <f t="shared" si="13"/>
        <v>5.2539406373140127E-3</v>
      </c>
      <c r="Y37" s="44">
        <v>1</v>
      </c>
      <c r="Z37" s="44">
        <v>1</v>
      </c>
      <c r="AA37" s="205">
        <v>2441</v>
      </c>
      <c r="AB37" s="206">
        <v>11551080053.889999</v>
      </c>
      <c r="AC37" s="39"/>
      <c r="AD37" s="16"/>
      <c r="AE37" s="16"/>
      <c r="AF37" s="16"/>
      <c r="AG37" s="5"/>
      <c r="AH37" s="6"/>
      <c r="AI37" s="6"/>
      <c r="AJ37" s="6"/>
      <c r="AK37" s="7"/>
      <c r="AL37" s="5"/>
      <c r="AM37" s="6"/>
      <c r="AN37" s="6"/>
      <c r="AO37" s="6"/>
      <c r="AP37" s="7"/>
      <c r="AQ37" s="5"/>
      <c r="AR37" s="6"/>
      <c r="AS37" s="6"/>
      <c r="AT37" s="6"/>
      <c r="AU37" s="7"/>
    </row>
    <row r="38" spans="1:257" ht="16.5" customHeight="1" x14ac:dyDescent="0.3">
      <c r="A38" s="156">
        <v>33</v>
      </c>
      <c r="B38" s="120" t="s">
        <v>33</v>
      </c>
      <c r="C38" s="86" t="s">
        <v>79</v>
      </c>
      <c r="D38" s="81"/>
      <c r="E38" s="81"/>
      <c r="F38" s="81">
        <v>520573551</v>
      </c>
      <c r="G38" s="81"/>
      <c r="H38" s="81"/>
      <c r="I38" s="81"/>
      <c r="J38" s="81">
        <v>520573551</v>
      </c>
      <c r="K38" s="81">
        <v>3808601</v>
      </c>
      <c r="L38" s="81">
        <v>1081398.28</v>
      </c>
      <c r="M38" s="54">
        <v>2727202.72</v>
      </c>
      <c r="N38" s="44">
        <v>532424670.73000002</v>
      </c>
      <c r="O38" s="44">
        <v>18027729.969999999</v>
      </c>
      <c r="P38" s="224">
        <v>520307562</v>
      </c>
      <c r="Q38" s="48">
        <f t="shared" si="7"/>
        <v>9.6706456010092442E-4</v>
      </c>
      <c r="R38" s="56">
        <v>514396940.75999999</v>
      </c>
      <c r="S38" s="48">
        <f t="shared" si="8"/>
        <v>9.3823530037811164E-4</v>
      </c>
      <c r="T38" s="49">
        <f t="shared" si="9"/>
        <v>-1.1359860343525065E-2</v>
      </c>
      <c r="U38" s="87">
        <f t="shared" si="10"/>
        <v>2.1022642133179861E-3</v>
      </c>
      <c r="V38" s="50">
        <f t="shared" si="11"/>
        <v>5.301747549218843E-3</v>
      </c>
      <c r="W38" s="51">
        <f t="shared" si="12"/>
        <v>103.30527821094243</v>
      </c>
      <c r="X38" s="51">
        <f t="shared" si="13"/>
        <v>0.54769850557623478</v>
      </c>
      <c r="Y38" s="44">
        <v>100</v>
      </c>
      <c r="Z38" s="44">
        <v>100</v>
      </c>
      <c r="AA38" s="205">
        <v>573</v>
      </c>
      <c r="AB38" s="206">
        <v>4979386.82</v>
      </c>
      <c r="AC38" s="13"/>
      <c r="AD38" s="4"/>
      <c r="AE38" s="4"/>
      <c r="AF38" s="4"/>
      <c r="AG38" s="5"/>
      <c r="AH38" s="6"/>
      <c r="AI38" s="6"/>
      <c r="AJ38" s="6"/>
      <c r="AK38" s="7"/>
      <c r="AL38" s="5"/>
      <c r="AM38" s="6"/>
      <c r="AN38" s="6"/>
      <c r="AO38" s="6"/>
      <c r="AP38" s="7"/>
      <c r="AQ38" s="5"/>
      <c r="AR38" s="6"/>
      <c r="AS38" s="6"/>
      <c r="AT38" s="6"/>
      <c r="AU38" s="7"/>
    </row>
    <row r="39" spans="1:257" ht="16.5" customHeight="1" x14ac:dyDescent="0.3">
      <c r="A39" s="156">
        <v>34</v>
      </c>
      <c r="B39" s="120" t="s">
        <v>27</v>
      </c>
      <c r="C39" s="120" t="s">
        <v>80</v>
      </c>
      <c r="D39" s="81"/>
      <c r="E39" s="81"/>
      <c r="F39" s="81">
        <v>37943822.219999999</v>
      </c>
      <c r="G39" s="81"/>
      <c r="H39" s="81"/>
      <c r="I39" s="81"/>
      <c r="J39" s="81">
        <v>37943822.219999999</v>
      </c>
      <c r="K39" s="212">
        <f>M39+L39</f>
        <v>33299911.079999998</v>
      </c>
      <c r="L39" s="81">
        <v>4648.5600000000004</v>
      </c>
      <c r="M39" s="54">
        <v>33295262.52</v>
      </c>
      <c r="N39" s="44">
        <v>4559447759.1599998</v>
      </c>
      <c r="O39" s="44">
        <v>14532698</v>
      </c>
      <c r="P39" s="224">
        <v>4692388642.8199997</v>
      </c>
      <c r="Q39" s="48">
        <f t="shared" si="7"/>
        <v>8.7214622467687609E-3</v>
      </c>
      <c r="R39" s="56">
        <v>4544915061.3500004</v>
      </c>
      <c r="S39" s="48">
        <f t="shared" si="8"/>
        <v>8.2897066640375897E-3</v>
      </c>
      <c r="T39" s="49">
        <f t="shared" si="9"/>
        <v>-3.1428253858651327E-2</v>
      </c>
      <c r="U39" s="87">
        <f t="shared" si="10"/>
        <v>1.0228045931004075E-6</v>
      </c>
      <c r="V39" s="50">
        <f t="shared" si="11"/>
        <v>7.3258272312156543E-3</v>
      </c>
      <c r="W39" s="51">
        <f t="shared" si="12"/>
        <v>1.0093036254243741</v>
      </c>
      <c r="X39" s="51">
        <f t="shared" si="13"/>
        <v>7.3939839836985651E-3</v>
      </c>
      <c r="Y39" s="44">
        <v>1</v>
      </c>
      <c r="Z39" s="44">
        <v>1</v>
      </c>
      <c r="AA39" s="215">
        <f>747+39</f>
        <v>786</v>
      </c>
      <c r="AB39" s="214">
        <v>4503020644</v>
      </c>
      <c r="AC39" s="13"/>
      <c r="AD39" s="4"/>
      <c r="AE39" s="4"/>
      <c r="AF39" s="4"/>
      <c r="AG39" s="5"/>
      <c r="AH39" s="6"/>
      <c r="AI39" s="6"/>
      <c r="AJ39" s="6"/>
      <c r="AK39" s="7"/>
      <c r="AL39" s="5"/>
      <c r="AM39" s="6"/>
      <c r="AN39" s="6"/>
      <c r="AO39" s="6"/>
      <c r="AP39" s="7"/>
      <c r="AQ39" s="5"/>
      <c r="AR39" s="6"/>
      <c r="AS39" s="6"/>
      <c r="AT39" s="6"/>
      <c r="AU39" s="7"/>
    </row>
    <row r="40" spans="1:257" ht="16.5" customHeight="1" x14ac:dyDescent="0.3">
      <c r="A40" s="156">
        <v>35</v>
      </c>
      <c r="B40" s="120" t="s">
        <v>81</v>
      </c>
      <c r="C40" s="86" t="s">
        <v>82</v>
      </c>
      <c r="D40" s="81"/>
      <c r="E40" s="81"/>
      <c r="F40" s="81">
        <v>241817742.46000001</v>
      </c>
      <c r="G40" s="81"/>
      <c r="H40" s="81"/>
      <c r="I40" s="81">
        <v>14173202.09</v>
      </c>
      <c r="J40" s="81">
        <v>7966468365.6599998</v>
      </c>
      <c r="K40" s="81">
        <v>7571065.8899999997</v>
      </c>
      <c r="L40" s="81">
        <v>1625657.86</v>
      </c>
      <c r="M40" s="54">
        <v>5945408.0300000003</v>
      </c>
      <c r="N40" s="44">
        <v>800841277.54999995</v>
      </c>
      <c r="O40" s="44">
        <v>18208592.300000001</v>
      </c>
      <c r="P40" s="224">
        <v>845038042.25999999</v>
      </c>
      <c r="Q40" s="48">
        <f t="shared" si="7"/>
        <v>1.5706216904968089E-3</v>
      </c>
      <c r="R40" s="56">
        <v>782632685.25</v>
      </c>
      <c r="S40" s="48">
        <f t="shared" si="8"/>
        <v>1.4274844081428122E-3</v>
      </c>
      <c r="T40" s="49">
        <f t="shared" si="9"/>
        <v>-7.3849168781917635E-2</v>
      </c>
      <c r="U40" s="87">
        <f t="shared" si="10"/>
        <v>2.0771658156350939E-3</v>
      </c>
      <c r="V40" s="50">
        <f t="shared" si="11"/>
        <v>7.5966773967545594E-3</v>
      </c>
      <c r="W40" s="51">
        <f t="shared" si="12"/>
        <v>9.2548843284740787</v>
      </c>
      <c r="X40" s="51">
        <f t="shared" si="13"/>
        <v>7.0306370587697037E-2</v>
      </c>
      <c r="Y40" s="44">
        <v>10</v>
      </c>
      <c r="Z40" s="44">
        <v>10</v>
      </c>
      <c r="AA40" s="205">
        <v>287</v>
      </c>
      <c r="AB40" s="206">
        <v>84564286</v>
      </c>
      <c r="AC40" s="13"/>
      <c r="AD40" s="4"/>
      <c r="AE40" s="4"/>
      <c r="AF40" s="4"/>
      <c r="AG40" s="5"/>
      <c r="AH40" s="6"/>
      <c r="AI40" s="6"/>
      <c r="AJ40" s="6"/>
      <c r="AK40" s="7"/>
      <c r="AL40" s="5"/>
      <c r="AM40" s="6"/>
      <c r="AN40" s="6"/>
      <c r="AO40" s="6"/>
      <c r="AP40" s="7"/>
      <c r="AQ40" s="5"/>
      <c r="AR40" s="6"/>
      <c r="AS40" s="6"/>
      <c r="AT40" s="6"/>
      <c r="AU40" s="7"/>
    </row>
    <row r="41" spans="1:257" ht="16.5" customHeight="1" x14ac:dyDescent="0.3">
      <c r="A41" s="156">
        <v>36</v>
      </c>
      <c r="B41" s="120" t="s">
        <v>83</v>
      </c>
      <c r="C41" s="86" t="s">
        <v>84</v>
      </c>
      <c r="D41" s="81"/>
      <c r="E41" s="81"/>
      <c r="F41" s="81">
        <v>514933444.36000001</v>
      </c>
      <c r="G41" s="81"/>
      <c r="H41" s="81"/>
      <c r="I41" s="81">
        <f>J41-F41</f>
        <v>34517917.090000033</v>
      </c>
      <c r="J41" s="81">
        <v>549451361.45000005</v>
      </c>
      <c r="K41" s="81">
        <v>5308569.3899999997</v>
      </c>
      <c r="L41" s="81">
        <v>969424.36</v>
      </c>
      <c r="M41" s="54">
        <v>4339145.03</v>
      </c>
      <c r="N41" s="44">
        <v>735192659.69000006</v>
      </c>
      <c r="O41" s="44">
        <v>2253408.02</v>
      </c>
      <c r="P41" s="224">
        <v>734349888.74000001</v>
      </c>
      <c r="Q41" s="48">
        <f t="shared" si="7"/>
        <v>1.3648922367853476E-3</v>
      </c>
      <c r="R41" s="56">
        <v>732939251.66999996</v>
      </c>
      <c r="S41" s="48">
        <f t="shared" si="8"/>
        <v>1.3368459733323994E-3</v>
      </c>
      <c r="T41" s="49">
        <f t="shared" si="9"/>
        <v>-1.920933184071735E-3</v>
      </c>
      <c r="U41" s="87">
        <f t="shared" si="10"/>
        <v>1.3226530818088531E-3</v>
      </c>
      <c r="V41" s="50">
        <f t="shared" si="11"/>
        <v>5.9201973698546923E-3</v>
      </c>
      <c r="W41" s="51">
        <f t="shared" si="12"/>
        <v>1.0171056101085225</v>
      </c>
      <c r="X41" s="51">
        <f t="shared" si="13"/>
        <v>6.0214659578289266E-3</v>
      </c>
      <c r="Y41" s="44">
        <v>1</v>
      </c>
      <c r="Z41" s="44">
        <v>1</v>
      </c>
      <c r="AA41" s="205">
        <v>148</v>
      </c>
      <c r="AB41" s="206">
        <v>720612731.25</v>
      </c>
      <c r="AC41" s="13"/>
      <c r="AD41" s="4"/>
      <c r="AE41" s="4"/>
      <c r="AF41" s="4"/>
      <c r="AG41" s="5"/>
      <c r="AH41" s="6"/>
      <c r="AI41" s="6"/>
      <c r="AJ41" s="6"/>
      <c r="AK41" s="7"/>
      <c r="AL41" s="5"/>
      <c r="AM41" s="6"/>
      <c r="AN41" s="6"/>
      <c r="AO41" s="6"/>
      <c r="AP41" s="7"/>
      <c r="AQ41" s="5"/>
      <c r="AR41" s="6"/>
      <c r="AS41" s="6"/>
      <c r="AT41" s="6"/>
      <c r="AU41" s="7"/>
    </row>
    <row r="42" spans="1:257" ht="16.5" customHeight="1" x14ac:dyDescent="0.3">
      <c r="A42" s="156">
        <v>37</v>
      </c>
      <c r="B42" s="120" t="s">
        <v>85</v>
      </c>
      <c r="C42" s="86" t="s">
        <v>156</v>
      </c>
      <c r="D42" s="81"/>
      <c r="E42" s="81"/>
      <c r="F42" s="81">
        <v>5606006523.3500004</v>
      </c>
      <c r="G42" s="81"/>
      <c r="H42" s="81"/>
      <c r="I42" s="81"/>
      <c r="J42" s="81">
        <v>5606006523.3500004</v>
      </c>
      <c r="K42" s="81">
        <v>40326135</v>
      </c>
      <c r="L42" s="81">
        <v>9237807.6899999995</v>
      </c>
      <c r="M42" s="54">
        <v>31088327.309999999</v>
      </c>
      <c r="N42" s="44">
        <v>5609195461.3199997</v>
      </c>
      <c r="O42" s="44">
        <v>171905313.37</v>
      </c>
      <c r="P42" s="224">
        <v>6018867059.9700003</v>
      </c>
      <c r="Q42" s="48">
        <f t="shared" si="7"/>
        <v>1.1186908380270345E-2</v>
      </c>
      <c r="R42" s="56">
        <v>5437290147.9499998</v>
      </c>
      <c r="S42" s="48">
        <f t="shared" si="8"/>
        <v>9.9173559385240997E-3</v>
      </c>
      <c r="T42" s="49">
        <f>((R42-P42)/P42)</f>
        <v>-9.6625645030096283E-2</v>
      </c>
      <c r="U42" s="87">
        <f t="shared" si="10"/>
        <v>1.6989727306501922E-3</v>
      </c>
      <c r="V42" s="50">
        <f>M42/R42</f>
        <v>5.7176141909074151E-3</v>
      </c>
      <c r="W42" s="51">
        <f t="shared" si="12"/>
        <v>99.99999999908043</v>
      </c>
      <c r="X42" s="51">
        <f t="shared" si="13"/>
        <v>0.57176141908548372</v>
      </c>
      <c r="Y42" s="44">
        <v>100</v>
      </c>
      <c r="Z42" s="44">
        <v>100</v>
      </c>
      <c r="AA42" s="205">
        <v>1133</v>
      </c>
      <c r="AB42" s="206">
        <v>54372901.479999997</v>
      </c>
      <c r="AC42" s="3"/>
      <c r="AD42" s="9"/>
      <c r="AE42" s="9"/>
      <c r="AF42" s="9"/>
      <c r="AG42" s="5"/>
      <c r="AH42" s="6"/>
      <c r="AI42" s="6"/>
      <c r="AJ42" s="6"/>
      <c r="AK42" s="7"/>
      <c r="AL42" s="5"/>
      <c r="AM42" s="6"/>
      <c r="AN42" s="6"/>
      <c r="AO42" s="6"/>
      <c r="AP42" s="7"/>
      <c r="AQ42" s="5"/>
      <c r="AR42" s="6"/>
      <c r="AS42" s="6"/>
      <c r="AT42" s="6"/>
      <c r="AU42" s="7"/>
    </row>
    <row r="43" spans="1:257" ht="16.5" customHeight="1" x14ac:dyDescent="0.3">
      <c r="A43" s="156">
        <v>38</v>
      </c>
      <c r="B43" s="120" t="s">
        <v>178</v>
      </c>
      <c r="C43" s="86" t="s">
        <v>86</v>
      </c>
      <c r="D43" s="81"/>
      <c r="E43" s="81"/>
      <c r="F43" s="81">
        <v>178463576.16</v>
      </c>
      <c r="G43" s="81"/>
      <c r="H43" s="81"/>
      <c r="I43" s="81"/>
      <c r="J43" s="81">
        <v>178463576.16</v>
      </c>
      <c r="K43" s="81">
        <v>2514226.2999999998</v>
      </c>
      <c r="L43" s="81">
        <v>504512.15</v>
      </c>
      <c r="M43" s="54">
        <v>2009714.15</v>
      </c>
      <c r="N43" s="44">
        <v>381737074.37</v>
      </c>
      <c r="O43" s="44">
        <v>5838716.2699999996</v>
      </c>
      <c r="P43" s="224">
        <v>379745812.37</v>
      </c>
      <c r="Q43" s="48">
        <f t="shared" si="7"/>
        <v>7.058108392239016E-4</v>
      </c>
      <c r="R43" s="56">
        <v>375898358.10000002</v>
      </c>
      <c r="S43" s="48">
        <f t="shared" si="8"/>
        <v>6.8562054121574069E-4</v>
      </c>
      <c r="T43" s="49">
        <f t="shared" si="9"/>
        <v>-1.0131656873285723E-2</v>
      </c>
      <c r="U43" s="87">
        <f t="shared" si="10"/>
        <v>1.342150448727911E-3</v>
      </c>
      <c r="V43" s="50">
        <f t="shared" si="11"/>
        <v>5.3464297108351743E-3</v>
      </c>
      <c r="W43" s="51">
        <f t="shared" si="12"/>
        <v>1.0034391260434683</v>
      </c>
      <c r="X43" s="51">
        <f t="shared" si="13"/>
        <v>5.36481675649328E-3</v>
      </c>
      <c r="Y43" s="44">
        <v>1</v>
      </c>
      <c r="Z43" s="44">
        <v>1</v>
      </c>
      <c r="AA43" s="205">
        <v>430</v>
      </c>
      <c r="AB43" s="206">
        <v>374610027</v>
      </c>
      <c r="AC43" s="10"/>
      <c r="AD43" s="10"/>
      <c r="AE43" s="10"/>
      <c r="AF43" s="11"/>
      <c r="AG43" s="5"/>
      <c r="AH43" s="6"/>
      <c r="AI43" s="6"/>
      <c r="AJ43" s="6"/>
      <c r="AK43" s="7"/>
      <c r="AL43" s="5"/>
      <c r="AM43" s="6"/>
      <c r="AN43" s="6"/>
      <c r="AO43" s="6"/>
      <c r="AP43" s="7"/>
      <c r="AQ43" s="5"/>
      <c r="AR43" s="6"/>
      <c r="AS43" s="6"/>
      <c r="AT43" s="6"/>
      <c r="AU43" s="7"/>
    </row>
    <row r="44" spans="1:257" ht="16.5" customHeight="1" x14ac:dyDescent="0.3">
      <c r="A44" s="156">
        <v>39</v>
      </c>
      <c r="B44" s="120" t="s">
        <v>52</v>
      </c>
      <c r="C44" s="86" t="s">
        <v>87</v>
      </c>
      <c r="D44" s="81"/>
      <c r="E44" s="81"/>
      <c r="F44" s="81">
        <v>266417100.52000001</v>
      </c>
      <c r="G44" s="81"/>
      <c r="H44" s="81"/>
      <c r="I44" s="81"/>
      <c r="J44" s="81">
        <v>266417100.52000001</v>
      </c>
      <c r="K44" s="81">
        <v>2678736.14</v>
      </c>
      <c r="L44" s="81">
        <v>366360.38</v>
      </c>
      <c r="M44" s="54">
        <v>2312375.7599999998</v>
      </c>
      <c r="N44" s="44">
        <v>268195687.88999999</v>
      </c>
      <c r="O44" s="44">
        <v>366360.38</v>
      </c>
      <c r="P44" s="224">
        <v>244397673.31</v>
      </c>
      <c r="Q44" s="48">
        <f t="shared" si="7"/>
        <v>4.5424734462964537E-4</v>
      </c>
      <c r="R44" s="56">
        <v>267829327.50999999</v>
      </c>
      <c r="S44" s="48">
        <f t="shared" si="8"/>
        <v>4.8850782272372487E-4</v>
      </c>
      <c r="T44" s="49">
        <f t="shared" si="9"/>
        <v>9.5875111586183975E-2</v>
      </c>
      <c r="U44" s="87">
        <f>(L44/R44)</f>
        <v>1.3678874655215685E-3</v>
      </c>
      <c r="V44" s="50">
        <f t="shared" si="11"/>
        <v>8.6337660684812877E-3</v>
      </c>
      <c r="W44" s="51">
        <f t="shared" si="12"/>
        <v>102.60288166910158</v>
      </c>
      <c r="X44" s="51">
        <f t="shared" si="13"/>
        <v>0.8858492782830899</v>
      </c>
      <c r="Y44" s="44">
        <v>100</v>
      </c>
      <c r="Z44" s="44">
        <v>100</v>
      </c>
      <c r="AA44" s="205">
        <v>658</v>
      </c>
      <c r="AB44" s="206">
        <v>2610348.98</v>
      </c>
      <c r="AC44" s="40"/>
      <c r="AD44" s="15"/>
      <c r="AE44" s="15"/>
      <c r="AF44" s="15"/>
      <c r="AG44" s="5"/>
      <c r="AH44" s="6"/>
      <c r="AI44" s="6"/>
      <c r="AJ44" s="6"/>
      <c r="AK44" s="7"/>
      <c r="AL44" s="5"/>
      <c r="AM44" s="6"/>
      <c r="AN44" s="6"/>
      <c r="AO44" s="6"/>
      <c r="AP44" s="7"/>
      <c r="AQ44" s="5"/>
      <c r="AR44" s="6"/>
      <c r="AS44" s="6"/>
      <c r="AT44" s="6"/>
      <c r="AU44" s="7"/>
    </row>
    <row r="45" spans="1:257" ht="16.5" customHeight="1" x14ac:dyDescent="0.3">
      <c r="A45" s="156">
        <v>40</v>
      </c>
      <c r="B45" s="120" t="s">
        <v>88</v>
      </c>
      <c r="C45" s="86" t="s">
        <v>89</v>
      </c>
      <c r="D45" s="81"/>
      <c r="E45" s="81"/>
      <c r="F45" s="81">
        <v>108109342.73</v>
      </c>
      <c r="G45" s="81"/>
      <c r="H45" s="81"/>
      <c r="I45" s="81"/>
      <c r="J45" s="81">
        <v>108109342.73</v>
      </c>
      <c r="K45" s="81">
        <v>639056.88</v>
      </c>
      <c r="L45" s="81">
        <v>144364.74</v>
      </c>
      <c r="M45" s="54">
        <v>494692.14</v>
      </c>
      <c r="N45" s="44">
        <v>111933783.65000001</v>
      </c>
      <c r="O45" s="44">
        <v>113348878.29000001</v>
      </c>
      <c r="P45" s="224">
        <v>109351856.36</v>
      </c>
      <c r="Q45" s="48">
        <f t="shared" si="7"/>
        <v>2.0324575806761553E-4</v>
      </c>
      <c r="R45" s="56">
        <v>109351856.36</v>
      </c>
      <c r="S45" s="48">
        <f t="shared" si="8"/>
        <v>1.994525310497469E-4</v>
      </c>
      <c r="T45" s="49">
        <f>((R45-P45)/P45)</f>
        <v>0</v>
      </c>
      <c r="U45" s="142">
        <f>(L45/R45)</f>
        <v>1.3201855442191415E-3</v>
      </c>
      <c r="V45" s="50">
        <f t="shared" si="11"/>
        <v>4.5238568092654191E-3</v>
      </c>
      <c r="W45" s="51">
        <f t="shared" si="12"/>
        <v>0.96473699616352848</v>
      </c>
      <c r="X45" s="51">
        <f t="shared" si="13"/>
        <v>4.3643320292446452E-3</v>
      </c>
      <c r="Y45" s="44">
        <v>1</v>
      </c>
      <c r="Z45" s="44">
        <v>1</v>
      </c>
      <c r="AA45" s="205">
        <v>38</v>
      </c>
      <c r="AB45" s="206">
        <v>113348878.29000001</v>
      </c>
      <c r="AC45" s="39"/>
      <c r="AD45" s="16"/>
      <c r="AE45" s="16"/>
      <c r="AF45" s="16"/>
      <c r="AG45" s="5"/>
      <c r="AH45" s="6"/>
      <c r="AI45" s="6"/>
      <c r="AJ45" s="6"/>
      <c r="AK45" s="7"/>
      <c r="AL45" s="5"/>
      <c r="AM45" s="6"/>
      <c r="AN45" s="6"/>
      <c r="AO45" s="6"/>
      <c r="AP45" s="7"/>
      <c r="AQ45" s="5"/>
      <c r="AR45" s="6"/>
      <c r="AS45" s="6"/>
      <c r="AT45" s="6"/>
      <c r="AU45" s="7"/>
    </row>
    <row r="46" spans="1:257" ht="16.5" customHeight="1" x14ac:dyDescent="0.3">
      <c r="A46" s="156">
        <v>41</v>
      </c>
      <c r="B46" s="120" t="s">
        <v>90</v>
      </c>
      <c r="C46" s="89" t="s">
        <v>91</v>
      </c>
      <c r="D46" s="81"/>
      <c r="E46" s="81"/>
      <c r="F46" s="81">
        <v>408459430.29000002</v>
      </c>
      <c r="G46" s="81"/>
      <c r="H46" s="81"/>
      <c r="I46" s="81">
        <v>224599740.59999999</v>
      </c>
      <c r="J46" s="81">
        <v>633059170.88</v>
      </c>
      <c r="K46" s="81">
        <v>8516230.7200000007</v>
      </c>
      <c r="L46" s="81">
        <v>1200422.27</v>
      </c>
      <c r="M46" s="54">
        <v>7315808.46</v>
      </c>
      <c r="N46" s="44">
        <v>1264024757.4200001</v>
      </c>
      <c r="O46" s="44">
        <v>5883110.79</v>
      </c>
      <c r="P46" s="224">
        <v>1277825838.1800001</v>
      </c>
      <c r="Q46" s="48">
        <f t="shared" si="7"/>
        <v>2.3750184935523513E-3</v>
      </c>
      <c r="R46" s="56">
        <v>1258141646.6300001</v>
      </c>
      <c r="S46" s="48">
        <f t="shared" si="8"/>
        <v>2.2947899029105226E-3</v>
      </c>
      <c r="T46" s="49">
        <f t="shared" si="9"/>
        <v>-1.5404440074584837E-2</v>
      </c>
      <c r="U46" s="87">
        <f t="shared" si="10"/>
        <v>9.5412330814689697E-4</v>
      </c>
      <c r="V46" s="50">
        <f t="shared" si="11"/>
        <v>5.8147733044174995E-3</v>
      </c>
      <c r="W46" s="51">
        <f t="shared" si="12"/>
        <v>1.0175497761416068</v>
      </c>
      <c r="X46" s="51">
        <f t="shared" si="13"/>
        <v>5.9168212742242189E-3</v>
      </c>
      <c r="Y46" s="44">
        <v>1</v>
      </c>
      <c r="Z46" s="44">
        <v>1</v>
      </c>
      <c r="AA46" s="205">
        <v>33</v>
      </c>
      <c r="AB46" s="206">
        <v>1236442360</v>
      </c>
      <c r="AC46" s="39"/>
      <c r="AD46" s="16"/>
      <c r="AE46" s="16"/>
      <c r="AF46" s="16"/>
      <c r="AG46" s="5"/>
      <c r="AH46" s="6"/>
      <c r="AI46" s="6"/>
      <c r="AJ46" s="6"/>
      <c r="AK46" s="7"/>
      <c r="AL46" s="5"/>
      <c r="AM46" s="6"/>
      <c r="AN46" s="6"/>
      <c r="AO46" s="6"/>
      <c r="AP46" s="7"/>
      <c r="AQ46" s="5"/>
      <c r="AR46" s="6"/>
      <c r="AS46" s="6"/>
      <c r="AT46" s="6"/>
      <c r="AU46" s="7"/>
    </row>
    <row r="47" spans="1:257" ht="16.5" customHeight="1" x14ac:dyDescent="0.3">
      <c r="A47" s="156">
        <v>42</v>
      </c>
      <c r="B47" s="122" t="s">
        <v>92</v>
      </c>
      <c r="C47" s="86" t="s">
        <v>93</v>
      </c>
      <c r="D47" s="81"/>
      <c r="E47" s="81"/>
      <c r="F47" s="81">
        <v>127325884.31</v>
      </c>
      <c r="G47" s="81"/>
      <c r="H47" s="81"/>
      <c r="I47" s="81">
        <v>211358.88</v>
      </c>
      <c r="J47" s="81">
        <f>SUM(F47:I47)</f>
        <v>127537243.19</v>
      </c>
      <c r="K47" s="81">
        <v>373211.7</v>
      </c>
      <c r="L47" s="81">
        <v>59073.47</v>
      </c>
      <c r="M47" s="54">
        <v>314138.23</v>
      </c>
      <c r="N47" s="44">
        <v>166712385.25</v>
      </c>
      <c r="O47" s="44">
        <v>4345658.57</v>
      </c>
      <c r="P47" s="224">
        <v>161414024.44999999</v>
      </c>
      <c r="Q47" s="48">
        <f t="shared" si="7"/>
        <v>3.000105974797635E-4</v>
      </c>
      <c r="R47" s="56">
        <v>160966379.83000001</v>
      </c>
      <c r="S47" s="48">
        <f t="shared" si="8"/>
        <v>2.935949415007117E-4</v>
      </c>
      <c r="T47" s="49">
        <f>((R47-P47)/P47)</f>
        <v>-2.7732696804089567E-3</v>
      </c>
      <c r="U47" s="87">
        <f>(L47/R47)</f>
        <v>3.6699259846925014E-4</v>
      </c>
      <c r="V47" s="50">
        <f>M47/R47</f>
        <v>1.9515766604912652E-3</v>
      </c>
      <c r="W47" s="51">
        <f>R47/AB47</f>
        <v>0.9985456515227944</v>
      </c>
      <c r="X47" s="51">
        <f>M47/AB47</f>
        <v>1.9487383879469298E-3</v>
      </c>
      <c r="Y47" s="44">
        <v>1</v>
      </c>
      <c r="Z47" s="44">
        <v>1</v>
      </c>
      <c r="AA47" s="205">
        <v>36</v>
      </c>
      <c r="AB47" s="205">
        <v>161200822</v>
      </c>
      <c r="AC47" s="39"/>
      <c r="AD47" s="16"/>
      <c r="AE47" s="16"/>
      <c r="AF47" s="16"/>
      <c r="AG47" s="5"/>
      <c r="AH47" s="6"/>
      <c r="AI47" s="6"/>
      <c r="AJ47" s="6"/>
      <c r="AK47" s="7"/>
      <c r="AL47" s="5"/>
      <c r="AM47" s="6"/>
      <c r="AN47" s="6"/>
      <c r="AO47" s="6"/>
      <c r="AP47" s="7"/>
      <c r="AQ47" s="5"/>
      <c r="AR47" s="6"/>
      <c r="AS47" s="6"/>
      <c r="AT47" s="6"/>
      <c r="AU47" s="7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</row>
    <row r="48" spans="1:257" ht="16.5" customHeight="1" x14ac:dyDescent="0.3">
      <c r="A48" s="156">
        <v>43</v>
      </c>
      <c r="B48" s="122" t="s">
        <v>164</v>
      </c>
      <c r="C48" s="85" t="s">
        <v>165</v>
      </c>
      <c r="D48" s="81"/>
      <c r="E48" s="81"/>
      <c r="F48" s="81">
        <v>216741606.09</v>
      </c>
      <c r="G48" s="81"/>
      <c r="H48" s="81"/>
      <c r="I48" s="81">
        <f>J48-F48</f>
        <v>615589.90999999642</v>
      </c>
      <c r="J48" s="81">
        <v>217357196</v>
      </c>
      <c r="K48" s="81">
        <v>6684396.4000000004</v>
      </c>
      <c r="L48" s="81">
        <v>1376637.1</v>
      </c>
      <c r="M48" s="54">
        <v>5307759.3</v>
      </c>
      <c r="N48" s="44">
        <v>742346072.63999999</v>
      </c>
      <c r="O48" s="44">
        <v>720662009.53999996</v>
      </c>
      <c r="P48" s="224">
        <v>705994264.50999999</v>
      </c>
      <c r="Q48" s="48">
        <f t="shared" si="7"/>
        <v>1.3121893332046918E-3</v>
      </c>
      <c r="R48" s="56">
        <v>720864449.10000002</v>
      </c>
      <c r="S48" s="48">
        <f t="shared" si="8"/>
        <v>1.314822113704595E-3</v>
      </c>
      <c r="T48" s="49">
        <f>((R48-P48)/P48)</f>
        <v>2.1062755517313989E-2</v>
      </c>
      <c r="U48" s="87">
        <f>(L48/R48)</f>
        <v>1.9097031372801543E-3</v>
      </c>
      <c r="V48" s="50">
        <f>M48/R48</f>
        <v>7.3630476667655657E-3</v>
      </c>
      <c r="W48" s="51">
        <f>R48/AB48</f>
        <v>1.0002809077727426</v>
      </c>
      <c r="X48" s="51">
        <f>M48/AB48</f>
        <v>7.3651160040862336E-3</v>
      </c>
      <c r="Y48" s="44">
        <v>1</v>
      </c>
      <c r="Z48" s="44">
        <v>1</v>
      </c>
      <c r="AA48" s="205">
        <v>120</v>
      </c>
      <c r="AB48" s="206">
        <v>720662009.53999996</v>
      </c>
      <c r="AC48" s="39"/>
      <c r="AD48" s="16"/>
      <c r="AE48" s="16"/>
      <c r="AF48" s="16"/>
      <c r="AG48" s="5"/>
      <c r="AH48" s="6"/>
      <c r="AI48" s="6"/>
      <c r="AJ48" s="6"/>
      <c r="AK48" s="7"/>
      <c r="AL48" s="5"/>
      <c r="AM48" s="6"/>
      <c r="AN48" s="6"/>
      <c r="AO48" s="6"/>
      <c r="AP48" s="7"/>
      <c r="AQ48" s="5"/>
      <c r="AR48" s="6"/>
      <c r="AS48" s="6"/>
      <c r="AT48" s="6"/>
      <c r="AU48" s="7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</row>
    <row r="49" spans="1:257" ht="16.5" customHeight="1" x14ac:dyDescent="0.3">
      <c r="A49" s="156">
        <v>44</v>
      </c>
      <c r="B49" s="122" t="s">
        <v>160</v>
      </c>
      <c r="C49" s="86" t="s">
        <v>161</v>
      </c>
      <c r="D49" s="81"/>
      <c r="E49" s="81"/>
      <c r="F49" s="81">
        <v>4427936.4800000004</v>
      </c>
      <c r="G49" s="81"/>
      <c r="H49" s="81"/>
      <c r="I49" s="81"/>
      <c r="J49" s="81">
        <v>4427936.4800000004</v>
      </c>
      <c r="K49" s="81">
        <v>13952.61</v>
      </c>
      <c r="L49" s="81">
        <v>9955.8799999999992</v>
      </c>
      <c r="M49" s="54">
        <v>3996.73</v>
      </c>
      <c r="N49" s="44">
        <v>7259643.7999999998</v>
      </c>
      <c r="O49" s="44">
        <v>204340.1</v>
      </c>
      <c r="P49" s="224">
        <v>7043916.5499999998</v>
      </c>
      <c r="Q49" s="48">
        <f t="shared" si="7"/>
        <v>1.3092106587167709E-5</v>
      </c>
      <c r="R49" s="56">
        <v>7055303.7000000002</v>
      </c>
      <c r="S49" s="48">
        <f t="shared" si="8"/>
        <v>1.2868534903120178E-5</v>
      </c>
      <c r="T49" s="49">
        <f>((R49-P49)/P49)</f>
        <v>1.6165935412736218E-3</v>
      </c>
      <c r="U49" s="87">
        <f>(L49/R49)</f>
        <v>1.4111199777268268E-3</v>
      </c>
      <c r="V49" s="50">
        <f>M49/R49</f>
        <v>5.664858906073738E-4</v>
      </c>
      <c r="W49" s="51">
        <f>R49/AB49</f>
        <v>97.457022681437692</v>
      </c>
      <c r="X49" s="51">
        <f>M49/AB49</f>
        <v>5.5208028289637265E-2</v>
      </c>
      <c r="Y49" s="44">
        <v>100</v>
      </c>
      <c r="Z49" s="44">
        <v>100</v>
      </c>
      <c r="AA49" s="205">
        <v>71</v>
      </c>
      <c r="AB49" s="206">
        <v>72394</v>
      </c>
      <c r="AC49" s="39"/>
      <c r="AD49" s="16"/>
      <c r="AE49" s="16"/>
      <c r="AF49" s="16"/>
      <c r="AG49" s="5"/>
      <c r="AH49" s="6"/>
      <c r="AI49" s="6"/>
      <c r="AJ49" s="6"/>
      <c r="AK49" s="7"/>
      <c r="AL49" s="5"/>
      <c r="AM49" s="6"/>
      <c r="AN49" s="6"/>
      <c r="AO49" s="6"/>
      <c r="AP49" s="7"/>
      <c r="AQ49" s="5"/>
      <c r="AR49" s="6"/>
      <c r="AS49" s="6"/>
      <c r="AT49" s="6"/>
      <c r="AU49" s="7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spans="1:257" ht="16.5" customHeight="1" x14ac:dyDescent="0.3">
      <c r="A50" s="232">
        <v>45</v>
      </c>
      <c r="B50" s="233" t="s">
        <v>158</v>
      </c>
      <c r="C50" s="86" t="s">
        <v>175</v>
      </c>
      <c r="D50" s="81"/>
      <c r="E50" s="81"/>
      <c r="F50" s="81">
        <v>239332194.19</v>
      </c>
      <c r="G50" s="81"/>
      <c r="H50" s="81"/>
      <c r="I50" s="81"/>
      <c r="J50" s="81">
        <v>239332194.19</v>
      </c>
      <c r="K50" s="81">
        <v>5884532.5700000003</v>
      </c>
      <c r="L50" s="81">
        <v>1023791.91</v>
      </c>
      <c r="M50" s="54">
        <v>4860740.66</v>
      </c>
      <c r="N50" s="44">
        <v>714339138.5</v>
      </c>
      <c r="O50" s="44">
        <v>18427733.93</v>
      </c>
      <c r="P50" s="224">
        <v>585643707.41999996</v>
      </c>
      <c r="Q50" s="48">
        <f t="shared" si="7"/>
        <v>1.0885009476222004E-3</v>
      </c>
      <c r="R50" s="56">
        <v>695911404.57000005</v>
      </c>
      <c r="S50" s="48">
        <f t="shared" si="8"/>
        <v>1.2693089596112542E-3</v>
      </c>
      <c r="T50" s="49">
        <f>((R50-P50)/P50)</f>
        <v>0.18828461016984951</v>
      </c>
      <c r="U50" s="87">
        <f t="shared" si="10"/>
        <v>1.4711526543132248E-3</v>
      </c>
      <c r="V50" s="50">
        <f t="shared" si="11"/>
        <v>6.9847118872889084E-3</v>
      </c>
      <c r="W50" s="51">
        <f t="shared" si="12"/>
        <v>100.00000065669281</v>
      </c>
      <c r="X50" s="51">
        <f t="shared" si="13"/>
        <v>0.69847119331570084</v>
      </c>
      <c r="Y50" s="44">
        <v>100</v>
      </c>
      <c r="Z50" s="44">
        <v>100</v>
      </c>
      <c r="AA50" s="205">
        <v>427</v>
      </c>
      <c r="AB50" s="206">
        <v>6959114</v>
      </c>
      <c r="AC50" s="39"/>
      <c r="AD50" s="16"/>
      <c r="AE50" s="16"/>
      <c r="AF50" s="16"/>
      <c r="AG50" s="5"/>
      <c r="AH50" s="6"/>
      <c r="AI50" s="6"/>
      <c r="AJ50" s="6"/>
      <c r="AK50" s="7"/>
      <c r="AL50" s="5"/>
      <c r="AM50" s="6"/>
      <c r="AN50" s="6"/>
      <c r="AO50" s="6"/>
      <c r="AP50" s="7"/>
      <c r="AQ50" s="5"/>
      <c r="AR50" s="6"/>
      <c r="AS50" s="6"/>
      <c r="AT50" s="6"/>
      <c r="AU50" s="7"/>
    </row>
    <row r="51" spans="1:257" ht="16.5" customHeight="1" x14ac:dyDescent="0.3">
      <c r="A51" s="162" t="s">
        <v>94</v>
      </c>
      <c r="B51" s="127"/>
      <c r="C51" s="61" t="s">
        <v>54</v>
      </c>
      <c r="D51" s="62"/>
      <c r="E51" s="62"/>
      <c r="F51" s="62"/>
      <c r="G51" s="62"/>
      <c r="H51" s="62"/>
      <c r="I51" s="62"/>
      <c r="J51" s="62"/>
      <c r="K51" s="62"/>
      <c r="L51" s="62"/>
      <c r="M51" s="126"/>
      <c r="N51" s="62"/>
      <c r="O51" s="62"/>
      <c r="P51" s="123">
        <f t="shared" ref="P51" si="14">SUM(P22:P50)</f>
        <v>538027742372.95996</v>
      </c>
      <c r="Q51" s="125">
        <f>(P51/$P$146)</f>
        <v>0.41640280959383175</v>
      </c>
      <c r="R51" s="63">
        <f>SUM(R22:R50)</f>
        <v>548260058593.72003</v>
      </c>
      <c r="S51" s="125">
        <f>(R51/$R$146)</f>
        <v>0.42118187240202593</v>
      </c>
      <c r="T51" s="64">
        <f t="shared" si="9"/>
        <v>1.9018194444083231E-2</v>
      </c>
      <c r="U51" s="79"/>
      <c r="V51" s="65"/>
      <c r="W51" s="66"/>
      <c r="X51" s="66"/>
      <c r="Y51" s="62"/>
      <c r="Z51" s="62"/>
      <c r="AA51" s="67">
        <f>SUM(AA22:AA50)</f>
        <v>240222</v>
      </c>
      <c r="AB51" s="160"/>
      <c r="AC51" s="13"/>
      <c r="AD51" s="4"/>
      <c r="AE51" s="4"/>
      <c r="AF51" s="4"/>
      <c r="AG51" s="5"/>
      <c r="AH51" s="6"/>
      <c r="AI51" s="6"/>
      <c r="AJ51" s="6"/>
      <c r="AK51" s="7"/>
      <c r="AL51" s="5"/>
      <c r="AM51" s="6"/>
      <c r="AN51" s="6"/>
      <c r="AO51" s="6"/>
      <c r="AP51" s="7"/>
      <c r="AQ51" s="5"/>
      <c r="AR51" s="6"/>
      <c r="AS51" s="6"/>
      <c r="AT51" s="6"/>
      <c r="AU51" s="7"/>
    </row>
    <row r="52" spans="1:257" ht="16.5" customHeight="1" x14ac:dyDescent="0.3">
      <c r="A52" s="240" t="s">
        <v>197</v>
      </c>
      <c r="B52" s="241"/>
      <c r="C52" s="241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121"/>
      <c r="Q52" s="49"/>
      <c r="R52" s="73">
        <v>0</v>
      </c>
      <c r="S52" s="49"/>
      <c r="T52" s="49"/>
      <c r="U52" s="49"/>
      <c r="V52" s="74"/>
      <c r="W52" s="75"/>
      <c r="X52" s="75"/>
      <c r="Y52" s="73"/>
      <c r="Z52" s="73"/>
      <c r="AA52" s="73"/>
      <c r="AB52" s="163"/>
      <c r="AC52" s="13"/>
      <c r="AD52" s="4"/>
      <c r="AE52" s="4"/>
      <c r="AF52" s="4"/>
      <c r="AG52" s="5"/>
      <c r="AH52" s="6"/>
      <c r="AI52" s="6"/>
      <c r="AJ52" s="6"/>
      <c r="AK52" s="7"/>
      <c r="AL52" s="5"/>
      <c r="AM52" s="6"/>
      <c r="AN52" s="6"/>
      <c r="AO52" s="6"/>
      <c r="AP52" s="7"/>
      <c r="AQ52" s="5"/>
      <c r="AR52" s="6"/>
      <c r="AS52" s="6"/>
      <c r="AT52" s="6"/>
      <c r="AU52" s="7"/>
    </row>
    <row r="53" spans="1:257" ht="16.5" customHeight="1" x14ac:dyDescent="0.3">
      <c r="A53" s="156">
        <v>46</v>
      </c>
      <c r="B53" s="120" t="s">
        <v>25</v>
      </c>
      <c r="C53" s="86" t="s">
        <v>95</v>
      </c>
      <c r="D53" s="44"/>
      <c r="E53" s="44"/>
      <c r="F53" s="44">
        <v>11221901350.34</v>
      </c>
      <c r="G53" s="44">
        <v>74132940601.580002</v>
      </c>
      <c r="H53" s="44"/>
      <c r="I53" s="44"/>
      <c r="J53" s="44">
        <v>85354841951.919998</v>
      </c>
      <c r="K53" s="44">
        <v>609249554.08000004</v>
      </c>
      <c r="L53" s="44">
        <v>131124569.25</v>
      </c>
      <c r="M53" s="54">
        <v>478124984.82999998</v>
      </c>
      <c r="N53" s="44">
        <v>85525407280.470001</v>
      </c>
      <c r="O53" s="44">
        <v>422644333.17000002</v>
      </c>
      <c r="P53" s="224">
        <v>91942362391.350006</v>
      </c>
      <c r="Q53" s="48">
        <f>(P53/$P$79)</f>
        <v>0.23776705305146517</v>
      </c>
      <c r="R53" s="56">
        <v>85102762947.300003</v>
      </c>
      <c r="S53" s="48">
        <f>(R53/$R$79)</f>
        <v>0.22504279556927798</v>
      </c>
      <c r="T53" s="49">
        <f t="shared" ref="T53:T55" si="15">((R53-P53)/P53)</f>
        <v>-7.4390077284912981E-2</v>
      </c>
      <c r="U53" s="87">
        <f t="shared" ref="U53:U55" si="16">(L53/R53)</f>
        <v>1.5407792263007849E-3</v>
      </c>
      <c r="V53" s="50">
        <f t="shared" ref="V53:V55" si="17">M53/R53</f>
        <v>5.6182075442847788E-3</v>
      </c>
      <c r="W53" s="51">
        <f t="shared" ref="W53:W54" si="18">R53/AB53</f>
        <v>235.61062725499804</v>
      </c>
      <c r="X53" s="51">
        <f t="shared" ref="X53:X54" si="19">M53/AB53</f>
        <v>1.3237094035576988</v>
      </c>
      <c r="Y53" s="204">
        <v>235.61</v>
      </c>
      <c r="Z53" s="204">
        <v>235.61</v>
      </c>
      <c r="AA53" s="205">
        <v>7107</v>
      </c>
      <c r="AB53" s="206">
        <v>361200867.45999998</v>
      </c>
      <c r="AC53" s="13"/>
      <c r="AD53" s="4"/>
      <c r="AE53" s="4"/>
      <c r="AF53" s="4"/>
      <c r="AG53" s="5"/>
      <c r="AH53" s="6"/>
      <c r="AI53" s="6"/>
      <c r="AJ53" s="6"/>
      <c r="AK53" s="7"/>
      <c r="AL53" s="5"/>
      <c r="AM53" s="6"/>
      <c r="AN53" s="6"/>
      <c r="AO53" s="6"/>
      <c r="AP53" s="7"/>
      <c r="AQ53" s="5"/>
      <c r="AR53" s="6"/>
      <c r="AS53" s="6"/>
      <c r="AT53" s="6"/>
      <c r="AU53" s="7"/>
    </row>
    <row r="54" spans="1:257" ht="16.5" customHeight="1" x14ac:dyDescent="0.3">
      <c r="A54" s="156">
        <v>47</v>
      </c>
      <c r="B54" s="120" t="s">
        <v>33</v>
      </c>
      <c r="C54" s="86" t="s">
        <v>96</v>
      </c>
      <c r="D54" s="44"/>
      <c r="E54" s="44"/>
      <c r="F54" s="44">
        <v>301769885.89999998</v>
      </c>
      <c r="G54" s="44">
        <v>1039004112.74</v>
      </c>
      <c r="H54" s="44"/>
      <c r="I54" s="44"/>
      <c r="J54" s="44">
        <v>1340773998.6400001</v>
      </c>
      <c r="K54" s="44">
        <v>13959626.57</v>
      </c>
      <c r="L54" s="44">
        <v>1852474.41</v>
      </c>
      <c r="M54" s="54">
        <v>12107152.16</v>
      </c>
      <c r="N54" s="44">
        <v>1369748362.8099999</v>
      </c>
      <c r="O54" s="44">
        <v>13965598.25</v>
      </c>
      <c r="P54" s="224">
        <v>1348080939.8599999</v>
      </c>
      <c r="Q54" s="48">
        <f t="shared" ref="Q54:Q78" si="20">(P54/$P$79)</f>
        <v>3.4861974829517458E-3</v>
      </c>
      <c r="R54" s="56">
        <v>1355782764.5599999</v>
      </c>
      <c r="S54" s="48">
        <f t="shared" ref="S54:S78" si="21">(R54/$R$79)</f>
        <v>3.5851849335393005E-3</v>
      </c>
      <c r="T54" s="49">
        <f t="shared" si="15"/>
        <v>5.7131767628135835E-3</v>
      </c>
      <c r="U54" s="87">
        <f t="shared" si="16"/>
        <v>1.3663504644132235E-3</v>
      </c>
      <c r="V54" s="50">
        <f t="shared" si="17"/>
        <v>8.9300089044347785E-3</v>
      </c>
      <c r="W54" s="51">
        <f t="shared" si="18"/>
        <v>319.51402175227173</v>
      </c>
      <c r="X54" s="51">
        <f t="shared" si="19"/>
        <v>2.8532630593395543</v>
      </c>
      <c r="Y54" s="204">
        <v>319.51400000000001</v>
      </c>
      <c r="Z54" s="204">
        <v>319.51400000000001</v>
      </c>
      <c r="AA54" s="205">
        <v>168</v>
      </c>
      <c r="AB54" s="206">
        <v>4243265.3099999996</v>
      </c>
      <c r="AC54" s="13"/>
      <c r="AD54" s="4"/>
      <c r="AE54" s="4"/>
      <c r="AF54" s="4"/>
      <c r="AG54" s="5"/>
      <c r="AH54" s="6"/>
      <c r="AI54" s="6"/>
      <c r="AJ54" s="6"/>
      <c r="AK54" s="7"/>
      <c r="AL54" s="5"/>
      <c r="AM54" s="6"/>
      <c r="AN54" s="6"/>
      <c r="AO54" s="6"/>
      <c r="AP54" s="7"/>
      <c r="AQ54" s="5"/>
      <c r="AR54" s="6"/>
      <c r="AS54" s="6"/>
      <c r="AT54" s="6"/>
      <c r="AU54" s="7"/>
    </row>
    <row r="55" spans="1:257" ht="16.5" customHeight="1" x14ac:dyDescent="0.3">
      <c r="A55" s="156">
        <v>48</v>
      </c>
      <c r="B55" s="120" t="s">
        <v>39</v>
      </c>
      <c r="C55" s="86" t="s">
        <v>198</v>
      </c>
      <c r="D55" s="44"/>
      <c r="E55" s="44"/>
      <c r="F55" s="44">
        <v>9445397854.2199993</v>
      </c>
      <c r="G55" s="44">
        <v>28551533277.43</v>
      </c>
      <c r="H55" s="44"/>
      <c r="I55" s="44"/>
      <c r="J55" s="44">
        <v>38069204159</v>
      </c>
      <c r="K55" s="44">
        <v>1142727774.0799999</v>
      </c>
      <c r="L55" s="44">
        <v>38425746.369999997</v>
      </c>
      <c r="M55" s="54">
        <v>1104302027.71</v>
      </c>
      <c r="N55" s="44">
        <v>38439103115.32</v>
      </c>
      <c r="O55" s="44">
        <v>369898956.33999997</v>
      </c>
      <c r="P55" s="224">
        <v>39247247970.790001</v>
      </c>
      <c r="Q55" s="48">
        <f t="shared" si="20"/>
        <v>0.10149513507902606</v>
      </c>
      <c r="R55" s="56">
        <v>38069204158.980003</v>
      </c>
      <c r="S55" s="48">
        <f t="shared" si="21"/>
        <v>0.10066888350428403</v>
      </c>
      <c r="T55" s="49">
        <f t="shared" si="15"/>
        <v>-3.0015959658796044E-2</v>
      </c>
      <c r="U55" s="87">
        <f t="shared" si="16"/>
        <v>1.0093656334272459E-3</v>
      </c>
      <c r="V55" s="50">
        <f t="shared" si="17"/>
        <v>2.9007751858913244E-2</v>
      </c>
      <c r="W55" s="51">
        <f>R55/AB55</f>
        <v>1392.8653129618285</v>
      </c>
      <c r="X55" s="51">
        <f>M55/AB55</f>
        <v>40.40389137128426</v>
      </c>
      <c r="Y55" s="204">
        <v>1392.86</v>
      </c>
      <c r="Z55" s="204">
        <v>1392.86</v>
      </c>
      <c r="AA55" s="205">
        <v>1968</v>
      </c>
      <c r="AB55" s="206">
        <v>27331576</v>
      </c>
      <c r="AC55" s="13"/>
      <c r="AD55" s="4"/>
      <c r="AE55" s="4"/>
      <c r="AF55" s="4"/>
      <c r="AG55" s="5"/>
      <c r="AH55" s="6"/>
      <c r="AI55" s="6"/>
      <c r="AJ55" s="6"/>
      <c r="AK55" s="7"/>
      <c r="AL55" s="5"/>
      <c r="AM55" s="6"/>
      <c r="AN55" s="6"/>
      <c r="AO55" s="6"/>
      <c r="AP55" s="7"/>
      <c r="AQ55" s="5"/>
      <c r="AR55" s="6"/>
      <c r="AS55" s="6"/>
      <c r="AT55" s="6"/>
      <c r="AU55" s="7"/>
    </row>
    <row r="56" spans="1:257" ht="16.5" customHeight="1" x14ac:dyDescent="0.3">
      <c r="A56" s="156">
        <v>49</v>
      </c>
      <c r="B56" s="122" t="s">
        <v>164</v>
      </c>
      <c r="C56" s="86" t="s">
        <v>166</v>
      </c>
      <c r="D56" s="44"/>
      <c r="E56" s="44"/>
      <c r="F56" s="44">
        <v>64149951.850000001</v>
      </c>
      <c r="G56" s="44">
        <v>482154796.56</v>
      </c>
      <c r="H56" s="55"/>
      <c r="I56" s="53">
        <v>1434332.64</v>
      </c>
      <c r="J56" s="53">
        <v>621837749.75</v>
      </c>
      <c r="K56" s="53">
        <v>5549974.29</v>
      </c>
      <c r="L56" s="44">
        <v>1189642.18</v>
      </c>
      <c r="M56" s="54">
        <v>4360332.1100000003</v>
      </c>
      <c r="N56" s="44">
        <v>621837749.75</v>
      </c>
      <c r="O56" s="44">
        <v>621837749.75</v>
      </c>
      <c r="P56" s="224">
        <v>615530032.13999999</v>
      </c>
      <c r="Q56" s="48">
        <f t="shared" si="20"/>
        <v>1.5917881376993027E-3</v>
      </c>
      <c r="R56" s="56">
        <v>615676854.30999994</v>
      </c>
      <c r="S56" s="48">
        <f t="shared" si="21"/>
        <v>1.6280745261704485E-3</v>
      </c>
      <c r="T56" s="49">
        <f>((R56-P56)/P56)</f>
        <v>2.3852966115967342E-4</v>
      </c>
      <c r="U56" s="87">
        <f>(L56/R56)</f>
        <v>1.9322509392256644E-3</v>
      </c>
      <c r="V56" s="50">
        <f>M56/R56</f>
        <v>7.082176436349394E-3</v>
      </c>
      <c r="W56" s="51">
        <f>R56/AB56</f>
        <v>1.044542412106402</v>
      </c>
      <c r="X56" s="51">
        <f>M56/AB56</f>
        <v>7.397633657787517E-3</v>
      </c>
      <c r="Y56" s="204">
        <v>1.05</v>
      </c>
      <c r="Z56" s="204">
        <v>1.05</v>
      </c>
      <c r="AA56" s="205">
        <v>35</v>
      </c>
      <c r="AB56" s="206">
        <v>589422552.09000003</v>
      </c>
      <c r="AC56" s="13"/>
      <c r="AD56" s="4"/>
      <c r="AE56" s="4"/>
      <c r="AF56" s="4"/>
      <c r="AG56" s="5"/>
      <c r="AH56" s="6"/>
      <c r="AI56" s="6"/>
      <c r="AJ56" s="6"/>
      <c r="AK56" s="7"/>
      <c r="AL56" s="5"/>
      <c r="AM56" s="6"/>
      <c r="AN56" s="6"/>
      <c r="AO56" s="6"/>
      <c r="AP56" s="7"/>
      <c r="AQ56" s="5"/>
      <c r="AR56" s="6"/>
      <c r="AS56" s="6"/>
      <c r="AT56" s="6"/>
      <c r="AU56" s="7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</row>
    <row r="57" spans="1:257" ht="16.5" customHeight="1" x14ac:dyDescent="0.3">
      <c r="A57" s="156">
        <v>50</v>
      </c>
      <c r="B57" s="120" t="s">
        <v>85</v>
      </c>
      <c r="C57" s="122" t="s">
        <v>101</v>
      </c>
      <c r="D57" s="44"/>
      <c r="E57" s="44"/>
      <c r="F57" s="44">
        <v>130170958.90000001</v>
      </c>
      <c r="G57" s="44">
        <v>2832222451.1999998</v>
      </c>
      <c r="H57" s="44"/>
      <c r="I57" s="44"/>
      <c r="J57" s="44">
        <v>2962393410.0999999</v>
      </c>
      <c r="K57" s="44">
        <v>21430251.920000002</v>
      </c>
      <c r="L57" s="44">
        <v>3850797.12</v>
      </c>
      <c r="M57" s="54">
        <v>17579454.800000001</v>
      </c>
      <c r="N57" s="44">
        <v>2983410831.5799999</v>
      </c>
      <c r="O57" s="44">
        <v>34357540.640000001</v>
      </c>
      <c r="P57" s="224">
        <v>2938676211.0700002</v>
      </c>
      <c r="Q57" s="48">
        <f t="shared" si="20"/>
        <v>7.5995478515602666E-3</v>
      </c>
      <c r="R57" s="56">
        <v>2949053290.9400001</v>
      </c>
      <c r="S57" s="48">
        <f t="shared" si="21"/>
        <v>7.7983742700209529E-3</v>
      </c>
      <c r="T57" s="49">
        <f>((R57-P57)/P57)</f>
        <v>3.5312089950261961E-3</v>
      </c>
      <c r="U57" s="87">
        <f t="shared" ref="U57:U78" si="22">(L57/R57)</f>
        <v>1.3057740027385442E-3</v>
      </c>
      <c r="V57" s="50">
        <f t="shared" ref="V57:V78" si="23">M57/R57</f>
        <v>5.9610502305967534E-3</v>
      </c>
      <c r="W57" s="51">
        <f t="shared" ref="W57:W75" si="24">R57/AB57</f>
        <v>3468.3723336149301</v>
      </c>
      <c r="X57" s="51">
        <f t="shared" ref="X57:X75" si="25">M57/AB57</f>
        <v>20.675141699090677</v>
      </c>
      <c r="Y57" s="204">
        <v>3468.37</v>
      </c>
      <c r="Z57" s="204">
        <v>3468.37</v>
      </c>
      <c r="AA57" s="205">
        <v>1038</v>
      </c>
      <c r="AB57" s="206">
        <v>850270.1</v>
      </c>
      <c r="AC57" s="13"/>
      <c r="AD57" s="4"/>
      <c r="AE57" s="4"/>
      <c r="AF57" s="4"/>
      <c r="AG57" s="5"/>
      <c r="AH57" s="6"/>
      <c r="AI57" s="6"/>
      <c r="AJ57" s="6"/>
      <c r="AK57" s="7"/>
      <c r="AL57" s="5"/>
      <c r="AM57" s="6"/>
      <c r="AN57" s="6"/>
      <c r="AO57" s="6"/>
      <c r="AP57" s="7"/>
      <c r="AQ57" s="5"/>
      <c r="AR57" s="6"/>
      <c r="AS57" s="6"/>
      <c r="AT57" s="6"/>
      <c r="AU57" s="7"/>
    </row>
    <row r="58" spans="1:257" ht="16.5" customHeight="1" x14ac:dyDescent="0.3">
      <c r="A58" s="156">
        <v>51</v>
      </c>
      <c r="B58" s="120" t="s">
        <v>35</v>
      </c>
      <c r="C58" s="86" t="s">
        <v>102</v>
      </c>
      <c r="D58" s="44"/>
      <c r="E58" s="44"/>
      <c r="F58" s="44">
        <v>2556622778</v>
      </c>
      <c r="G58" s="44">
        <v>99271682778</v>
      </c>
      <c r="H58" s="44"/>
      <c r="I58" s="44"/>
      <c r="J58" s="44">
        <v>101828305556</v>
      </c>
      <c r="K58" s="44">
        <v>783805442</v>
      </c>
      <c r="L58" s="44">
        <v>162454004</v>
      </c>
      <c r="M58" s="54">
        <v>621351439</v>
      </c>
      <c r="N58" s="44">
        <v>114174142531.64999</v>
      </c>
      <c r="O58" s="44">
        <v>574627134.37</v>
      </c>
      <c r="P58" s="224">
        <v>114568269899</v>
      </c>
      <c r="Q58" s="48">
        <f t="shared" si="20"/>
        <v>0.29627865978841678</v>
      </c>
      <c r="R58" s="56">
        <v>113599515397</v>
      </c>
      <c r="S58" s="48">
        <f t="shared" si="21"/>
        <v>0.30039861967921211</v>
      </c>
      <c r="T58" s="49">
        <f>((R58-P58)/P58)</f>
        <v>-8.4556963533971956E-3</v>
      </c>
      <c r="U58" s="87">
        <f t="shared" si="22"/>
        <v>1.4300589525603749E-3</v>
      </c>
      <c r="V58" s="50">
        <f t="shared" si="23"/>
        <v>5.4696662818370526E-3</v>
      </c>
      <c r="W58" s="51">
        <f t="shared" si="24"/>
        <v>1.9606265182683735</v>
      </c>
      <c r="X58" s="51">
        <f t="shared" si="25"/>
        <v>1.0723972758248101E-2</v>
      </c>
      <c r="Y58" s="204">
        <v>1.96</v>
      </c>
      <c r="Z58" s="204">
        <v>1.96</v>
      </c>
      <c r="AA58" s="205">
        <v>2690</v>
      </c>
      <c r="AB58" s="206">
        <v>57940415647</v>
      </c>
      <c r="AC58" s="13"/>
      <c r="AD58" s="4"/>
      <c r="AE58" s="4"/>
      <c r="AF58" s="4"/>
      <c r="AG58" s="5"/>
      <c r="AH58" s="6"/>
      <c r="AI58" s="6"/>
      <c r="AJ58" s="6"/>
      <c r="AK58" s="7"/>
      <c r="AL58" s="5"/>
      <c r="AM58" s="6"/>
      <c r="AN58" s="6"/>
      <c r="AO58" s="6"/>
      <c r="AP58" s="7"/>
      <c r="AQ58" s="5"/>
      <c r="AR58" s="6"/>
      <c r="AS58" s="6"/>
      <c r="AT58" s="6"/>
      <c r="AU58" s="7"/>
    </row>
    <row r="59" spans="1:257" ht="16.5" customHeight="1" x14ac:dyDescent="0.3">
      <c r="A59" s="156">
        <v>52</v>
      </c>
      <c r="B59" s="120" t="s">
        <v>46</v>
      </c>
      <c r="C59" s="86" t="s">
        <v>103</v>
      </c>
      <c r="D59" s="44">
        <v>46371250</v>
      </c>
      <c r="E59" s="44"/>
      <c r="F59" s="44">
        <v>138700000</v>
      </c>
      <c r="G59" s="44">
        <v>10922401106.030001</v>
      </c>
      <c r="H59" s="44"/>
      <c r="I59" s="44"/>
      <c r="J59" s="44">
        <v>11107472356.030001</v>
      </c>
      <c r="K59" s="44">
        <v>54574504.840000004</v>
      </c>
      <c r="L59" s="44">
        <v>8617040.8200000003</v>
      </c>
      <c r="M59" s="54">
        <v>47682464.020000003</v>
      </c>
      <c r="N59" s="44">
        <v>11109552496.360001</v>
      </c>
      <c r="O59" s="44">
        <v>274452281.73000002</v>
      </c>
      <c r="P59" s="224">
        <v>11013410368.07</v>
      </c>
      <c r="Q59" s="48">
        <f t="shared" si="20"/>
        <v>2.8481170802598588E-2</v>
      </c>
      <c r="R59" s="56">
        <v>10835100214.620001</v>
      </c>
      <c r="S59" s="48">
        <f t="shared" si="21"/>
        <v>2.8651963322052505E-2</v>
      </c>
      <c r="T59" s="49">
        <f t="shared" ref="T59:T99" si="26">((R59-P59)/P59)</f>
        <v>-1.6190275989983481E-2</v>
      </c>
      <c r="U59" s="87">
        <f t="shared" si="22"/>
        <v>7.9528944350444196E-4</v>
      </c>
      <c r="V59" s="50">
        <f t="shared" si="23"/>
        <v>4.4007404708321174E-3</v>
      </c>
      <c r="W59" s="51">
        <f t="shared" si="24"/>
        <v>1.0000253974216506</v>
      </c>
      <c r="X59" s="51">
        <f t="shared" si="25"/>
        <v>4.4008522382934304E-3</v>
      </c>
      <c r="Y59" s="204">
        <v>1</v>
      </c>
      <c r="Z59" s="204">
        <v>1</v>
      </c>
      <c r="AA59" s="205">
        <v>4558</v>
      </c>
      <c r="AB59" s="206">
        <v>10834825038</v>
      </c>
      <c r="AC59" s="13"/>
      <c r="AD59" s="4"/>
      <c r="AE59" s="4"/>
      <c r="AF59" s="4"/>
      <c r="AG59" s="5"/>
      <c r="AH59" s="6"/>
      <c r="AI59" s="6"/>
      <c r="AJ59" s="6"/>
      <c r="AK59" s="7"/>
      <c r="AL59" s="5"/>
      <c r="AM59" s="6"/>
      <c r="AN59" s="6"/>
      <c r="AO59" s="6"/>
      <c r="AP59" s="7"/>
      <c r="AQ59" s="5"/>
      <c r="AR59" s="6"/>
      <c r="AS59" s="6"/>
      <c r="AT59" s="6"/>
      <c r="AU59" s="7"/>
    </row>
    <row r="60" spans="1:257" ht="16.5" customHeight="1" x14ac:dyDescent="0.3">
      <c r="A60" s="156">
        <v>53</v>
      </c>
      <c r="B60" s="122" t="s">
        <v>77</v>
      </c>
      <c r="C60" s="85" t="s">
        <v>116</v>
      </c>
      <c r="D60" s="44"/>
      <c r="E60" s="44"/>
      <c r="F60" s="44">
        <v>1333361058.3099999</v>
      </c>
      <c r="G60" s="44">
        <v>3222319575.0500002</v>
      </c>
      <c r="H60" s="44"/>
      <c r="I60" s="44"/>
      <c r="J60" s="44">
        <v>4555680633.3599997</v>
      </c>
      <c r="K60" s="44">
        <v>37785872.310000002</v>
      </c>
      <c r="L60" s="44">
        <v>6566008.2199999997</v>
      </c>
      <c r="M60" s="54">
        <v>31219864.09</v>
      </c>
      <c r="N60" s="44">
        <v>4676794286.21</v>
      </c>
      <c r="O60" s="44">
        <v>33673777.590000004</v>
      </c>
      <c r="P60" s="224">
        <v>4854494328.4700003</v>
      </c>
      <c r="Q60" s="48">
        <f t="shared" si="20"/>
        <v>1.2553939016950415E-2</v>
      </c>
      <c r="R60" s="56">
        <v>4643120508.6199999</v>
      </c>
      <c r="S60" s="48">
        <f t="shared" si="21"/>
        <v>1.22781068820521E-2</v>
      </c>
      <c r="T60" s="49">
        <f>((R60-P60)/P60)</f>
        <v>-4.3541882129795269E-2</v>
      </c>
      <c r="U60" s="87">
        <f>(L60/R60)</f>
        <v>1.4141369382530864E-3</v>
      </c>
      <c r="V60" s="50">
        <f>M60/R60</f>
        <v>6.7238970067737868E-3</v>
      </c>
      <c r="W60" s="51">
        <f>R60/AB60</f>
        <v>24.880407835138815</v>
      </c>
      <c r="X60" s="51">
        <f>M60/AB60</f>
        <v>0.16729329977000093</v>
      </c>
      <c r="Y60" s="204">
        <v>24.880700000000001</v>
      </c>
      <c r="Z60" s="204">
        <v>24.880700000000001</v>
      </c>
      <c r="AA60" s="205">
        <v>1418</v>
      </c>
      <c r="AB60" s="206">
        <v>186617540.16999999</v>
      </c>
      <c r="AC60" s="13"/>
      <c r="AD60" s="4"/>
      <c r="AE60" s="4"/>
      <c r="AF60" s="4"/>
      <c r="AG60" s="5"/>
      <c r="AH60" s="6"/>
      <c r="AI60" s="6"/>
      <c r="AJ60" s="6"/>
      <c r="AK60" s="7"/>
      <c r="AL60" s="5"/>
      <c r="AM60" s="6"/>
      <c r="AN60" s="6"/>
      <c r="AO60" s="6"/>
      <c r="AP60" s="7"/>
      <c r="AQ60" s="5"/>
      <c r="AR60" s="6"/>
      <c r="AS60" s="6"/>
      <c r="AT60" s="6"/>
      <c r="AU60" s="7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</row>
    <row r="61" spans="1:257" ht="16.5" customHeight="1" x14ac:dyDescent="0.3">
      <c r="A61" s="156">
        <v>54</v>
      </c>
      <c r="B61" s="120" t="s">
        <v>104</v>
      </c>
      <c r="C61" s="86" t="s">
        <v>105</v>
      </c>
      <c r="D61" s="44"/>
      <c r="E61" s="44"/>
      <c r="F61" s="44">
        <v>94710763.230000004</v>
      </c>
      <c r="G61" s="44">
        <v>383242882.25</v>
      </c>
      <c r="H61" s="44"/>
      <c r="I61" s="44"/>
      <c r="J61" s="44">
        <v>477953645.48000002</v>
      </c>
      <c r="K61" s="44">
        <v>3332258.5</v>
      </c>
      <c r="L61" s="44">
        <v>829627.49</v>
      </c>
      <c r="M61" s="54">
        <v>2502631.0099999998</v>
      </c>
      <c r="N61" s="44">
        <v>480969219.75999999</v>
      </c>
      <c r="O61" s="44">
        <v>8030493.5999999996</v>
      </c>
      <c r="P61" s="224">
        <v>472758393.11000001</v>
      </c>
      <c r="Q61" s="48">
        <f t="shared" si="20"/>
        <v>1.2225743064623066E-3</v>
      </c>
      <c r="R61" s="56">
        <v>472938726.16000003</v>
      </c>
      <c r="S61" s="48">
        <f t="shared" si="21"/>
        <v>1.2506227692504817E-3</v>
      </c>
      <c r="T61" s="49">
        <f t="shared" si="26"/>
        <v>3.8144864824864687E-4</v>
      </c>
      <c r="U61" s="87">
        <f t="shared" si="22"/>
        <v>1.7541965673568641E-3</v>
      </c>
      <c r="V61" s="50">
        <f t="shared" si="23"/>
        <v>5.2916601487046208E-3</v>
      </c>
      <c r="W61" s="51">
        <f t="shared" si="24"/>
        <v>2.0605265579787826</v>
      </c>
      <c r="X61" s="51">
        <f t="shared" si="25"/>
        <v>1.0903606272203827E-2</v>
      </c>
      <c r="Y61" s="204">
        <v>2.0527000000000002</v>
      </c>
      <c r="Z61" s="204">
        <v>2.0527000000000002</v>
      </c>
      <c r="AA61" s="205">
        <v>1439</v>
      </c>
      <c r="AB61" s="206">
        <v>229523237.31459999</v>
      </c>
      <c r="AC61" s="13"/>
      <c r="AD61" s="4"/>
      <c r="AE61" s="4"/>
      <c r="AF61" s="4"/>
      <c r="AG61" s="5"/>
      <c r="AH61" s="6"/>
      <c r="AI61" s="6"/>
      <c r="AJ61" s="6"/>
      <c r="AK61" s="7"/>
      <c r="AL61" s="5"/>
      <c r="AM61" s="6"/>
      <c r="AN61" s="6"/>
      <c r="AO61" s="6"/>
      <c r="AP61" s="7"/>
      <c r="AQ61" s="5"/>
      <c r="AR61" s="6"/>
      <c r="AS61" s="6"/>
      <c r="AT61" s="6"/>
      <c r="AU61" s="7"/>
    </row>
    <row r="62" spans="1:257" ht="18" customHeight="1" x14ac:dyDescent="0.3">
      <c r="A62" s="156">
        <v>55</v>
      </c>
      <c r="B62" s="120" t="s">
        <v>25</v>
      </c>
      <c r="C62" s="86" t="s">
        <v>106</v>
      </c>
      <c r="D62" s="44"/>
      <c r="E62" s="44"/>
      <c r="F62" s="44">
        <v>2171402035.0500002</v>
      </c>
      <c r="G62" s="44">
        <v>22451696191.34</v>
      </c>
      <c r="H62" s="44"/>
      <c r="I62" s="44"/>
      <c r="J62" s="44">
        <v>24657272789.299999</v>
      </c>
      <c r="K62" s="44">
        <v>176112651.68000001</v>
      </c>
      <c r="L62" s="44">
        <v>36694722.759999998</v>
      </c>
      <c r="M62" s="54">
        <v>139417928.91999999</v>
      </c>
      <c r="N62" s="44">
        <v>24811310170.349998</v>
      </c>
      <c r="O62" s="44">
        <v>122181067.12</v>
      </c>
      <c r="P62" s="224">
        <v>25096593510.52</v>
      </c>
      <c r="Q62" s="48">
        <f t="shared" si="20"/>
        <v>6.4900911021057883E-2</v>
      </c>
      <c r="R62" s="56">
        <v>24689129103.23</v>
      </c>
      <c r="S62" s="48">
        <f t="shared" si="21"/>
        <v>6.528707695427384E-2</v>
      </c>
      <c r="T62" s="49">
        <f t="shared" si="26"/>
        <v>-1.623584520023404E-2</v>
      </c>
      <c r="U62" s="87">
        <f t="shared" si="22"/>
        <v>1.4862704393732277E-3</v>
      </c>
      <c r="V62" s="50">
        <f t="shared" si="23"/>
        <v>5.6469358776110243E-3</v>
      </c>
      <c r="W62" s="51">
        <f t="shared" si="24"/>
        <v>313.18735565532018</v>
      </c>
      <c r="X62" s="51">
        <f t="shared" si="25"/>
        <v>1.7685489150641514</v>
      </c>
      <c r="Y62" s="204">
        <v>313.19</v>
      </c>
      <c r="Z62" s="204">
        <v>313.19</v>
      </c>
      <c r="AA62" s="205">
        <v>9685</v>
      </c>
      <c r="AB62" s="206">
        <v>78831819.540000007</v>
      </c>
      <c r="AC62" s="13"/>
      <c r="AD62" s="4"/>
      <c r="AE62" s="4"/>
      <c r="AF62" s="4"/>
      <c r="AG62" s="5"/>
      <c r="AH62" s="6"/>
      <c r="AI62" s="6"/>
      <c r="AJ62" s="6"/>
      <c r="AK62" s="7"/>
      <c r="AL62" s="5"/>
      <c r="AM62" s="6"/>
      <c r="AN62" s="6"/>
      <c r="AO62" s="6"/>
      <c r="AP62" s="7"/>
      <c r="AQ62" s="5"/>
      <c r="AR62" s="6"/>
      <c r="AS62" s="6"/>
      <c r="AT62" s="6"/>
      <c r="AU62" s="7"/>
    </row>
    <row r="63" spans="1:257" ht="16.5" customHeight="1" x14ac:dyDescent="0.3">
      <c r="A63" s="156">
        <v>56</v>
      </c>
      <c r="B63" s="120" t="s">
        <v>107</v>
      </c>
      <c r="C63" s="86" t="s">
        <v>108</v>
      </c>
      <c r="D63" s="44"/>
      <c r="E63" s="44"/>
      <c r="F63" s="44"/>
      <c r="G63" s="44">
        <v>5849106428.1899996</v>
      </c>
      <c r="H63" s="44"/>
      <c r="I63" s="44"/>
      <c r="J63" s="44">
        <v>5849106428.1899996</v>
      </c>
      <c r="K63" s="44">
        <v>49451397.789999999</v>
      </c>
      <c r="L63" s="44">
        <v>19386320.23</v>
      </c>
      <c r="M63" s="54">
        <v>30065126.629999999</v>
      </c>
      <c r="N63" s="44">
        <v>6194065372</v>
      </c>
      <c r="O63" s="44">
        <v>74635448</v>
      </c>
      <c r="P63" s="224">
        <v>6346560922</v>
      </c>
      <c r="Q63" s="48">
        <f t="shared" si="20"/>
        <v>1.6412489827186533E-2</v>
      </c>
      <c r="R63" s="56">
        <v>6119429924</v>
      </c>
      <c r="S63" s="48">
        <f t="shared" si="21"/>
        <v>1.6182008311998591E-2</v>
      </c>
      <c r="T63" s="49">
        <f t="shared" si="26"/>
        <v>-3.578804344454696E-2</v>
      </c>
      <c r="U63" s="87">
        <f t="shared" si="22"/>
        <v>3.1679944816376004E-3</v>
      </c>
      <c r="V63" s="50">
        <f t="shared" si="23"/>
        <v>4.9130600404600697E-3</v>
      </c>
      <c r="W63" s="51">
        <f t="shared" si="24"/>
        <v>0.92592592592592593</v>
      </c>
      <c r="X63" s="51">
        <f t="shared" si="25"/>
        <v>4.549129667092657E-3</v>
      </c>
      <c r="Y63" s="204">
        <v>1.08</v>
      </c>
      <c r="Z63" s="204">
        <v>1.08</v>
      </c>
      <c r="AA63" s="205">
        <v>2012</v>
      </c>
      <c r="AB63" s="206">
        <v>6608984317.9200001</v>
      </c>
      <c r="AC63" s="13"/>
      <c r="AD63" s="4"/>
      <c r="AE63" s="4"/>
      <c r="AF63" s="4"/>
      <c r="AG63" s="5"/>
      <c r="AH63" s="6"/>
      <c r="AI63" s="6"/>
      <c r="AJ63" s="6"/>
      <c r="AK63" s="7"/>
      <c r="AL63" s="5"/>
      <c r="AM63" s="6"/>
      <c r="AN63" s="6"/>
      <c r="AO63" s="6"/>
      <c r="AP63" s="7"/>
      <c r="AQ63" s="5"/>
      <c r="AR63" s="6"/>
      <c r="AS63" s="6"/>
      <c r="AT63" s="6"/>
      <c r="AU63" s="7"/>
    </row>
    <row r="64" spans="1:257" ht="15.75" customHeight="1" x14ac:dyDescent="0.3">
      <c r="A64" s="156">
        <v>57</v>
      </c>
      <c r="B64" s="122" t="s">
        <v>27</v>
      </c>
      <c r="C64" s="120" t="s">
        <v>199</v>
      </c>
      <c r="D64" s="44"/>
      <c r="E64" s="44"/>
      <c r="F64" s="44">
        <v>3586897.31</v>
      </c>
      <c r="G64" s="44">
        <v>48748822.640000001</v>
      </c>
      <c r="H64" s="44"/>
      <c r="I64" s="44"/>
      <c r="J64" s="44">
        <v>52335719.950000003</v>
      </c>
      <c r="K64" s="212">
        <f>M64+L64</f>
        <v>44930297.920000002</v>
      </c>
      <c r="L64" s="212">
        <v>7412.83</v>
      </c>
      <c r="M64" s="54">
        <v>44922885.090000004</v>
      </c>
      <c r="N64" s="44">
        <v>6642026204.5600004</v>
      </c>
      <c r="O64" s="44">
        <v>23943835</v>
      </c>
      <c r="P64" s="224">
        <v>6925454515.75</v>
      </c>
      <c r="Q64" s="48">
        <f t="shared" si="20"/>
        <v>1.7909534499917924E-2</v>
      </c>
      <c r="R64" s="56">
        <v>6618082369.9300003</v>
      </c>
      <c r="S64" s="48">
        <f t="shared" si="21"/>
        <v>1.7500627550236916E-2</v>
      </c>
      <c r="T64" s="49">
        <f t="shared" si="26"/>
        <v>-4.4382956399607869E-2</v>
      </c>
      <c r="U64" s="87">
        <f>(L65/R64)</f>
        <v>6.5274323097397344E-3</v>
      </c>
      <c r="V64" s="50">
        <f t="shared" si="23"/>
        <v>6.7879005698255092E-3</v>
      </c>
      <c r="W64" s="51">
        <f t="shared" si="24"/>
        <v>152.53243705791141</v>
      </c>
      <c r="X64" s="51">
        <f t="shared" si="25"/>
        <v>1.0353750164222704</v>
      </c>
      <c r="Y64" s="213">
        <v>4</v>
      </c>
      <c r="Z64" s="213">
        <v>4</v>
      </c>
      <c r="AA64" s="214">
        <f>934+29</f>
        <v>963</v>
      </c>
      <c r="AB64" s="214">
        <v>43388032.719999999</v>
      </c>
      <c r="AC64" s="13"/>
      <c r="AD64" s="4"/>
      <c r="AE64" s="4"/>
      <c r="AF64" s="4"/>
      <c r="AG64" s="5"/>
      <c r="AH64" s="6"/>
      <c r="AI64" s="6"/>
      <c r="AJ64" s="6"/>
      <c r="AK64" s="7"/>
      <c r="AL64" s="5"/>
      <c r="AM64" s="6"/>
      <c r="AN64" s="6"/>
      <c r="AO64" s="6"/>
      <c r="AP64" s="7"/>
      <c r="AQ64" s="5"/>
      <c r="AR64" s="6"/>
      <c r="AS64" s="6"/>
      <c r="AT64" s="6"/>
      <c r="AU64" s="7"/>
    </row>
    <row r="65" spans="1:257" ht="16.5" customHeight="1" x14ac:dyDescent="0.3">
      <c r="A65" s="156">
        <v>58</v>
      </c>
      <c r="B65" s="120" t="s">
        <v>25</v>
      </c>
      <c r="C65" s="85" t="s">
        <v>109</v>
      </c>
      <c r="D65" s="44"/>
      <c r="E65" s="44"/>
      <c r="F65" s="44">
        <v>12302209415.51</v>
      </c>
      <c r="G65" s="44">
        <v>31940795457.509998</v>
      </c>
      <c r="H65" s="44"/>
      <c r="I65" s="44"/>
      <c r="J65" s="44">
        <v>44243004873.019997</v>
      </c>
      <c r="K65" s="44">
        <v>388994547.64999998</v>
      </c>
      <c r="L65" s="44">
        <v>43199084.689999998</v>
      </c>
      <c r="M65" s="54">
        <v>345795462.95999998</v>
      </c>
      <c r="N65" s="44">
        <v>45049830619.360001</v>
      </c>
      <c r="O65" s="44">
        <v>129145779.86</v>
      </c>
      <c r="P65" s="224">
        <v>42618805033.760002</v>
      </c>
      <c r="Q65" s="48">
        <f t="shared" si="20"/>
        <v>0.11021413213551946</v>
      </c>
      <c r="R65" s="56">
        <v>44920684839.5</v>
      </c>
      <c r="S65" s="48">
        <f t="shared" si="21"/>
        <v>0.11878670145442424</v>
      </c>
      <c r="T65" s="49">
        <f t="shared" si="26"/>
        <v>5.4010895047775037E-2</v>
      </c>
      <c r="U65" s="87">
        <f>(L66/R65)</f>
        <v>5.3528856663503272E-6</v>
      </c>
      <c r="V65" s="50">
        <f t="shared" si="23"/>
        <v>7.6979116457265686E-3</v>
      </c>
      <c r="W65" s="51">
        <f t="shared" si="24"/>
        <v>4255.2867465283271</v>
      </c>
      <c r="X65" s="51">
        <f t="shared" si="25"/>
        <v>32.756821402006331</v>
      </c>
      <c r="Y65" s="104">
        <v>4255.29</v>
      </c>
      <c r="Z65" s="104">
        <v>4255.29</v>
      </c>
      <c r="AA65" s="205">
        <v>517</v>
      </c>
      <c r="AB65" s="206">
        <v>10556441.32</v>
      </c>
      <c r="AC65" s="13"/>
      <c r="AD65" s="4"/>
      <c r="AE65" s="4"/>
      <c r="AF65" s="4"/>
      <c r="AG65" s="5"/>
      <c r="AH65" s="6"/>
      <c r="AI65" s="6"/>
      <c r="AJ65" s="6"/>
      <c r="AK65" s="7"/>
      <c r="AL65" s="5"/>
      <c r="AM65" s="6"/>
      <c r="AN65" s="6"/>
      <c r="AO65" s="6"/>
      <c r="AP65" s="7"/>
      <c r="AQ65" s="5"/>
      <c r="AR65" s="6"/>
      <c r="AS65" s="6"/>
      <c r="AT65" s="6"/>
      <c r="AU65" s="7"/>
    </row>
    <row r="66" spans="1:257" ht="16.5" customHeight="1" x14ac:dyDescent="0.3">
      <c r="A66" s="156">
        <v>59</v>
      </c>
      <c r="B66" s="120" t="s">
        <v>25</v>
      </c>
      <c r="C66" s="85" t="s">
        <v>110</v>
      </c>
      <c r="D66" s="44">
        <v>68995315.620000005</v>
      </c>
      <c r="E66" s="44"/>
      <c r="F66" s="44">
        <v>142009936.61000001</v>
      </c>
      <c r="G66" s="44">
        <v>30864223.489999998</v>
      </c>
      <c r="H66" s="44"/>
      <c r="I66" s="44"/>
      <c r="J66" s="44">
        <v>241869475.72</v>
      </c>
      <c r="K66" s="44">
        <v>1571074.69</v>
      </c>
      <c r="L66" s="44">
        <v>240455.29</v>
      </c>
      <c r="M66" s="54">
        <v>1045035.57</v>
      </c>
      <c r="N66" s="44">
        <v>245523416.78999999</v>
      </c>
      <c r="O66" s="44">
        <v>3187817.5</v>
      </c>
      <c r="P66" s="224">
        <v>241579439.87</v>
      </c>
      <c r="Q66" s="48">
        <f t="shared" si="20"/>
        <v>6.2473521456000232E-4</v>
      </c>
      <c r="R66" s="56">
        <v>242335599.28999999</v>
      </c>
      <c r="S66" s="48">
        <f t="shared" si="21"/>
        <v>6.4082385625892488E-4</v>
      </c>
      <c r="T66" s="49">
        <f t="shared" si="26"/>
        <v>3.1300652920086881E-3</v>
      </c>
      <c r="U66" s="87">
        <f t="shared" si="22"/>
        <v>9.9224088703637049E-4</v>
      </c>
      <c r="V66" s="50">
        <f t="shared" si="23"/>
        <v>4.3123485491267793E-3</v>
      </c>
      <c r="W66" s="51">
        <f t="shared" si="24"/>
        <v>3832.1514280771462</v>
      </c>
      <c r="X66" s="51">
        <f t="shared" si="25"/>
        <v>16.525572650902596</v>
      </c>
      <c r="Y66" s="104">
        <v>3818.44</v>
      </c>
      <c r="Z66" s="104">
        <v>3839.75</v>
      </c>
      <c r="AA66" s="205">
        <v>15</v>
      </c>
      <c r="AB66" s="206">
        <v>63237.48</v>
      </c>
      <c r="AC66" s="13"/>
      <c r="AD66" s="4"/>
      <c r="AE66" s="4"/>
      <c r="AF66" s="4"/>
      <c r="AG66" s="5"/>
      <c r="AH66" s="6"/>
      <c r="AI66" s="6"/>
      <c r="AJ66" s="6"/>
      <c r="AK66" s="7"/>
      <c r="AL66" s="5"/>
      <c r="AM66" s="6"/>
      <c r="AN66" s="6"/>
      <c r="AO66" s="6"/>
      <c r="AP66" s="7"/>
      <c r="AQ66" s="5"/>
      <c r="AR66" s="6"/>
      <c r="AS66" s="6"/>
      <c r="AT66" s="6"/>
      <c r="AU66" s="7"/>
    </row>
    <row r="67" spans="1:257" ht="16.5" customHeight="1" x14ac:dyDescent="0.3">
      <c r="A67" s="156">
        <v>60</v>
      </c>
      <c r="B67" s="122" t="s">
        <v>48</v>
      </c>
      <c r="C67" s="85" t="s">
        <v>113</v>
      </c>
      <c r="D67" s="44"/>
      <c r="E67" s="44"/>
      <c r="F67" s="44">
        <v>5869279.4500000002</v>
      </c>
      <c r="G67" s="44">
        <v>45957324.950000003</v>
      </c>
      <c r="H67" s="44"/>
      <c r="I67" s="44"/>
      <c r="J67" s="44">
        <v>51826604.399999999</v>
      </c>
      <c r="K67" s="44">
        <v>405036.58</v>
      </c>
      <c r="L67" s="44">
        <v>52967.4</v>
      </c>
      <c r="M67" s="54">
        <v>352069.18</v>
      </c>
      <c r="N67" s="44">
        <v>52307985.310000002</v>
      </c>
      <c r="O67" s="44">
        <v>164285.34</v>
      </c>
      <c r="P67" s="224">
        <v>51705946.439999998</v>
      </c>
      <c r="Q67" s="48">
        <f t="shared" si="20"/>
        <v>1.3371388542255164E-4</v>
      </c>
      <c r="R67" s="56">
        <v>52143699.979999997</v>
      </c>
      <c r="S67" s="48">
        <f t="shared" si="21"/>
        <v>1.3788699224831922E-4</v>
      </c>
      <c r="T67" s="49">
        <f>((R67-P67)/P67)</f>
        <v>8.4662126919574313E-3</v>
      </c>
      <c r="U67" s="87">
        <f>(L67/R67)</f>
        <v>1.015796731346566E-3</v>
      </c>
      <c r="V67" s="50">
        <f>M67/R67</f>
        <v>6.7519025334803256E-3</v>
      </c>
      <c r="W67" s="51">
        <f>R67/AB67</f>
        <v>11.159225103093522</v>
      </c>
      <c r="X67" s="51">
        <f>M67/AB67</f>
        <v>7.5346000245254396E-2</v>
      </c>
      <c r="Y67" s="104">
        <v>11.1592</v>
      </c>
      <c r="Z67" s="104">
        <v>11.1944</v>
      </c>
      <c r="AA67" s="205">
        <v>47</v>
      </c>
      <c r="AB67" s="206">
        <v>4672699</v>
      </c>
      <c r="AC67" s="13"/>
      <c r="AD67" s="4"/>
      <c r="AE67" s="4"/>
      <c r="AF67" s="4"/>
      <c r="AG67" s="5"/>
      <c r="AH67" s="6"/>
      <c r="AI67" s="6"/>
      <c r="AJ67" s="6"/>
      <c r="AK67" s="7"/>
      <c r="AL67" s="5"/>
      <c r="AM67" s="6"/>
      <c r="AN67" s="6"/>
      <c r="AO67" s="6"/>
      <c r="AP67" s="7"/>
      <c r="AQ67" s="5"/>
      <c r="AR67" s="6"/>
      <c r="AS67" s="6"/>
      <c r="AT67" s="6"/>
      <c r="AU67" s="7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</row>
    <row r="68" spans="1:257" ht="16.5" customHeight="1" x14ac:dyDescent="0.3">
      <c r="A68" s="156">
        <v>61</v>
      </c>
      <c r="B68" s="120" t="s">
        <v>111</v>
      </c>
      <c r="C68" s="85" t="s">
        <v>112</v>
      </c>
      <c r="D68" s="44"/>
      <c r="E68" s="44"/>
      <c r="F68" s="44"/>
      <c r="G68" s="44">
        <v>4282065074.5300002</v>
      </c>
      <c r="H68" s="44"/>
      <c r="I68" s="44">
        <f>6940221529.02+5116195.67</f>
        <v>6945337724.6900005</v>
      </c>
      <c r="J68" s="44">
        <v>11227402799.219999</v>
      </c>
      <c r="K68" s="44">
        <v>289708501.26999998</v>
      </c>
      <c r="L68" s="44">
        <v>22301361.23</v>
      </c>
      <c r="M68" s="54">
        <v>141190375.33000001</v>
      </c>
      <c r="N68" s="44">
        <v>13776944669.780001</v>
      </c>
      <c r="O68" s="44">
        <v>239364647.77000001</v>
      </c>
      <c r="P68" s="224">
        <v>14879744488.08</v>
      </c>
      <c r="Q68" s="48">
        <f t="shared" si="20"/>
        <v>3.8479683413294725E-2</v>
      </c>
      <c r="R68" s="56">
        <v>13537580022.01</v>
      </c>
      <c r="S68" s="48">
        <f t="shared" si="21"/>
        <v>3.5798307221617573E-2</v>
      </c>
      <c r="T68" s="49">
        <f t="shared" si="26"/>
        <v>-9.0200773752882171E-2</v>
      </c>
      <c r="U68" s="87">
        <f t="shared" si="22"/>
        <v>1.6473668996778933E-3</v>
      </c>
      <c r="V68" s="50">
        <f t="shared" si="23"/>
        <v>1.0429513628022616E-2</v>
      </c>
      <c r="W68" s="51">
        <f t="shared" si="24"/>
        <v>1161.4713244223024</v>
      </c>
      <c r="X68" s="51">
        <f t="shared" si="25"/>
        <v>12.11358100661988</v>
      </c>
      <c r="Y68" s="104">
        <v>1161.47</v>
      </c>
      <c r="Z68" s="104">
        <v>1161.47</v>
      </c>
      <c r="AA68" s="205">
        <v>5250</v>
      </c>
      <c r="AB68" s="206">
        <v>11655543.91</v>
      </c>
      <c r="AC68" s="13"/>
      <c r="AD68" s="4"/>
      <c r="AE68" s="4"/>
      <c r="AF68" s="4"/>
      <c r="AG68" s="5"/>
      <c r="AH68" s="6"/>
      <c r="AI68" s="6"/>
      <c r="AJ68" s="6"/>
      <c r="AK68" s="7"/>
      <c r="AL68" s="5"/>
      <c r="AM68" s="6"/>
      <c r="AN68" s="6"/>
      <c r="AO68" s="6"/>
      <c r="AP68" s="7"/>
      <c r="AQ68" s="5"/>
      <c r="AR68" s="6"/>
      <c r="AS68" s="6"/>
      <c r="AT68" s="6"/>
      <c r="AU68" s="7"/>
    </row>
    <row r="69" spans="1:257" ht="18.75" customHeight="1" x14ac:dyDescent="0.35">
      <c r="A69" s="156">
        <v>62</v>
      </c>
      <c r="B69" s="120" t="s">
        <v>81</v>
      </c>
      <c r="C69" s="86" t="s">
        <v>155</v>
      </c>
      <c r="D69" s="44"/>
      <c r="E69" s="44"/>
      <c r="F69" s="44"/>
      <c r="G69" s="44">
        <v>15000000</v>
      </c>
      <c r="H69" s="44"/>
      <c r="I69" s="44"/>
      <c r="J69" s="44">
        <v>21925388.73</v>
      </c>
      <c r="K69" s="44">
        <v>36717</v>
      </c>
      <c r="L69" s="44">
        <v>170791.22</v>
      </c>
      <c r="M69" s="54">
        <v>-134074</v>
      </c>
      <c r="N69" s="44">
        <v>219253888.72999999</v>
      </c>
      <c r="O69" s="44">
        <v>1569422.52</v>
      </c>
      <c r="P69" s="224">
        <v>20645273</v>
      </c>
      <c r="Q69" s="48">
        <f t="shared" si="20"/>
        <v>5.3389597493253028E-5</v>
      </c>
      <c r="R69" s="56">
        <v>20355966.210000001</v>
      </c>
      <c r="S69" s="48">
        <f t="shared" si="21"/>
        <v>5.3828611243196981E-5</v>
      </c>
      <c r="T69" s="49">
        <f t="shared" si="26"/>
        <v>-1.4013221815957537E-2</v>
      </c>
      <c r="U69" s="87">
        <f t="shared" si="22"/>
        <v>8.3902290973590678E-3</v>
      </c>
      <c r="V69" s="50">
        <f t="shared" si="23"/>
        <v>-6.5864719275342126E-3</v>
      </c>
      <c r="W69" s="51">
        <f t="shared" si="24"/>
        <v>0.76292249761211539</v>
      </c>
      <c r="X69" s="51">
        <f t="shared" si="25"/>
        <v>-5.0249676134064853E-3</v>
      </c>
      <c r="Y69" s="104">
        <v>0.75</v>
      </c>
      <c r="Z69" s="104">
        <v>0.77</v>
      </c>
      <c r="AA69" s="205">
        <v>751</v>
      </c>
      <c r="AB69" s="206">
        <v>26681565</v>
      </c>
      <c r="AC69" s="37"/>
      <c r="AD69" s="33"/>
      <c r="AE69" s="34"/>
      <c r="AF69" s="4"/>
      <c r="AG69" s="5"/>
      <c r="AH69" s="6"/>
      <c r="AI69" s="6"/>
      <c r="AJ69" s="6"/>
      <c r="AK69" s="7"/>
      <c r="AL69" s="5"/>
      <c r="AM69" s="6"/>
      <c r="AN69" s="6"/>
      <c r="AO69" s="6"/>
      <c r="AP69" s="7"/>
      <c r="AQ69" s="5"/>
      <c r="AR69" s="6"/>
      <c r="AS69" s="6"/>
      <c r="AT69" s="6"/>
      <c r="AU69" s="7"/>
    </row>
    <row r="70" spans="1:257" ht="16.5" customHeight="1" x14ac:dyDescent="0.3">
      <c r="A70" s="156">
        <v>63</v>
      </c>
      <c r="B70" s="120" t="s">
        <v>73</v>
      </c>
      <c r="C70" s="86" t="s">
        <v>200</v>
      </c>
      <c r="D70" s="44"/>
      <c r="E70" s="44"/>
      <c r="F70" s="44">
        <v>271706908.94</v>
      </c>
      <c r="G70" s="44">
        <v>382979834</v>
      </c>
      <c r="H70" s="44"/>
      <c r="I70" s="44"/>
      <c r="J70" s="44">
        <v>857770352.29999995</v>
      </c>
      <c r="K70" s="44">
        <v>7805362</v>
      </c>
      <c r="L70" s="44">
        <v>1174288.98</v>
      </c>
      <c r="M70" s="54">
        <v>6631073.0199999996</v>
      </c>
      <c r="N70" s="44">
        <v>857470390.94000006</v>
      </c>
      <c r="O70" s="44">
        <v>16208536.060000001</v>
      </c>
      <c r="P70" s="224">
        <v>814594764.63</v>
      </c>
      <c r="Q70" s="48">
        <f t="shared" si="20"/>
        <v>2.1065784213028758E-3</v>
      </c>
      <c r="R70" s="56">
        <v>841261854.88</v>
      </c>
      <c r="S70" s="48">
        <f t="shared" si="21"/>
        <v>2.2246036799678059E-3</v>
      </c>
      <c r="T70" s="49">
        <f>((R70-P70)/P70)</f>
        <v>3.273663348685104E-2</v>
      </c>
      <c r="U70" s="87">
        <f t="shared" si="22"/>
        <v>1.3958661898054369E-3</v>
      </c>
      <c r="V70" s="50">
        <f t="shared" si="23"/>
        <v>7.8822937014609729E-3</v>
      </c>
      <c r="W70" s="51">
        <f t="shared" si="24"/>
        <v>1147.9741422962979</v>
      </c>
      <c r="X70" s="51">
        <f t="shared" si="25"/>
        <v>9.0486693512621734</v>
      </c>
      <c r="Y70" s="104">
        <v>1171.1300000000001</v>
      </c>
      <c r="Z70" s="104">
        <v>1171.1600000000001</v>
      </c>
      <c r="AA70" s="205">
        <v>120</v>
      </c>
      <c r="AB70" s="206">
        <v>732823</v>
      </c>
      <c r="AC70" s="13"/>
      <c r="AD70" s="4"/>
      <c r="AE70" s="4"/>
      <c r="AF70" s="4"/>
      <c r="AG70" s="5"/>
      <c r="AH70" s="6"/>
      <c r="AI70" s="6"/>
      <c r="AJ70" s="6"/>
      <c r="AK70" s="7"/>
      <c r="AL70" s="5"/>
      <c r="AM70" s="6"/>
      <c r="AN70" s="6"/>
      <c r="AO70" s="6"/>
      <c r="AP70" s="7"/>
      <c r="AQ70" s="5"/>
      <c r="AR70" s="6"/>
      <c r="AS70" s="6"/>
      <c r="AT70" s="6"/>
      <c r="AU70" s="7"/>
    </row>
    <row r="71" spans="1:257" ht="16.5" customHeight="1" x14ac:dyDescent="0.3">
      <c r="A71" s="156">
        <v>64</v>
      </c>
      <c r="B71" s="120" t="s">
        <v>46</v>
      </c>
      <c r="C71" s="86" t="s">
        <v>115</v>
      </c>
      <c r="D71" s="44"/>
      <c r="E71" s="44"/>
      <c r="F71" s="44">
        <v>7651261.4500000002</v>
      </c>
      <c r="G71" s="44">
        <v>173939428.52000001</v>
      </c>
      <c r="H71" s="44"/>
      <c r="I71" s="44"/>
      <c r="J71" s="44">
        <v>181590689.97</v>
      </c>
      <c r="K71" s="44">
        <v>1333306.6599999999</v>
      </c>
      <c r="L71" s="44">
        <v>2250353.29</v>
      </c>
      <c r="M71" s="54">
        <v>-917046.63</v>
      </c>
      <c r="N71" s="44">
        <v>181616186.19</v>
      </c>
      <c r="O71" s="44">
        <v>5393233.9100000001</v>
      </c>
      <c r="P71" s="224">
        <v>175934847.90000001</v>
      </c>
      <c r="Q71" s="48">
        <f t="shared" si="20"/>
        <v>4.5497536963631785E-4</v>
      </c>
      <c r="R71" s="56">
        <v>176222952.28</v>
      </c>
      <c r="S71" s="48">
        <f t="shared" si="21"/>
        <v>4.6599786482984994E-4</v>
      </c>
      <c r="T71" s="49">
        <f t="shared" si="26"/>
        <v>1.6375629014881209E-3</v>
      </c>
      <c r="U71" s="87">
        <f t="shared" si="22"/>
        <v>1.2769921629870449E-2</v>
      </c>
      <c r="V71" s="50">
        <f t="shared" si="23"/>
        <v>-5.2039000489726671E-3</v>
      </c>
      <c r="W71" s="51">
        <f t="shared" si="24"/>
        <v>146.05145805098945</v>
      </c>
      <c r="X71" s="51">
        <f t="shared" si="25"/>
        <v>-0.76003718970407352</v>
      </c>
      <c r="Y71" s="204">
        <v>143.28</v>
      </c>
      <c r="Z71" s="204">
        <v>143.33000000000001</v>
      </c>
      <c r="AA71" s="205">
        <v>16</v>
      </c>
      <c r="AB71" s="206">
        <v>1206581.26</v>
      </c>
      <c r="AC71" s="13"/>
      <c r="AD71" s="4"/>
      <c r="AE71" s="4"/>
      <c r="AF71" s="4"/>
      <c r="AG71" s="5"/>
      <c r="AH71" s="6"/>
      <c r="AI71" s="6"/>
      <c r="AJ71" s="6"/>
      <c r="AK71" s="7"/>
      <c r="AL71" s="5"/>
      <c r="AM71" s="6"/>
      <c r="AN71" s="6"/>
      <c r="AO71" s="6"/>
      <c r="AP71" s="7"/>
      <c r="AQ71" s="5"/>
      <c r="AR71" s="6"/>
      <c r="AS71" s="6"/>
      <c r="AT71" s="6"/>
      <c r="AU71" s="7"/>
    </row>
    <row r="72" spans="1:257" ht="16.5" customHeight="1" x14ac:dyDescent="0.3">
      <c r="A72" s="156">
        <v>65</v>
      </c>
      <c r="B72" s="122" t="s">
        <v>118</v>
      </c>
      <c r="C72" s="85" t="s">
        <v>119</v>
      </c>
      <c r="D72" s="44"/>
      <c r="E72" s="44"/>
      <c r="F72" s="44">
        <v>133358120.47</v>
      </c>
      <c r="G72" s="44">
        <v>624930287.72000003</v>
      </c>
      <c r="H72" s="44"/>
      <c r="I72" s="44"/>
      <c r="J72" s="44">
        <v>758335467.29999995</v>
      </c>
      <c r="K72" s="44">
        <v>16247757.449999999</v>
      </c>
      <c r="L72" s="44">
        <v>11941869.460000001</v>
      </c>
      <c r="M72" s="54">
        <v>4305887.99</v>
      </c>
      <c r="N72" s="44">
        <v>758335467.29999995</v>
      </c>
      <c r="O72" s="44">
        <v>7439455.54</v>
      </c>
      <c r="P72" s="224">
        <v>689650521.75</v>
      </c>
      <c r="Q72" s="48">
        <f t="shared" si="20"/>
        <v>1.7834670322472578E-3</v>
      </c>
      <c r="R72" s="56">
        <v>750896011.75999999</v>
      </c>
      <c r="S72" s="48">
        <f t="shared" si="21"/>
        <v>1.9856433776766474E-3</v>
      </c>
      <c r="T72" s="49">
        <f t="shared" si="26"/>
        <v>8.8806559378202907E-2</v>
      </c>
      <c r="U72" s="87">
        <f t="shared" si="22"/>
        <v>1.5903492991006643E-2</v>
      </c>
      <c r="V72" s="50">
        <f t="shared" si="23"/>
        <v>5.7343332799272345E-3</v>
      </c>
      <c r="W72" s="51">
        <f t="shared" si="24"/>
        <v>183.32260904453031</v>
      </c>
      <c r="X72" s="51">
        <f t="shared" si="25"/>
        <v>1.0512329380071397</v>
      </c>
      <c r="Y72" s="204">
        <v>183.32259999999999</v>
      </c>
      <c r="Z72" s="204">
        <v>185.13890000000001</v>
      </c>
      <c r="AA72" s="205">
        <v>438</v>
      </c>
      <c r="AB72" s="206">
        <v>4096036.03</v>
      </c>
      <c r="AC72" s="10"/>
      <c r="AD72" s="10"/>
      <c r="AE72" s="10"/>
      <c r="AF72" s="11"/>
      <c r="AG72" s="5"/>
      <c r="AH72" s="6"/>
      <c r="AI72" s="6"/>
      <c r="AJ72" s="6"/>
      <c r="AK72" s="7"/>
      <c r="AL72" s="5"/>
      <c r="AM72" s="6"/>
      <c r="AN72" s="6"/>
      <c r="AO72" s="6"/>
      <c r="AP72" s="7"/>
      <c r="AQ72" s="5"/>
      <c r="AR72" s="6"/>
      <c r="AS72" s="6"/>
      <c r="AT72" s="6"/>
      <c r="AU72" s="7"/>
    </row>
    <row r="73" spans="1:257" ht="16.5" customHeight="1" x14ac:dyDescent="0.3">
      <c r="A73" s="156">
        <v>66</v>
      </c>
      <c r="B73" s="122" t="s">
        <v>75</v>
      </c>
      <c r="C73" s="85" t="s">
        <v>120</v>
      </c>
      <c r="D73" s="44"/>
      <c r="E73" s="44"/>
      <c r="F73" s="44">
        <v>44143950</v>
      </c>
      <c r="G73" s="44">
        <v>1014380278.09</v>
      </c>
      <c r="H73" s="44"/>
      <c r="I73" s="44"/>
      <c r="J73" s="44">
        <v>1058524228.09</v>
      </c>
      <c r="K73" s="44">
        <v>7163634</v>
      </c>
      <c r="L73" s="44">
        <v>4734188.47</v>
      </c>
      <c r="M73" s="54">
        <v>7463542.6399999997</v>
      </c>
      <c r="N73" s="44">
        <v>1071504595.33</v>
      </c>
      <c r="O73" s="44">
        <v>6047020.4199999999</v>
      </c>
      <c r="P73" s="224">
        <v>1084212826.1600001</v>
      </c>
      <c r="Q73" s="48">
        <f t="shared" si="20"/>
        <v>2.8038227629978408E-3</v>
      </c>
      <c r="R73" s="56">
        <v>1065457574.92</v>
      </c>
      <c r="S73" s="48">
        <f t="shared" si="21"/>
        <v>2.8174590685021627E-3</v>
      </c>
      <c r="T73" s="49">
        <f t="shared" si="26"/>
        <v>-1.7298496003249061E-2</v>
      </c>
      <c r="U73" s="87">
        <f t="shared" si="22"/>
        <v>4.4433383190836733E-3</v>
      </c>
      <c r="V73" s="50">
        <f t="shared" si="23"/>
        <v>7.005011570320293E-3</v>
      </c>
      <c r="W73" s="51">
        <f t="shared" si="24"/>
        <v>1.4252499311118045</v>
      </c>
      <c r="X73" s="51">
        <f t="shared" si="25"/>
        <v>9.9838922580363903E-3</v>
      </c>
      <c r="Y73" s="204">
        <v>1.4252</v>
      </c>
      <c r="Z73" s="204">
        <v>1.4252</v>
      </c>
      <c r="AA73" s="205">
        <v>133</v>
      </c>
      <c r="AB73" s="206">
        <v>747558411.79999995</v>
      </c>
      <c r="AC73" s="25"/>
      <c r="AD73" s="12"/>
      <c r="AE73" s="12"/>
      <c r="AF73" s="12"/>
      <c r="AG73" s="5"/>
      <c r="AH73" s="6"/>
      <c r="AI73" s="6"/>
      <c r="AJ73" s="6"/>
      <c r="AK73" s="7"/>
      <c r="AL73" s="5"/>
      <c r="AM73" s="6"/>
      <c r="AN73" s="6"/>
      <c r="AO73" s="6"/>
      <c r="AP73" s="7"/>
      <c r="AQ73" s="5"/>
      <c r="AR73" s="6"/>
      <c r="AS73" s="6"/>
      <c r="AT73" s="6"/>
      <c r="AU73" s="7"/>
    </row>
    <row r="74" spans="1:257" ht="16.5" customHeight="1" x14ac:dyDescent="0.3">
      <c r="A74" s="156">
        <v>67</v>
      </c>
      <c r="B74" s="120" t="s">
        <v>52</v>
      </c>
      <c r="C74" s="86" t="s">
        <v>122</v>
      </c>
      <c r="D74" s="44"/>
      <c r="E74" s="44"/>
      <c r="F74" s="44">
        <v>26367991.960000001</v>
      </c>
      <c r="G74" s="44">
        <v>461433732.06999999</v>
      </c>
      <c r="H74" s="44"/>
      <c r="I74" s="44"/>
      <c r="J74" s="44">
        <v>487801724.02999997</v>
      </c>
      <c r="K74" s="44">
        <v>5206227.8099999996</v>
      </c>
      <c r="L74" s="44">
        <v>629386.03</v>
      </c>
      <c r="M74" s="54">
        <v>4576841.78</v>
      </c>
      <c r="N74" s="44">
        <v>490174893.31999999</v>
      </c>
      <c r="O74" s="44">
        <v>629386.03</v>
      </c>
      <c r="P74" s="224">
        <v>500174980.31</v>
      </c>
      <c r="Q74" s="48">
        <f t="shared" si="20"/>
        <v>1.2934748247187943E-3</v>
      </c>
      <c r="R74" s="56">
        <v>489545507.29000002</v>
      </c>
      <c r="S74" s="48">
        <f t="shared" si="21"/>
        <v>1.2945371654636414E-3</v>
      </c>
      <c r="T74" s="49">
        <f t="shared" si="26"/>
        <v>-2.1251508848787303E-2</v>
      </c>
      <c r="U74" s="87">
        <f t="shared" si="22"/>
        <v>1.2856537760587809E-3</v>
      </c>
      <c r="V74" s="50">
        <f t="shared" si="23"/>
        <v>9.349165117123099E-3</v>
      </c>
      <c r="W74" s="51">
        <f t="shared" si="24"/>
        <v>1.1489866324927924</v>
      </c>
      <c r="X74" s="51">
        <f t="shared" si="25"/>
        <v>1.0742065744542353E-2</v>
      </c>
      <c r="Y74" s="204">
        <v>1.1499999999999999</v>
      </c>
      <c r="Z74" s="204">
        <v>1.1499999999999999</v>
      </c>
      <c r="AA74" s="205">
        <v>219</v>
      </c>
      <c r="AB74" s="206">
        <v>426067191.25</v>
      </c>
      <c r="AC74" s="13"/>
      <c r="AD74" s="4"/>
      <c r="AE74" s="4"/>
      <c r="AF74" s="4"/>
      <c r="AG74" s="5"/>
      <c r="AH74" s="6"/>
      <c r="AI74" s="6"/>
      <c r="AJ74" s="6"/>
      <c r="AK74" s="7"/>
      <c r="AL74" s="5"/>
      <c r="AM74" s="6"/>
      <c r="AN74" s="6"/>
      <c r="AO74" s="6"/>
      <c r="AP74" s="7"/>
      <c r="AQ74" s="5"/>
      <c r="AR74" s="6"/>
      <c r="AS74" s="6"/>
      <c r="AT74" s="6"/>
      <c r="AU74" s="7"/>
    </row>
    <row r="75" spans="1:257" ht="16.5" customHeight="1" x14ac:dyDescent="0.3">
      <c r="A75" s="156">
        <v>68</v>
      </c>
      <c r="B75" s="122" t="s">
        <v>37</v>
      </c>
      <c r="C75" s="86" t="s">
        <v>124</v>
      </c>
      <c r="D75" s="44"/>
      <c r="E75" s="44"/>
      <c r="F75" s="44"/>
      <c r="G75" s="44">
        <v>651969918.95000005</v>
      </c>
      <c r="H75" s="44"/>
      <c r="I75" s="44"/>
      <c r="J75" s="44">
        <v>651969918.95000005</v>
      </c>
      <c r="K75" s="44">
        <v>12817577.98</v>
      </c>
      <c r="L75" s="44">
        <v>18084822.219999999</v>
      </c>
      <c r="M75" s="54">
        <v>30902400.199999999</v>
      </c>
      <c r="N75" s="44">
        <v>1462272198</v>
      </c>
      <c r="O75" s="44">
        <v>9149536</v>
      </c>
      <c r="P75" s="224">
        <v>1477962859</v>
      </c>
      <c r="Q75" s="48">
        <f t="shared" si="20"/>
        <v>3.8220779232121306E-3</v>
      </c>
      <c r="R75" s="56">
        <v>1453122663</v>
      </c>
      <c r="S75" s="48">
        <f t="shared" si="21"/>
        <v>3.8425871859072091E-3</v>
      </c>
      <c r="T75" s="49">
        <f t="shared" si="26"/>
        <v>-1.6807050223716074E-2</v>
      </c>
      <c r="U75" s="87">
        <f t="shared" si="22"/>
        <v>1.2445489070181819E-2</v>
      </c>
      <c r="V75" s="50">
        <f t="shared" si="23"/>
        <v>2.126620208111089E-2</v>
      </c>
      <c r="W75" s="51">
        <f t="shared" si="24"/>
        <v>1.049896469474906</v>
      </c>
      <c r="X75" s="51">
        <f t="shared" si="25"/>
        <v>2.2327310484098223E-2</v>
      </c>
      <c r="Y75" s="204">
        <v>1.0103</v>
      </c>
      <c r="Z75" s="204">
        <v>1.0154000000000001</v>
      </c>
      <c r="AA75" s="205">
        <v>535</v>
      </c>
      <c r="AB75" s="206">
        <v>1384062815</v>
      </c>
      <c r="AC75" s="13"/>
      <c r="AD75" s="4"/>
      <c r="AE75" s="4"/>
      <c r="AF75" s="4"/>
      <c r="AG75" s="5"/>
      <c r="AH75" s="6"/>
      <c r="AI75" s="6"/>
      <c r="AJ75" s="6"/>
      <c r="AK75" s="7"/>
      <c r="AL75" s="5"/>
      <c r="AM75" s="6"/>
      <c r="AN75" s="6"/>
      <c r="AO75" s="6"/>
      <c r="AP75" s="7"/>
      <c r="AQ75" s="5"/>
      <c r="AR75" s="6"/>
      <c r="AS75" s="6"/>
      <c r="AT75" s="6"/>
      <c r="AU75" s="7"/>
    </row>
    <row r="76" spans="1:257" ht="16.5" customHeight="1" x14ac:dyDescent="0.3">
      <c r="A76" s="156">
        <v>69</v>
      </c>
      <c r="B76" s="120" t="s">
        <v>25</v>
      </c>
      <c r="C76" s="86" t="s">
        <v>168</v>
      </c>
      <c r="D76" s="44"/>
      <c r="E76" s="44"/>
      <c r="F76" s="44">
        <v>4825449577.8900003</v>
      </c>
      <c r="G76" s="44">
        <v>12747325669.76</v>
      </c>
      <c r="H76" s="44"/>
      <c r="I76" s="44"/>
      <c r="J76" s="44">
        <v>17572775247.650002</v>
      </c>
      <c r="K76" s="44">
        <v>149869372.52000001</v>
      </c>
      <c r="L76" s="44">
        <v>24092459.91</v>
      </c>
      <c r="M76" s="54">
        <v>125776912.61</v>
      </c>
      <c r="N76" s="44">
        <v>17715188435.779999</v>
      </c>
      <c r="O76" s="44">
        <v>63449924.829999998</v>
      </c>
      <c r="P76" s="224">
        <v>16849884256.780001</v>
      </c>
      <c r="Q76" s="48">
        <f t="shared" si="20"/>
        <v>4.3574552793629089E-2</v>
      </c>
      <c r="R76" s="56">
        <v>17651738510.950001</v>
      </c>
      <c r="S76" s="48">
        <f t="shared" si="21"/>
        <v>4.6677645279530867E-2</v>
      </c>
      <c r="T76" s="49">
        <f>((R76-P76)/P76)</f>
        <v>4.7588116449366863E-2</v>
      </c>
      <c r="U76" s="87">
        <f>(L76/R76)</f>
        <v>1.3648774535751586E-3</v>
      </c>
      <c r="V76" s="50">
        <f>M76/R76</f>
        <v>7.1254688331110335E-3</v>
      </c>
      <c r="W76" s="51">
        <f>R76/AB76</f>
        <v>106.39859689982076</v>
      </c>
      <c r="X76" s="51">
        <f>M76/AB76</f>
        <v>0.75813988609641714</v>
      </c>
      <c r="Y76" s="204">
        <v>106.4</v>
      </c>
      <c r="Z76" s="204">
        <v>106.4</v>
      </c>
      <c r="AA76" s="205">
        <v>1301</v>
      </c>
      <c r="AB76" s="206">
        <v>165901985.78999999</v>
      </c>
      <c r="AC76" s="41"/>
      <c r="AD76" s="6"/>
      <c r="AE76" s="6"/>
      <c r="AF76" s="6"/>
      <c r="AG76" s="32"/>
      <c r="AH76" s="6"/>
      <c r="AI76" s="6"/>
      <c r="AJ76" s="6"/>
      <c r="AK76" s="7"/>
      <c r="AL76" s="5"/>
      <c r="AM76" s="6"/>
      <c r="AN76" s="6"/>
      <c r="AO76" s="6"/>
      <c r="AP76" s="7"/>
      <c r="AQ76" s="5"/>
      <c r="AR76" s="6"/>
      <c r="AS76" s="6"/>
      <c r="AT76" s="6"/>
      <c r="AU76" s="7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</row>
    <row r="77" spans="1:257" ht="16.5" customHeight="1" x14ac:dyDescent="0.3">
      <c r="A77" s="156">
        <v>70</v>
      </c>
      <c r="B77" s="122" t="s">
        <v>125</v>
      </c>
      <c r="C77" s="86" t="s">
        <v>157</v>
      </c>
      <c r="D77" s="44"/>
      <c r="E77" s="44"/>
      <c r="F77" s="44"/>
      <c r="G77" s="44">
        <v>288551061.5</v>
      </c>
      <c r="H77" s="44"/>
      <c r="I77" s="44"/>
      <c r="J77" s="44">
        <v>288551061.5</v>
      </c>
      <c r="K77" s="44">
        <v>3136702.87</v>
      </c>
      <c r="L77" s="44">
        <v>425502.31</v>
      </c>
      <c r="M77" s="54">
        <v>2711200.56</v>
      </c>
      <c r="N77" s="44">
        <v>301547505.44</v>
      </c>
      <c r="O77" s="81">
        <v>5472746.1900000004</v>
      </c>
      <c r="P77" s="224">
        <v>290445772.88</v>
      </c>
      <c r="Q77" s="48">
        <f t="shared" si="20"/>
        <v>7.511057329045726E-4</v>
      </c>
      <c r="R77" s="56">
        <v>296074759.25</v>
      </c>
      <c r="S77" s="48">
        <f t="shared" si="21"/>
        <v>7.8292982755896355E-4</v>
      </c>
      <c r="T77" s="49">
        <f>((R77-P77)/P77)</f>
        <v>1.9380507122497066E-2</v>
      </c>
      <c r="U77" s="87">
        <f>(L77/R77)</f>
        <v>1.4371448315211287E-3</v>
      </c>
      <c r="V77" s="50">
        <f>M77/R77</f>
        <v>9.1571485758119384E-3</v>
      </c>
      <c r="W77" s="51">
        <f>R77/AB77</f>
        <v>1067.6670846705852</v>
      </c>
      <c r="X77" s="51">
        <f>M77/AB77</f>
        <v>9.7767861238325349</v>
      </c>
      <c r="Y77" s="104">
        <v>1067.6600000000001</v>
      </c>
      <c r="Z77" s="104">
        <v>1067.6600000000001</v>
      </c>
      <c r="AA77" s="205">
        <v>120</v>
      </c>
      <c r="AB77" s="206">
        <v>277310</v>
      </c>
      <c r="AC77" s="41"/>
      <c r="AD77" s="6"/>
      <c r="AE77" s="6"/>
      <c r="AF77" s="6"/>
      <c r="AG77" s="32"/>
      <c r="AH77" s="6"/>
      <c r="AI77" s="6"/>
      <c r="AJ77" s="6"/>
      <c r="AK77" s="7"/>
      <c r="AL77" s="5"/>
      <c r="AM77" s="6"/>
      <c r="AN77" s="6"/>
      <c r="AO77" s="6"/>
      <c r="AP77" s="7"/>
      <c r="AQ77" s="5"/>
      <c r="AR77" s="6"/>
      <c r="AS77" s="6"/>
      <c r="AT77" s="6"/>
      <c r="AU77" s="7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</row>
    <row r="78" spans="1:257" ht="16.5" customHeight="1" x14ac:dyDescent="0.3">
      <c r="A78" s="156">
        <v>71</v>
      </c>
      <c r="B78" s="122" t="s">
        <v>153</v>
      </c>
      <c r="C78" s="86" t="s">
        <v>154</v>
      </c>
      <c r="D78" s="44"/>
      <c r="E78" s="44"/>
      <c r="F78" s="44">
        <v>203232112.31</v>
      </c>
      <c r="G78" s="44">
        <v>1111563022.3900001</v>
      </c>
      <c r="H78" s="44"/>
      <c r="I78" s="44"/>
      <c r="J78" s="44">
        <v>1314795134.7</v>
      </c>
      <c r="K78" s="44">
        <v>17218613.870000001</v>
      </c>
      <c r="L78" s="44">
        <v>1907225.27</v>
      </c>
      <c r="M78" s="54">
        <v>15311388.6</v>
      </c>
      <c r="N78" s="44">
        <v>1601099510.3399999</v>
      </c>
      <c r="O78" s="44">
        <v>5741221.7800000003</v>
      </c>
      <c r="P78" s="224">
        <v>1626147503.3299999</v>
      </c>
      <c r="Q78" s="48">
        <f t="shared" si="20"/>
        <v>4.2052900277679559E-3</v>
      </c>
      <c r="R78" s="56">
        <v>1595358288.5599999</v>
      </c>
      <c r="S78" s="48">
        <f t="shared" si="21"/>
        <v>4.2187101424014549E-3</v>
      </c>
      <c r="T78" s="49">
        <f t="shared" si="26"/>
        <v>-1.8933838847306469E-2</v>
      </c>
      <c r="U78" s="87">
        <f t="shared" si="22"/>
        <v>1.1954839760299218E-3</v>
      </c>
      <c r="V78" s="50">
        <f t="shared" si="23"/>
        <v>9.5974607771777357E-3</v>
      </c>
      <c r="W78" s="51" t="e">
        <f>R78/AB79</f>
        <v>#DIV/0!</v>
      </c>
      <c r="X78" s="51" t="e">
        <f>M78/AB79</f>
        <v>#DIV/0!</v>
      </c>
      <c r="Y78" s="204">
        <v>1.0458000000000001</v>
      </c>
      <c r="Z78" s="204">
        <v>1.0458000000000001</v>
      </c>
      <c r="AA78" s="205">
        <v>564</v>
      </c>
      <c r="AB78" s="205">
        <v>1525562168.98</v>
      </c>
      <c r="AC78" s="42"/>
      <c r="AD78" s="17"/>
      <c r="AE78" s="17"/>
      <c r="AF78" s="18"/>
      <c r="AG78" s="8"/>
      <c r="AH78" s="19"/>
      <c r="AI78" s="6"/>
      <c r="AJ78" s="6"/>
      <c r="AK78" s="7"/>
      <c r="AL78" s="5"/>
      <c r="AM78" s="6"/>
      <c r="AN78" s="6"/>
      <c r="AO78" s="6"/>
      <c r="AP78" s="7"/>
      <c r="AQ78" s="5"/>
      <c r="AR78" s="6"/>
      <c r="AS78" s="6"/>
      <c r="AT78" s="6"/>
      <c r="AU78" s="7"/>
    </row>
    <row r="79" spans="1:257" ht="16.5" customHeight="1" x14ac:dyDescent="0.3">
      <c r="A79" s="162" t="s">
        <v>94</v>
      </c>
      <c r="B79" s="127"/>
      <c r="C79" s="61" t="s">
        <v>54</v>
      </c>
      <c r="D79" s="62"/>
      <c r="E79" s="62"/>
      <c r="F79" s="62"/>
      <c r="G79" s="62"/>
      <c r="H79" s="62"/>
      <c r="I79" s="62"/>
      <c r="J79" s="62"/>
      <c r="K79" s="62"/>
      <c r="L79" s="62"/>
      <c r="M79" s="124"/>
      <c r="N79" s="62"/>
      <c r="O79" s="62"/>
      <c r="P79" s="192">
        <f t="shared" ref="P79" si="27">SUM(P53:P78)</f>
        <v>386690927996.02008</v>
      </c>
      <c r="Q79" s="125">
        <f>(P79/$P$146)</f>
        <v>0.29927674017666289</v>
      </c>
      <c r="R79" s="63">
        <f>SUM(R53:R78)</f>
        <v>378162574509.52997</v>
      </c>
      <c r="S79" s="125">
        <f>(R79/$R$146)</f>
        <v>0.29051034943678616</v>
      </c>
      <c r="T79" s="64">
        <f t="shared" si="26"/>
        <v>-2.2054702784694985E-2</v>
      </c>
      <c r="U79" s="79"/>
      <c r="V79" s="65"/>
      <c r="W79" s="66"/>
      <c r="X79" s="66"/>
      <c r="Y79" s="62"/>
      <c r="Z79" s="62"/>
      <c r="AA79" s="67">
        <f>SUM(AA53:AA78)</f>
        <v>43107</v>
      </c>
      <c r="AB79" s="158">
        <v>0</v>
      </c>
      <c r="AC79" s="41"/>
      <c r="AD79" s="128"/>
      <c r="AE79" s="128"/>
      <c r="AF79" s="129"/>
      <c r="AG79" s="130"/>
      <c r="AH79" s="6"/>
      <c r="AI79" s="6"/>
      <c r="AJ79" s="6"/>
      <c r="AK79" s="7"/>
      <c r="AL79" s="5"/>
      <c r="AM79" s="6"/>
      <c r="AN79" s="6"/>
      <c r="AO79" s="6"/>
      <c r="AP79" s="7"/>
      <c r="AQ79" s="5"/>
      <c r="AR79" s="6"/>
      <c r="AS79" s="6"/>
      <c r="AT79" s="6"/>
      <c r="AU79" s="7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31"/>
    </row>
    <row r="80" spans="1:257" ht="16.5" customHeight="1" x14ac:dyDescent="0.3">
      <c r="A80" s="240" t="s">
        <v>183</v>
      </c>
      <c r="B80" s="241"/>
      <c r="C80" s="241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121"/>
      <c r="Q80" s="49"/>
      <c r="R80" s="73">
        <v>0</v>
      </c>
      <c r="S80" s="49"/>
      <c r="T80" s="49"/>
      <c r="U80" s="49"/>
      <c r="V80" s="74"/>
      <c r="W80" s="75"/>
      <c r="X80" s="75"/>
      <c r="Y80" s="73"/>
      <c r="Z80" s="73"/>
      <c r="AA80" s="73"/>
      <c r="AB80" s="163"/>
      <c r="AC80" s="41"/>
      <c r="AD80" s="128"/>
      <c r="AE80" s="128"/>
      <c r="AF80" s="129"/>
      <c r="AG80" s="130"/>
      <c r="AH80" s="6"/>
      <c r="AI80" s="6"/>
      <c r="AJ80" s="6"/>
      <c r="AK80" s="7"/>
      <c r="AL80" s="5"/>
      <c r="AM80" s="6"/>
      <c r="AN80" s="6"/>
      <c r="AO80" s="6"/>
      <c r="AP80" s="7"/>
      <c r="AQ80" s="5"/>
      <c r="AR80" s="6"/>
      <c r="AS80" s="6"/>
      <c r="AT80" s="6"/>
      <c r="AU80" s="7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31"/>
    </row>
    <row r="81" spans="1:257" ht="16.5" customHeight="1" x14ac:dyDescent="0.3">
      <c r="A81" s="236" t="s">
        <v>182</v>
      </c>
      <c r="B81" s="237"/>
      <c r="C81" s="237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3"/>
      <c r="Q81" s="134"/>
      <c r="R81" s="132"/>
      <c r="S81" s="134"/>
      <c r="T81" s="134"/>
      <c r="U81" s="135"/>
      <c r="V81" s="136"/>
      <c r="W81" s="137"/>
      <c r="X81" s="137"/>
      <c r="Y81" s="132"/>
      <c r="Z81" s="132"/>
      <c r="AA81" s="132"/>
      <c r="AB81" s="166"/>
      <c r="AC81" s="41"/>
      <c r="AD81" s="128"/>
      <c r="AE81" s="128"/>
      <c r="AF81" s="129"/>
      <c r="AG81" s="130"/>
      <c r="AH81" s="6"/>
      <c r="AI81" s="6"/>
      <c r="AJ81" s="6"/>
      <c r="AK81" s="7"/>
      <c r="AL81" s="5"/>
      <c r="AM81" s="6"/>
      <c r="AN81" s="6"/>
      <c r="AO81" s="6"/>
      <c r="AP81" s="7"/>
      <c r="AQ81" s="5"/>
      <c r="AR81" s="6"/>
      <c r="AS81" s="6"/>
      <c r="AT81" s="6"/>
      <c r="AU81" s="7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</row>
    <row r="82" spans="1:257" ht="16.5" customHeight="1" x14ac:dyDescent="0.3">
      <c r="A82" s="234" t="s">
        <v>204</v>
      </c>
      <c r="B82" s="120" t="s">
        <v>187</v>
      </c>
      <c r="C82" s="86" t="s">
        <v>185</v>
      </c>
      <c r="D82" s="44"/>
      <c r="E82" s="44"/>
      <c r="F82" s="209"/>
      <c r="G82" s="44"/>
      <c r="H82" s="55"/>
      <c r="I82" s="76"/>
      <c r="J82" s="53"/>
      <c r="K82" s="53"/>
      <c r="L82" s="53"/>
      <c r="M82" s="71"/>
      <c r="N82" s="44"/>
      <c r="O82" s="107"/>
      <c r="P82" s="224"/>
      <c r="Q82" s="202">
        <f t="shared" ref="Q82:Q89" si="28">(P82/$P$99)</f>
        <v>0</v>
      </c>
      <c r="R82" s="47"/>
      <c r="S82" s="48">
        <f t="shared" ref="S82:S89" si="29">(R82/$R$99)</f>
        <v>0</v>
      </c>
      <c r="T82" s="49" t="e">
        <f t="shared" ref="T82:T87" si="30">((R82-P82)/P82)</f>
        <v>#DIV/0!</v>
      </c>
      <c r="U82" s="87" t="e">
        <f t="shared" ref="U82:U87" si="31">(L82/R82)</f>
        <v>#DIV/0!</v>
      </c>
      <c r="V82" s="50" t="e">
        <f t="shared" ref="V82:V87" si="32">M82/R82</f>
        <v>#DIV/0!</v>
      </c>
      <c r="W82" s="51" t="e">
        <f t="shared" ref="W82:W87" si="33">R82/AB82</f>
        <v>#DIV/0!</v>
      </c>
      <c r="X82" s="51" t="e">
        <f>M82/AB82</f>
        <v>#DIV/0!</v>
      </c>
      <c r="Y82" s="44"/>
      <c r="Z82" s="53"/>
      <c r="AA82" s="52">
        <v>0</v>
      </c>
      <c r="AB82" s="158">
        <v>0</v>
      </c>
      <c r="AC82" s="10"/>
      <c r="AD82" s="10"/>
      <c r="AE82" s="10"/>
      <c r="AF82" s="11"/>
      <c r="AG82" s="5"/>
      <c r="AH82" s="6"/>
      <c r="AI82" s="6"/>
      <c r="AJ82" s="6"/>
      <c r="AK82" s="7"/>
      <c r="AL82" s="5"/>
      <c r="AM82" s="6"/>
      <c r="AN82" s="6"/>
      <c r="AO82" s="6"/>
      <c r="AP82" s="7"/>
      <c r="AQ82" s="5"/>
      <c r="AR82" s="6"/>
      <c r="AS82" s="6"/>
      <c r="AT82" s="6"/>
      <c r="AU82" s="7"/>
    </row>
    <row r="83" spans="1:257" ht="16.5" customHeight="1" x14ac:dyDescent="0.3">
      <c r="A83" s="234" t="s">
        <v>205</v>
      </c>
      <c r="B83" s="120" t="s">
        <v>187</v>
      </c>
      <c r="C83" s="86" t="s">
        <v>186</v>
      </c>
      <c r="D83" s="55"/>
      <c r="E83" s="44"/>
      <c r="F83" s="209">
        <v>2120662629.8900001</v>
      </c>
      <c r="G83" s="44">
        <v>6238235973.6000004</v>
      </c>
      <c r="H83" s="55"/>
      <c r="I83" s="76"/>
      <c r="J83" s="53">
        <v>8425958788.29</v>
      </c>
      <c r="K83" s="53">
        <v>127442695.01000001</v>
      </c>
      <c r="L83" s="53">
        <v>12035849.15</v>
      </c>
      <c r="M83" s="71">
        <v>115406845.84999999</v>
      </c>
      <c r="N83" s="44">
        <v>8471348747.8299999</v>
      </c>
      <c r="O83" s="107">
        <v>45389959.539999999</v>
      </c>
      <c r="P83" s="224">
        <v>8335977419.6400003</v>
      </c>
      <c r="Q83" s="48">
        <f t="shared" si="28"/>
        <v>3.3075246682419068E-2</v>
      </c>
      <c r="R83" s="47">
        <v>8425958788.29</v>
      </c>
      <c r="S83" s="48">
        <f t="shared" si="29"/>
        <v>3.2464544751070384E-2</v>
      </c>
      <c r="T83" s="49">
        <f t="shared" si="30"/>
        <v>1.0794339298232597E-2</v>
      </c>
      <c r="U83" s="87">
        <f t="shared" si="31"/>
        <v>1.4284248775019949E-3</v>
      </c>
      <c r="V83" s="50">
        <f t="shared" si="32"/>
        <v>1.3696583231618339E-2</v>
      </c>
      <c r="W83" s="51">
        <f t="shared" si="33"/>
        <v>51860.552829611399</v>
      </c>
      <c r="X83" s="51">
        <f t="shared" ref="X83:X87" si="34">M83/AB83</f>
        <v>710.31237826851259</v>
      </c>
      <c r="Y83" s="53">
        <v>122.3</v>
      </c>
      <c r="Z83" s="44">
        <v>122.3</v>
      </c>
      <c r="AA83" s="52">
        <v>1666</v>
      </c>
      <c r="AB83" s="158">
        <v>162473.37</v>
      </c>
      <c r="AC83" s="25"/>
      <c r="AD83" s="20"/>
      <c r="AE83" s="12"/>
      <c r="AF83" s="12"/>
      <c r="AG83" s="5"/>
      <c r="AH83" s="6"/>
      <c r="AI83" s="6"/>
      <c r="AJ83" s="6"/>
      <c r="AK83" s="7"/>
      <c r="AL83" s="5"/>
      <c r="AM83" s="6"/>
      <c r="AN83" s="6"/>
      <c r="AO83" s="6"/>
      <c r="AP83" s="7"/>
      <c r="AQ83" s="5"/>
      <c r="AR83" s="6"/>
      <c r="AS83" s="6"/>
      <c r="AT83" s="6"/>
      <c r="AU83" s="7"/>
    </row>
    <row r="84" spans="1:257" ht="16.5" customHeight="1" x14ac:dyDescent="0.3">
      <c r="A84" s="156">
        <v>73</v>
      </c>
      <c r="B84" s="120" t="s">
        <v>35</v>
      </c>
      <c r="C84" s="86" t="s">
        <v>215</v>
      </c>
      <c r="D84" s="55"/>
      <c r="E84" s="44"/>
      <c r="F84" s="53"/>
      <c r="G84" s="44">
        <f>413.49*124554552.3</f>
        <v>51502061830.527</v>
      </c>
      <c r="H84" s="44"/>
      <c r="I84" s="53"/>
      <c r="J84" s="44">
        <f>G84</f>
        <v>51502061830.527</v>
      </c>
      <c r="K84" s="53">
        <f>413.49*895605</f>
        <v>370323711.44999999</v>
      </c>
      <c r="L84" s="53">
        <f>413.49*224839</f>
        <v>92968678.109999999</v>
      </c>
      <c r="M84" s="201">
        <f>413.49*670766</f>
        <v>277355033.34000003</v>
      </c>
      <c r="N84" s="53">
        <f>413.49*154068833</f>
        <v>63705921757.169998</v>
      </c>
      <c r="O84" s="53">
        <f>413.49*903146</f>
        <v>373441839.54000002</v>
      </c>
      <c r="P84" s="224">
        <f>410.66*140218370</f>
        <v>57582075824.200005</v>
      </c>
      <c r="Q84" s="202">
        <f t="shared" si="28"/>
        <v>0.22847247137258014</v>
      </c>
      <c r="R84" s="47">
        <f>413.49*153165687</f>
        <v>63332479917.630005</v>
      </c>
      <c r="S84" s="48">
        <f t="shared" si="29"/>
        <v>0.24401497564165409</v>
      </c>
      <c r="T84" s="49">
        <f>((R84-P84)/P84)</f>
        <v>9.9864480589171106E-2</v>
      </c>
      <c r="U84" s="87">
        <f>(L84/R84)</f>
        <v>1.4679462770274389E-3</v>
      </c>
      <c r="V84" s="50">
        <f>M84/R84</f>
        <v>4.3793490117665845E-3</v>
      </c>
      <c r="W84" s="51">
        <f>R84/AB84</f>
        <v>50355.592064617704</v>
      </c>
      <c r="X84" s="51">
        <f>M84/AB84</f>
        <v>220.5247123451048</v>
      </c>
      <c r="Y84" s="53">
        <f>413.49*121.78</f>
        <v>50354.8122</v>
      </c>
      <c r="Z84" s="53">
        <f>413.49*121.78</f>
        <v>50354.8122</v>
      </c>
      <c r="AA84" s="52">
        <v>1091</v>
      </c>
      <c r="AB84" s="158">
        <v>1257705</v>
      </c>
      <c r="AC84" s="25"/>
      <c r="AD84" s="20"/>
      <c r="AE84" s="12"/>
      <c r="AF84" s="12"/>
      <c r="AG84" s="5"/>
      <c r="AH84" s="6"/>
      <c r="AI84" s="6"/>
      <c r="AJ84" s="6"/>
      <c r="AK84" s="7"/>
      <c r="AL84" s="5"/>
      <c r="AM84" s="6"/>
      <c r="AN84" s="6"/>
      <c r="AO84" s="6"/>
      <c r="AP84" s="7"/>
      <c r="AQ84" s="5"/>
      <c r="AR84" s="6"/>
      <c r="AS84" s="6"/>
      <c r="AT84" s="6"/>
      <c r="AU84" s="7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31"/>
    </row>
    <row r="85" spans="1:257" ht="16.5" customHeight="1" x14ac:dyDescent="0.3">
      <c r="A85" s="156">
        <v>74</v>
      </c>
      <c r="B85" s="120" t="s">
        <v>188</v>
      </c>
      <c r="C85" s="86" t="s">
        <v>97</v>
      </c>
      <c r="D85" s="55"/>
      <c r="E85" s="44"/>
      <c r="F85" s="53">
        <f>413.49*3936.29</f>
        <v>1627616.5521</v>
      </c>
      <c r="G85" s="44">
        <f>413.49*72856.34</f>
        <v>30125368.0266</v>
      </c>
      <c r="H85" s="44"/>
      <c r="I85" s="53"/>
      <c r="J85" s="53">
        <f>413.49*76792.63</f>
        <v>31752984.578700002</v>
      </c>
      <c r="K85" s="218">
        <f>M85+L85</f>
        <v>23637184.794299997</v>
      </c>
      <c r="L85" s="53">
        <f>413.49*19.65</f>
        <v>8125.0784999999996</v>
      </c>
      <c r="M85" s="201">
        <f>413.49*57145.42</f>
        <v>23629059.715799998</v>
      </c>
      <c r="N85" s="53">
        <f>413.49*13386124.15</f>
        <v>5535028474.7835007</v>
      </c>
      <c r="O85" s="53">
        <f>413.49*56651</f>
        <v>23424621.990000002</v>
      </c>
      <c r="P85" s="224">
        <f>410.66*13231168.01</f>
        <v>5433511454.9865999</v>
      </c>
      <c r="Q85" s="48">
        <f t="shared" si="28"/>
        <v>2.1558927367295189E-2</v>
      </c>
      <c r="R85" s="47">
        <v>5504939178.1700001</v>
      </c>
      <c r="S85" s="48">
        <f t="shared" si="29"/>
        <v>2.121009000779718E-2</v>
      </c>
      <c r="T85" s="49">
        <f t="shared" si="30"/>
        <v>1.3145775761243208E-2</v>
      </c>
      <c r="U85" s="87">
        <f t="shared" si="31"/>
        <v>1.4759615387251216E-6</v>
      </c>
      <c r="V85" s="50">
        <f t="shared" si="32"/>
        <v>4.2923380170123834E-3</v>
      </c>
      <c r="W85" s="51">
        <f t="shared" si="33"/>
        <v>553.45145168451165</v>
      </c>
      <c r="X85" s="51">
        <f t="shared" si="34"/>
        <v>2.375600706636122</v>
      </c>
      <c r="Y85" s="53">
        <f>413.49*1.21</f>
        <v>500.3229</v>
      </c>
      <c r="Z85" s="53">
        <f>413.49*1.21</f>
        <v>500.3229</v>
      </c>
      <c r="AA85" s="215">
        <v>121</v>
      </c>
      <c r="AB85" s="214">
        <v>9946562</v>
      </c>
      <c r="AC85" s="13"/>
      <c r="AD85" s="21"/>
      <c r="AE85" s="4"/>
      <c r="AF85" s="4"/>
      <c r="AG85" s="5"/>
      <c r="AH85" s="6"/>
      <c r="AI85" s="6"/>
      <c r="AJ85" s="6"/>
      <c r="AK85" s="7"/>
      <c r="AL85" s="5"/>
      <c r="AM85" s="6"/>
      <c r="AN85" s="6"/>
      <c r="AO85" s="6"/>
      <c r="AP85" s="7"/>
      <c r="AQ85" s="5"/>
      <c r="AR85" s="6"/>
      <c r="AS85" s="6"/>
      <c r="AT85" s="6"/>
      <c r="AU85" s="7"/>
    </row>
    <row r="86" spans="1:257" ht="16.5" customHeight="1" x14ac:dyDescent="0.3">
      <c r="A86" s="156">
        <v>75</v>
      </c>
      <c r="B86" s="120" t="s">
        <v>48</v>
      </c>
      <c r="C86" s="86" t="s">
        <v>98</v>
      </c>
      <c r="D86" s="55"/>
      <c r="E86" s="44"/>
      <c r="F86" s="53"/>
      <c r="G86" s="44">
        <v>657976578.75</v>
      </c>
      <c r="H86" s="44"/>
      <c r="I86" s="53"/>
      <c r="J86" s="53">
        <v>657976578.75</v>
      </c>
      <c r="K86" s="53">
        <v>2510675.7000000002</v>
      </c>
      <c r="L86" s="53">
        <v>750962.76</v>
      </c>
      <c r="M86" s="71">
        <v>1759712.94</v>
      </c>
      <c r="N86" s="44">
        <v>665279144.54999995</v>
      </c>
      <c r="O86" s="53">
        <v>13523663.189999999</v>
      </c>
      <c r="P86" s="224">
        <v>641723842.67999995</v>
      </c>
      <c r="Q86" s="48">
        <f t="shared" si="28"/>
        <v>2.5462130389920755E-3</v>
      </c>
      <c r="R86" s="47">
        <v>651829461.36000001</v>
      </c>
      <c r="S86" s="48">
        <f t="shared" si="29"/>
        <v>2.5114467385951213E-3</v>
      </c>
      <c r="T86" s="49">
        <f t="shared" si="30"/>
        <v>1.5747612926140419E-2</v>
      </c>
      <c r="U86" s="87">
        <f t="shared" si="31"/>
        <v>1.1520847161973391E-3</v>
      </c>
      <c r="V86" s="50">
        <f t="shared" si="32"/>
        <v>2.6996523543573385E-3</v>
      </c>
      <c r="W86" s="51">
        <f t="shared" si="33"/>
        <v>46890.83241205669</v>
      </c>
      <c r="X86" s="51">
        <f t="shared" si="34"/>
        <v>126.58894611898424</v>
      </c>
      <c r="Y86" s="53">
        <v>114.086</v>
      </c>
      <c r="Z86" s="53">
        <v>116.453</v>
      </c>
      <c r="AA86" s="52">
        <v>30</v>
      </c>
      <c r="AB86" s="158">
        <v>13901</v>
      </c>
      <c r="AC86" s="13"/>
      <c r="AD86" s="4"/>
      <c r="AE86" s="4"/>
      <c r="AF86" s="4"/>
      <c r="AG86" s="5"/>
      <c r="AH86" s="6"/>
      <c r="AI86" s="6"/>
      <c r="AJ86" s="6"/>
      <c r="AK86" s="7"/>
      <c r="AL86" s="5"/>
      <c r="AM86" s="6"/>
      <c r="AN86" s="6"/>
      <c r="AO86" s="6"/>
      <c r="AP86" s="7"/>
      <c r="AQ86" s="5"/>
      <c r="AR86" s="6"/>
      <c r="AS86" s="6"/>
      <c r="AT86" s="6"/>
      <c r="AU86" s="7"/>
    </row>
    <row r="87" spans="1:257" ht="16.5" customHeight="1" x14ac:dyDescent="0.3">
      <c r="A87" s="156">
        <v>76</v>
      </c>
      <c r="B87" s="120" t="s">
        <v>33</v>
      </c>
      <c r="C87" s="86" t="s">
        <v>99</v>
      </c>
      <c r="D87" s="55"/>
      <c r="E87" s="55"/>
      <c r="F87" s="55"/>
      <c r="G87" s="45">
        <v>743526122.60000002</v>
      </c>
      <c r="H87" s="55"/>
      <c r="I87" s="55"/>
      <c r="J87" s="45">
        <v>743526122.60000002</v>
      </c>
      <c r="K87" s="45">
        <v>5359673.8</v>
      </c>
      <c r="L87" s="45">
        <v>1381102.08</v>
      </c>
      <c r="M87" s="71">
        <v>3978571.72</v>
      </c>
      <c r="N87" s="44">
        <v>764295555.76999998</v>
      </c>
      <c r="O87" s="53">
        <v>11106581.220000001</v>
      </c>
      <c r="P87" s="224">
        <v>727066807.5</v>
      </c>
      <c r="Q87" s="48">
        <f t="shared" si="28"/>
        <v>2.8848343513987037E-3</v>
      </c>
      <c r="R87" s="47">
        <v>753188974.54999995</v>
      </c>
      <c r="S87" s="48">
        <f t="shared" si="29"/>
        <v>2.9019768295417531E-3</v>
      </c>
      <c r="T87" s="49">
        <f t="shared" si="30"/>
        <v>3.5928152379587144E-2</v>
      </c>
      <c r="U87" s="87">
        <f t="shared" si="31"/>
        <v>1.8336727257925582E-3</v>
      </c>
      <c r="V87" s="50">
        <f t="shared" si="32"/>
        <v>5.2823021239484236E-3</v>
      </c>
      <c r="W87" s="51">
        <f t="shared" si="33"/>
        <v>42442.961479574726</v>
      </c>
      <c r="X87" s="51">
        <f t="shared" si="34"/>
        <v>224.19654557021872</v>
      </c>
      <c r="Y87" s="53">
        <f>411.66*102.6457</f>
        <v>42255.128862000005</v>
      </c>
      <c r="Z87" s="53">
        <f>411.66*102.6457</f>
        <v>42255.128862000005</v>
      </c>
      <c r="AA87" s="52">
        <v>200</v>
      </c>
      <c r="AB87" s="158">
        <v>17745.91</v>
      </c>
      <c r="AC87" s="3"/>
      <c r="AD87" s="9"/>
      <c r="AE87" s="9"/>
      <c r="AF87" s="9"/>
      <c r="AG87" s="5"/>
      <c r="AH87" s="6"/>
      <c r="AI87" s="6"/>
      <c r="AJ87" s="6"/>
      <c r="AK87" s="7"/>
      <c r="AL87" s="5"/>
      <c r="AM87" s="6"/>
      <c r="AN87" s="6"/>
      <c r="AO87" s="6"/>
      <c r="AP87" s="7"/>
      <c r="AQ87" s="5"/>
      <c r="AR87" s="6"/>
      <c r="AS87" s="6"/>
      <c r="AT87" s="6"/>
      <c r="AU87" s="7"/>
    </row>
    <row r="88" spans="1:257" ht="16.5" customHeight="1" x14ac:dyDescent="0.3">
      <c r="A88" s="156">
        <v>77</v>
      </c>
      <c r="B88" s="122" t="s">
        <v>37</v>
      </c>
      <c r="C88" s="86" t="s">
        <v>100</v>
      </c>
      <c r="D88" s="55"/>
      <c r="E88" s="44"/>
      <c r="F88" s="53"/>
      <c r="G88" s="44">
        <f>413.49*11232725.84</f>
        <v>4644619807.5816002</v>
      </c>
      <c r="H88" s="44"/>
      <c r="I88" s="53"/>
      <c r="J88" s="53">
        <f>413.49*11232725.84</f>
        <v>4644619807.5816002</v>
      </c>
      <c r="K88" s="53">
        <f>413.49*86069.63</f>
        <v>35588931.308700003</v>
      </c>
      <c r="L88" s="53">
        <f>413.49*47403.66</f>
        <v>19600939.373400003</v>
      </c>
      <c r="M88" s="211">
        <f>413.49*24817.24</f>
        <v>10261680.567600001</v>
      </c>
      <c r="N88" s="53">
        <f>413.49*15819643</f>
        <v>6541264184.0699997</v>
      </c>
      <c r="O88" s="53">
        <f>413.49*247204</f>
        <v>102216381.96000001</v>
      </c>
      <c r="P88" s="224">
        <f>410.66*15485735</f>
        <v>6359371935.1000004</v>
      </c>
      <c r="Q88" s="202">
        <f t="shared" si="28"/>
        <v>2.5232529421579088E-2</v>
      </c>
      <c r="R88" s="47">
        <f>413.49*15572439</f>
        <v>6439047802.1100006</v>
      </c>
      <c r="S88" s="48">
        <f t="shared" si="29"/>
        <v>2.480913576463209E-2</v>
      </c>
      <c r="T88" s="49">
        <f>((R88-P88)/P88)</f>
        <v>1.252888930276844E-2</v>
      </c>
      <c r="U88" s="87">
        <f>(L88/R88)</f>
        <v>3.0440742134228301E-3</v>
      </c>
      <c r="V88" s="50">
        <f>M88/R88</f>
        <v>1.5936642936922084E-3</v>
      </c>
      <c r="W88" s="51">
        <f>R88/AB88</f>
        <v>476.03203534380401</v>
      </c>
      <c r="X88" s="51">
        <f>M88/AB88</f>
        <v>0.75863525738104787</v>
      </c>
      <c r="Y88" s="53">
        <f>413.49*1.0767</f>
        <v>445.20468299999999</v>
      </c>
      <c r="Z88" s="44">
        <f>413.49*1.0821</f>
        <v>447.43752900000004</v>
      </c>
      <c r="AA88" s="52">
        <v>448</v>
      </c>
      <c r="AB88" s="158">
        <v>13526501</v>
      </c>
      <c r="AC88" s="10"/>
      <c r="AD88" s="10"/>
      <c r="AE88" s="10"/>
      <c r="AF88" s="11"/>
      <c r="AG88" s="5"/>
      <c r="AH88" s="6"/>
      <c r="AI88" s="6"/>
      <c r="AJ88" s="6"/>
      <c r="AK88" s="7"/>
      <c r="AL88" s="5"/>
      <c r="AM88" s="6"/>
      <c r="AN88" s="6"/>
      <c r="AO88" s="6"/>
      <c r="AP88" s="7"/>
      <c r="AQ88" s="5"/>
      <c r="AR88" s="6"/>
      <c r="AS88" s="6"/>
      <c r="AT88" s="6"/>
      <c r="AU88" s="7"/>
    </row>
    <row r="89" spans="1:257" ht="16.5" customHeight="1" x14ac:dyDescent="0.3">
      <c r="A89" s="156">
        <v>78</v>
      </c>
      <c r="B89" s="122" t="s">
        <v>164</v>
      </c>
      <c r="C89" s="120" t="s">
        <v>167</v>
      </c>
      <c r="D89" s="55"/>
      <c r="E89" s="44"/>
      <c r="F89" s="53"/>
      <c r="G89" s="44">
        <v>730706854.52999997</v>
      </c>
      <c r="H89" s="44"/>
      <c r="I89" s="53">
        <v>52803582.68</v>
      </c>
      <c r="J89" s="53">
        <v>783516866.98000002</v>
      </c>
      <c r="K89" s="53">
        <v>3889617.73</v>
      </c>
      <c r="L89" s="53">
        <v>1383678.13</v>
      </c>
      <c r="M89" s="71">
        <v>2505939.61</v>
      </c>
      <c r="N89" s="44">
        <v>783516866.98000002</v>
      </c>
      <c r="O89" s="53">
        <v>748928899.86000001</v>
      </c>
      <c r="P89" s="224">
        <v>725937582.78999996</v>
      </c>
      <c r="Q89" s="48">
        <f t="shared" si="28"/>
        <v>2.8803538467184562E-3</v>
      </c>
      <c r="R89" s="47">
        <v>776951026.19000006</v>
      </c>
      <c r="S89" s="48">
        <f t="shared" si="29"/>
        <v>2.9935301124650112E-3</v>
      </c>
      <c r="T89" s="49">
        <f t="shared" ref="T89" si="35">((R89-P89)/P89)</f>
        <v>7.0272492579788806E-2</v>
      </c>
      <c r="U89" s="87">
        <f t="shared" ref="U89" si="36">(L89/R89)</f>
        <v>1.7809077835771174E-3</v>
      </c>
      <c r="V89" s="50">
        <f t="shared" ref="V89" si="37">M89/R89</f>
        <v>3.2253507950025964E-3</v>
      </c>
      <c r="W89" s="51">
        <f t="shared" ref="W89" si="38">R89/AB89</f>
        <v>43228.548563686847</v>
      </c>
      <c r="X89" s="51">
        <f t="shared" ref="X89" si="39">M89/AB89</f>
        <v>139.42723347669573</v>
      </c>
      <c r="Y89" s="53">
        <f>413.49*104.55</f>
        <v>43230.379500000003</v>
      </c>
      <c r="Z89" s="53">
        <f>413.49*104.55</f>
        <v>43230.379500000003</v>
      </c>
      <c r="AA89" s="52">
        <v>34</v>
      </c>
      <c r="AB89" s="158">
        <v>17973.099999999999</v>
      </c>
      <c r="AC89" s="13"/>
      <c r="AD89" s="4"/>
      <c r="AE89" s="4"/>
      <c r="AF89" s="4"/>
      <c r="AG89" s="5"/>
      <c r="AH89" s="6"/>
      <c r="AI89" s="6"/>
      <c r="AJ89" s="6"/>
      <c r="AK89" s="7"/>
      <c r="AL89" s="5"/>
      <c r="AM89" s="6"/>
      <c r="AN89" s="6"/>
      <c r="AO89" s="6"/>
      <c r="AP89" s="7"/>
      <c r="AQ89" s="5"/>
      <c r="AR89" s="6"/>
      <c r="AS89" s="6"/>
      <c r="AT89" s="6"/>
      <c r="AU89" s="7"/>
    </row>
    <row r="90" spans="1:257" ht="6" customHeight="1" x14ac:dyDescent="0.3">
      <c r="A90" s="156"/>
      <c r="B90" s="122"/>
      <c r="C90" s="86"/>
      <c r="D90" s="104"/>
      <c r="E90" s="104"/>
      <c r="F90" s="104"/>
      <c r="G90" s="104"/>
      <c r="H90" s="104"/>
      <c r="I90" s="81"/>
      <c r="J90" s="83"/>
      <c r="K90" s="83"/>
      <c r="L90" s="83"/>
      <c r="M90" s="71"/>
      <c r="N90" s="44"/>
      <c r="O90" s="44"/>
      <c r="P90" s="112"/>
      <c r="Q90" s="48"/>
      <c r="R90" s="56"/>
      <c r="S90" s="48"/>
      <c r="T90" s="49"/>
      <c r="U90" s="87"/>
      <c r="V90" s="50"/>
      <c r="W90" s="51"/>
      <c r="X90" s="51"/>
      <c r="Y90" s="44"/>
      <c r="Z90" s="44"/>
      <c r="AA90" s="52"/>
      <c r="AB90" s="157"/>
      <c r="AC90" s="13"/>
      <c r="AD90" s="4"/>
      <c r="AE90" s="4"/>
      <c r="AF90" s="4"/>
      <c r="AG90" s="5"/>
      <c r="AH90" s="6"/>
      <c r="AI90" s="6"/>
      <c r="AJ90" s="6"/>
      <c r="AK90" s="7"/>
      <c r="AL90" s="5"/>
      <c r="AM90" s="6"/>
      <c r="AN90" s="6"/>
      <c r="AO90" s="6"/>
      <c r="AP90" s="7"/>
      <c r="AQ90" s="5"/>
      <c r="AR90" s="6"/>
      <c r="AS90" s="6"/>
      <c r="AT90" s="6"/>
      <c r="AU90" s="7"/>
    </row>
    <row r="91" spans="1:257" ht="16.5" customHeight="1" x14ac:dyDescent="0.3">
      <c r="A91" s="236" t="s">
        <v>184</v>
      </c>
      <c r="B91" s="237"/>
      <c r="C91" s="237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3"/>
      <c r="Q91" s="134"/>
      <c r="R91" s="132"/>
      <c r="S91" s="134"/>
      <c r="T91" s="134"/>
      <c r="U91" s="135"/>
      <c r="V91" s="136"/>
      <c r="W91" s="137"/>
      <c r="X91" s="137"/>
      <c r="Y91" s="132"/>
      <c r="Z91" s="132"/>
      <c r="AA91" s="132"/>
      <c r="AB91" s="166"/>
      <c r="AC91" s="13"/>
      <c r="AD91" s="4"/>
      <c r="AE91" s="4"/>
      <c r="AF91" s="4"/>
      <c r="AG91" s="5"/>
      <c r="AH91" s="6"/>
      <c r="AI91" s="6"/>
      <c r="AJ91" s="6"/>
      <c r="AK91" s="7"/>
      <c r="AL91" s="5"/>
      <c r="AM91" s="6"/>
      <c r="AN91" s="6"/>
      <c r="AO91" s="6"/>
      <c r="AP91" s="7"/>
      <c r="AQ91" s="5"/>
      <c r="AR91" s="6"/>
      <c r="AS91" s="6"/>
      <c r="AT91" s="6"/>
      <c r="AU91" s="7"/>
    </row>
    <row r="92" spans="1:257" ht="16.5" customHeight="1" x14ac:dyDescent="0.3">
      <c r="A92" s="156">
        <v>79</v>
      </c>
      <c r="B92" s="120" t="s">
        <v>25</v>
      </c>
      <c r="C92" s="120" t="s">
        <v>114</v>
      </c>
      <c r="D92" s="81"/>
      <c r="E92" s="81"/>
      <c r="F92" s="81">
        <f>413.49*115352322.41</f>
        <v>47697031793.310898</v>
      </c>
      <c r="G92" s="81">
        <f>413.49*279485089.89</f>
        <v>115564289818.6161</v>
      </c>
      <c r="H92" s="81"/>
      <c r="I92" s="81"/>
      <c r="J92" s="81">
        <f>413.49*394837412.3</f>
        <v>163261321611.927</v>
      </c>
      <c r="K92" s="81">
        <f>413.49*2321185.59</f>
        <v>959787029.60909998</v>
      </c>
      <c r="L92" s="81">
        <f>413.49*574797.71</f>
        <v>237673105.10789999</v>
      </c>
      <c r="M92" s="203">
        <f>413.49*1746387.88</f>
        <v>722113924.50119996</v>
      </c>
      <c r="N92" s="81">
        <f>413.49*396995565.57</f>
        <v>164153696407.53931</v>
      </c>
      <c r="O92" s="81">
        <f>413.49*1725597.94</f>
        <v>713517492.21060002</v>
      </c>
      <c r="P92" s="224">
        <f>410.66*395947787.37</f>
        <v>162599918361.3642</v>
      </c>
      <c r="Q92" s="48">
        <f t="shared" ref="Q92:Q98" si="40">(P92/$P$99)</f>
        <v>0.64515918645273629</v>
      </c>
      <c r="R92" s="56">
        <f>413.49*395269967.63</f>
        <v>163440178915.3287</v>
      </c>
      <c r="S92" s="48">
        <f t="shared" ref="S92:S98" si="41">(R92/$R$99)</f>
        <v>0.62972192670746052</v>
      </c>
      <c r="T92" s="49">
        <f>((R92-P92)/P92)</f>
        <v>5.1676566780132199E-3</v>
      </c>
      <c r="U92" s="87">
        <f>(L92/R92)</f>
        <v>1.4541901916971601E-3</v>
      </c>
      <c r="V92" s="50">
        <f>M92/R92</f>
        <v>4.418215455303044E-3</v>
      </c>
      <c r="W92" s="51">
        <f>R92/AB92</f>
        <v>534.31478655040871</v>
      </c>
      <c r="X92" s="51">
        <f>M92/AB92</f>
        <v>2.3607178479339628</v>
      </c>
      <c r="Y92" s="44">
        <f>413.49*1.2922</f>
        <v>534.311778</v>
      </c>
      <c r="Z92" s="44">
        <f>413.49*1.2922</f>
        <v>534.311778</v>
      </c>
      <c r="AA92" s="70">
        <v>3740</v>
      </c>
      <c r="AB92" s="164">
        <v>305887433.82999998</v>
      </c>
      <c r="AC92" s="13"/>
      <c r="AD92" s="4"/>
      <c r="AE92" s="4"/>
      <c r="AF92" s="4"/>
      <c r="AG92" s="5"/>
      <c r="AH92" s="6"/>
      <c r="AI92" s="6"/>
      <c r="AJ92" s="6"/>
      <c r="AK92" s="7"/>
      <c r="AL92" s="5"/>
      <c r="AM92" s="6"/>
      <c r="AN92" s="6"/>
      <c r="AO92" s="6"/>
      <c r="AP92" s="7"/>
      <c r="AQ92" s="5"/>
      <c r="AR92" s="6"/>
      <c r="AS92" s="6"/>
      <c r="AT92" s="6"/>
      <c r="AU92" s="7"/>
    </row>
    <row r="93" spans="1:257" ht="16.5" customHeight="1" x14ac:dyDescent="0.3">
      <c r="A93" s="156">
        <v>80</v>
      </c>
      <c r="B93" s="122" t="s">
        <v>46</v>
      </c>
      <c r="C93" s="85" t="s">
        <v>117</v>
      </c>
      <c r="D93" s="81"/>
      <c r="E93" s="81"/>
      <c r="F93" s="81">
        <f>413.49*373927.93</f>
        <v>154615459.7757</v>
      </c>
      <c r="G93" s="81">
        <f>413.49*3518411.27</f>
        <v>1454827876.0323</v>
      </c>
      <c r="H93" s="81"/>
      <c r="I93" s="81"/>
      <c r="J93" s="81">
        <f>413.49*3980242.93</f>
        <v>1645790649.1257</v>
      </c>
      <c r="K93" s="81">
        <f>413.49*22750.4</f>
        <v>9407062.8960000016</v>
      </c>
      <c r="L93" s="81">
        <f>413.49*8032.78</f>
        <v>3321474.2022000002</v>
      </c>
      <c r="M93" s="203">
        <f>413.49*14717.62</f>
        <v>6085588.6938000005</v>
      </c>
      <c r="N93" s="81">
        <f>413.49*3980242.93</f>
        <v>1645790649.1257</v>
      </c>
      <c r="O93" s="81">
        <f>413.49*35386.12</f>
        <v>14631806.758800002</v>
      </c>
      <c r="P93" s="224">
        <f>410.66*3920316.78</f>
        <v>1609917288.8748</v>
      </c>
      <c r="Q93" s="48">
        <f t="shared" si="40"/>
        <v>6.3877825943205267E-3</v>
      </c>
      <c r="R93" s="56">
        <f>413.49*3944856.81</f>
        <v>1631158842.3669</v>
      </c>
      <c r="S93" s="48">
        <f t="shared" si="41"/>
        <v>6.284724452690002E-3</v>
      </c>
      <c r="T93" s="49">
        <f>((R93-P93)/P93)</f>
        <v>1.3194189315741869E-2</v>
      </c>
      <c r="U93" s="87">
        <f>(L93/R93)</f>
        <v>2.0362665584305454E-3</v>
      </c>
      <c r="V93" s="50">
        <f>M93/R93</f>
        <v>3.7308375712628216E-3</v>
      </c>
      <c r="W93" s="51">
        <f>R93/AB93</f>
        <v>435.12222537911055</v>
      </c>
      <c r="X93" s="51">
        <f>M93/AB93</f>
        <v>1.6233703465358749</v>
      </c>
      <c r="Y93" s="44">
        <f>413.49*1.08</f>
        <v>446.56920000000002</v>
      </c>
      <c r="Z93" s="44">
        <f>413.49*1.08</f>
        <v>446.56920000000002</v>
      </c>
      <c r="AA93" s="70">
        <v>250</v>
      </c>
      <c r="AB93" s="164">
        <v>3748737.13</v>
      </c>
      <c r="AC93" s="13"/>
      <c r="AD93" s="4"/>
      <c r="AE93" s="4"/>
      <c r="AF93" s="4"/>
      <c r="AG93" s="5"/>
      <c r="AH93" s="6"/>
      <c r="AI93" s="6"/>
      <c r="AJ93" s="6"/>
      <c r="AK93" s="7"/>
      <c r="AL93" s="5"/>
      <c r="AM93" s="6"/>
      <c r="AN93" s="6"/>
      <c r="AO93" s="6"/>
      <c r="AP93" s="7"/>
      <c r="AQ93" s="5"/>
      <c r="AR93" s="6"/>
      <c r="AS93" s="6"/>
      <c r="AT93" s="6"/>
      <c r="AU93" s="7"/>
    </row>
    <row r="94" spans="1:257" ht="16.5" customHeight="1" x14ac:dyDescent="0.3">
      <c r="A94" s="156">
        <v>81</v>
      </c>
      <c r="B94" s="120" t="s">
        <v>68</v>
      </c>
      <c r="C94" s="86" t="s">
        <v>123</v>
      </c>
      <c r="D94" s="81"/>
      <c r="E94" s="81"/>
      <c r="F94" s="81"/>
      <c r="G94" s="81">
        <f>413.49*9659068.9</f>
        <v>3993928399.4610004</v>
      </c>
      <c r="H94" s="81"/>
      <c r="I94" s="81"/>
      <c r="J94" s="81">
        <f>413.49*9659068.9</f>
        <v>3993928399.4610004</v>
      </c>
      <c r="K94" s="81">
        <f>413.49*60616.2</f>
        <v>25064192.537999999</v>
      </c>
      <c r="L94" s="81">
        <f>413.49*15509.23</f>
        <v>6412911.5126999998</v>
      </c>
      <c r="M94" s="203">
        <f>413.49*45106.97</f>
        <v>18651281.0253</v>
      </c>
      <c r="N94" s="81">
        <f>413.49*10944627.71</f>
        <v>4525494111.8079004</v>
      </c>
      <c r="O94" s="81">
        <f>413.49*229702.99</f>
        <v>94979889.335099995</v>
      </c>
      <c r="P94" s="224">
        <f>410.66*9796812.42</f>
        <v>4023158988.3972001</v>
      </c>
      <c r="Q94" s="48">
        <f t="shared" si="40"/>
        <v>1.5962972220907912E-2</v>
      </c>
      <c r="R94" s="56">
        <f>413.49*10714924.72</f>
        <v>4430514222.4728003</v>
      </c>
      <c r="S94" s="48">
        <f t="shared" si="41"/>
        <v>1.7070416656394832E-2</v>
      </c>
      <c r="T94" s="49">
        <f t="shared" ref="T94:T96" si="42">((R94-P94)/P94)</f>
        <v>0.10125258167783416</v>
      </c>
      <c r="U94" s="87">
        <f t="shared" ref="U94:U96" si="43">(L94/R94)</f>
        <v>1.4474418071319869E-3</v>
      </c>
      <c r="V94" s="50">
        <f t="shared" ref="V94:V96" si="44">M94/R94</f>
        <v>4.2097327959575246E-3</v>
      </c>
      <c r="W94" s="51">
        <f>R94/AB94</f>
        <v>45820.423634314793</v>
      </c>
      <c r="X94" s="51">
        <f>M94/AB94</f>
        <v>192.89174009804225</v>
      </c>
      <c r="Y94" s="44">
        <f>413.49*110.44</f>
        <v>45665.835599999999</v>
      </c>
      <c r="Z94" s="44">
        <f>413.49*110.44</f>
        <v>45665.835599999999</v>
      </c>
      <c r="AA94" s="70">
        <f>SUM(482+45+30)</f>
        <v>557</v>
      </c>
      <c r="AB94" s="164">
        <v>96693</v>
      </c>
      <c r="AC94" s="13"/>
      <c r="AD94" s="4"/>
      <c r="AE94" s="4"/>
      <c r="AF94" s="4"/>
      <c r="AG94" s="5"/>
      <c r="AH94" s="6"/>
      <c r="AI94" s="6"/>
      <c r="AJ94" s="6"/>
      <c r="AK94" s="7"/>
      <c r="AL94" s="5">
        <v>413.49</v>
      </c>
      <c r="AM94" s="6"/>
      <c r="AN94" s="6"/>
      <c r="AO94" s="6"/>
      <c r="AP94" s="7"/>
      <c r="AQ94" s="5"/>
      <c r="AR94" s="6"/>
      <c r="AS94" s="6"/>
      <c r="AT94" s="6"/>
      <c r="AU94" s="7"/>
    </row>
    <row r="95" spans="1:257" ht="16.5" customHeight="1" x14ac:dyDescent="0.3">
      <c r="A95" s="156">
        <v>82</v>
      </c>
      <c r="B95" s="122" t="s">
        <v>125</v>
      </c>
      <c r="C95" s="86" t="s">
        <v>126</v>
      </c>
      <c r="D95" s="81"/>
      <c r="E95" s="81"/>
      <c r="F95" s="81"/>
      <c r="G95" s="81">
        <f>413.49*889428.98</f>
        <v>367769988.94019997</v>
      </c>
      <c r="H95" s="81"/>
      <c r="I95" s="81"/>
      <c r="J95" s="81">
        <f>413.49*889428.98</f>
        <v>367769988.94019997</v>
      </c>
      <c r="K95" s="81">
        <f>413.49*3901.02</f>
        <v>1613032.7598000001</v>
      </c>
      <c r="L95" s="81">
        <f>413.49*1652.73</f>
        <v>683387.32770000002</v>
      </c>
      <c r="M95" s="203">
        <f>413.49*2248.29</f>
        <v>929645.43209999998</v>
      </c>
      <c r="N95" s="81">
        <f>413.49*1127999.66</f>
        <v>466416579.41339999</v>
      </c>
      <c r="O95" s="81">
        <f>413.49*34023.52</f>
        <v>14068385.284799999</v>
      </c>
      <c r="P95" s="224">
        <f>410.66*1092015.14</f>
        <v>448446937.39239997</v>
      </c>
      <c r="Q95" s="48">
        <f t="shared" si="40"/>
        <v>1.7793346036762091E-3</v>
      </c>
      <c r="R95" s="56">
        <f>413.49*1093976.14</f>
        <v>452348194.12859994</v>
      </c>
      <c r="S95" s="48">
        <f t="shared" si="41"/>
        <v>1.7428613835333152E-3</v>
      </c>
      <c r="T95" s="49">
        <f t="shared" si="42"/>
        <v>8.6994835083159406E-3</v>
      </c>
      <c r="U95" s="87">
        <f t="shared" si="43"/>
        <v>1.5107550700328804E-3</v>
      </c>
      <c r="V95" s="50">
        <f t="shared" si="44"/>
        <v>2.0551545118707984E-3</v>
      </c>
      <c r="W95" s="51">
        <f>R95/AB95</f>
        <v>44632.283584469653</v>
      </c>
      <c r="X95" s="51">
        <f>M95/AB95</f>
        <v>91.726238983719782</v>
      </c>
      <c r="Y95" s="44">
        <f>413.49*107.94</f>
        <v>44632.1106</v>
      </c>
      <c r="Z95" s="44">
        <f>413.49*107.94</f>
        <v>44632.1106</v>
      </c>
      <c r="AA95" s="70">
        <v>28</v>
      </c>
      <c r="AB95" s="164">
        <v>10135</v>
      </c>
      <c r="AC95" s="3"/>
      <c r="AD95" s="9"/>
      <c r="AE95" s="4"/>
      <c r="AF95" s="4"/>
      <c r="AG95" s="5"/>
      <c r="AH95" s="6"/>
      <c r="AI95" s="6"/>
      <c r="AJ95" s="6"/>
      <c r="AK95" s="7"/>
      <c r="AL95" s="5"/>
      <c r="AM95" s="6"/>
      <c r="AN95" s="6"/>
      <c r="AO95" s="6"/>
      <c r="AP95" s="7"/>
      <c r="AQ95" s="5"/>
      <c r="AR95" s="6"/>
      <c r="AS95" s="6"/>
      <c r="AT95" s="6"/>
      <c r="AU95" s="7"/>
    </row>
    <row r="96" spans="1:257" ht="15.75" customHeight="1" x14ac:dyDescent="0.35">
      <c r="A96" s="156">
        <v>83</v>
      </c>
      <c r="B96" s="122" t="s">
        <v>85</v>
      </c>
      <c r="C96" s="86" t="s">
        <v>127</v>
      </c>
      <c r="D96" s="81"/>
      <c r="E96" s="81"/>
      <c r="F96" s="81">
        <f>413.49*1219019.2</f>
        <v>504052249.00800002</v>
      </c>
      <c r="G96" s="81">
        <f>413.49*3663914.77</f>
        <v>1514992118.2473001</v>
      </c>
      <c r="H96" s="81"/>
      <c r="I96" s="81"/>
      <c r="J96" s="81">
        <f>413.49*20596.94</f>
        <v>8516628.7205999997</v>
      </c>
      <c r="K96" s="81">
        <f>413.49*4882933.97</f>
        <v>2019044367.2553</v>
      </c>
      <c r="L96" s="81">
        <f>413.49*7709.57</f>
        <v>3187830.0992999999</v>
      </c>
      <c r="M96" s="203">
        <f>413.49*12887.37</f>
        <v>5328798.6213000007</v>
      </c>
      <c r="N96" s="81">
        <f>413.49*5084556.57</f>
        <v>2102413296.1293001</v>
      </c>
      <c r="O96" s="81">
        <f>413.49*38229.93</f>
        <v>15807693.7557</v>
      </c>
      <c r="P96" s="224">
        <f>410.66*4951729.14</f>
        <v>2033477088.6324</v>
      </c>
      <c r="Q96" s="48">
        <f t="shared" si="40"/>
        <v>8.0683707433157354E-3</v>
      </c>
      <c r="R96" s="56">
        <f>413.49*5046326.64</f>
        <v>2086605602.3736</v>
      </c>
      <c r="S96" s="48">
        <f t="shared" si="41"/>
        <v>8.0395243625253354E-3</v>
      </c>
      <c r="T96" s="49">
        <f t="shared" si="42"/>
        <v>2.6126930093385591E-2</v>
      </c>
      <c r="U96" s="87">
        <f t="shared" si="43"/>
        <v>1.5277588134881416E-3</v>
      </c>
      <c r="V96" s="50">
        <f t="shared" si="44"/>
        <v>2.5538120933051613E-3</v>
      </c>
      <c r="W96" s="51">
        <f t="shared" ref="W96" si="45">R96/AB96</f>
        <v>448.40982857756904</v>
      </c>
      <c r="X96" s="51">
        <f t="shared" ref="X96" si="46">M96/AB96</f>
        <v>1.1451544429782903</v>
      </c>
      <c r="Y96" s="44">
        <f>413.49*1.08</f>
        <v>446.56920000000002</v>
      </c>
      <c r="Z96" s="44">
        <f>413.49*1.08</f>
        <v>446.56920000000002</v>
      </c>
      <c r="AA96" s="70">
        <v>140</v>
      </c>
      <c r="AB96" s="164">
        <v>4653344.93</v>
      </c>
      <c r="AC96" s="37"/>
      <c r="AD96" s="10"/>
      <c r="AE96" s="13"/>
      <c r="AF96" s="4"/>
      <c r="AG96" s="5"/>
      <c r="AH96" s="6"/>
      <c r="AI96" s="6"/>
      <c r="AJ96" s="6"/>
      <c r="AK96" s="7"/>
      <c r="AL96" s="5"/>
      <c r="AM96" s="6"/>
      <c r="AN96" s="6"/>
      <c r="AO96" s="6"/>
      <c r="AP96" s="7"/>
      <c r="AQ96" s="5"/>
      <c r="AR96" s="6"/>
      <c r="AS96" s="6"/>
      <c r="AT96" s="6"/>
      <c r="AU96" s="7"/>
    </row>
    <row r="97" spans="1:257" ht="16.5" customHeight="1" x14ac:dyDescent="0.3">
      <c r="A97" s="156">
        <v>84</v>
      </c>
      <c r="B97" s="122" t="s">
        <v>92</v>
      </c>
      <c r="C97" s="86" t="s">
        <v>128</v>
      </c>
      <c r="D97" s="81"/>
      <c r="E97" s="81"/>
      <c r="F97" s="81"/>
      <c r="G97" s="81">
        <v>94635506.739999995</v>
      </c>
      <c r="H97" s="81"/>
      <c r="I97" s="81"/>
      <c r="J97" s="81">
        <v>94635506.739999995</v>
      </c>
      <c r="K97" s="81">
        <v>543904.11</v>
      </c>
      <c r="L97" s="81">
        <v>41439.79</v>
      </c>
      <c r="M97" s="54">
        <v>502464.32</v>
      </c>
      <c r="N97" s="44">
        <v>106484482.77</v>
      </c>
      <c r="O97" s="44">
        <v>959680.35</v>
      </c>
      <c r="P97" s="224">
        <v>100089475.52</v>
      </c>
      <c r="Q97" s="48">
        <f t="shared" si="40"/>
        <v>3.9713208499560834E-4</v>
      </c>
      <c r="R97" s="56">
        <v>105524802.42</v>
      </c>
      <c r="S97" s="48">
        <f t="shared" si="41"/>
        <v>4.0657861693709987E-4</v>
      </c>
      <c r="T97" s="49">
        <f>((R97-P97)/P97)</f>
        <v>5.4304679605538669E-2</v>
      </c>
      <c r="U97" s="87">
        <f>(L97/R97)</f>
        <v>3.9270189613874098E-4</v>
      </c>
      <c r="V97" s="50">
        <f>M97/R97</f>
        <v>4.7615755583236084E-3</v>
      </c>
      <c r="W97" s="51">
        <f>R97/AB97</f>
        <v>413.03717408067013</v>
      </c>
      <c r="X97" s="51">
        <f>M97/AB97</f>
        <v>1.9667077127815724</v>
      </c>
      <c r="Y97" s="44">
        <v>412.11</v>
      </c>
      <c r="Z97" s="44">
        <v>412.11</v>
      </c>
      <c r="AA97" s="70">
        <v>5</v>
      </c>
      <c r="AB97" s="164">
        <v>255485</v>
      </c>
      <c r="AC97" s="25"/>
      <c r="AD97" s="22"/>
      <c r="AE97" s="4"/>
      <c r="AF97" s="4"/>
      <c r="AG97" s="5"/>
      <c r="AH97" s="6"/>
      <c r="AI97" s="6"/>
      <c r="AJ97" s="6"/>
      <c r="AK97" s="7"/>
      <c r="AL97" s="5"/>
      <c r="AM97" s="6"/>
      <c r="AN97" s="6"/>
      <c r="AO97" s="6"/>
      <c r="AP97" s="7"/>
      <c r="AQ97" s="5"/>
      <c r="AR97" s="6"/>
      <c r="AS97" s="6"/>
      <c r="AT97" s="6"/>
      <c r="AU97" s="7"/>
    </row>
    <row r="98" spans="1:257" ht="16.5" customHeight="1" x14ac:dyDescent="0.3">
      <c r="A98" s="156">
        <v>85</v>
      </c>
      <c r="B98" s="122" t="s">
        <v>31</v>
      </c>
      <c r="C98" s="122" t="s">
        <v>189</v>
      </c>
      <c r="D98" s="81"/>
      <c r="E98" s="81"/>
      <c r="F98" s="81"/>
      <c r="G98" s="81">
        <f>3620073.59*413.49</f>
        <v>1496864228.7291</v>
      </c>
      <c r="H98" s="81"/>
      <c r="I98" s="81"/>
      <c r="J98" s="81">
        <v>1496864228.73</v>
      </c>
      <c r="K98" s="81">
        <f>22948.05*413.49</f>
        <v>9488789.1944999993</v>
      </c>
      <c r="L98" s="81">
        <f>413.49*6631.12</f>
        <v>2741901.8088000002</v>
      </c>
      <c r="M98" s="54">
        <f>413.49*16316.92</f>
        <v>6746883.2508000005</v>
      </c>
      <c r="N98" s="44">
        <f>413.49*3676831.68</f>
        <v>1520333131.3632002</v>
      </c>
      <c r="O98" s="44">
        <f>413.49*18487.9</f>
        <v>7644561.7710000006</v>
      </c>
      <c r="P98" s="224">
        <f>410.66*3433551.66</f>
        <v>1410022324.6956</v>
      </c>
      <c r="Q98" s="202">
        <f t="shared" si="40"/>
        <v>5.594645219065269E-3</v>
      </c>
      <c r="R98" s="56">
        <f>413.49*3658343.78</f>
        <v>1512688569.5922</v>
      </c>
      <c r="S98" s="48">
        <f t="shared" si="41"/>
        <v>5.8282679747030854E-3</v>
      </c>
      <c r="T98" s="49">
        <f t="shared" ref="T98" si="47">((R98-P98)/P98)</f>
        <v>7.2811786805406731E-2</v>
      </c>
      <c r="U98" s="87">
        <f>(L98/R98)</f>
        <v>1.8126016576823735E-3</v>
      </c>
      <c r="V98" s="50">
        <f>M98/R98</f>
        <v>4.4601931861089341E-3</v>
      </c>
      <c r="W98" s="51">
        <f>R98/AB98</f>
        <v>418.70301273368329</v>
      </c>
      <c r="X98" s="51">
        <f>M98/AB98</f>
        <v>1.8674963243980565</v>
      </c>
      <c r="Y98" s="44">
        <f>413.49*1.01</f>
        <v>417.62490000000003</v>
      </c>
      <c r="Z98" s="44">
        <f>413.49*1.01</f>
        <v>417.62490000000003</v>
      </c>
      <c r="AA98" s="70">
        <v>108</v>
      </c>
      <c r="AB98" s="164">
        <v>3612796</v>
      </c>
      <c r="AC98" s="13"/>
      <c r="AD98" s="4"/>
      <c r="AE98" s="4"/>
      <c r="AF98" s="4"/>
      <c r="AG98" s="5"/>
      <c r="AH98" s="6"/>
      <c r="AI98" s="6"/>
      <c r="AJ98" s="6"/>
      <c r="AK98" s="7"/>
      <c r="AL98" s="5"/>
      <c r="AM98" s="6"/>
      <c r="AN98" s="6"/>
      <c r="AO98" s="6"/>
      <c r="AP98" s="7"/>
      <c r="AQ98" s="5"/>
      <c r="AR98" s="6"/>
      <c r="AS98" s="6"/>
      <c r="AT98" s="6"/>
      <c r="AU98" s="7"/>
    </row>
    <row r="99" spans="1:257" ht="16.5" customHeight="1" x14ac:dyDescent="0.3">
      <c r="A99" s="167"/>
      <c r="B99" s="108"/>
      <c r="C99" s="109" t="s">
        <v>54</v>
      </c>
      <c r="D99" s="118"/>
      <c r="E99" s="118"/>
      <c r="F99" s="118"/>
      <c r="G99" s="118"/>
      <c r="H99" s="118"/>
      <c r="I99" s="118"/>
      <c r="J99" s="118"/>
      <c r="K99" s="118"/>
      <c r="L99" s="118"/>
      <c r="M99" s="131"/>
      <c r="N99" s="118"/>
      <c r="O99" s="118"/>
      <c r="P99" s="123">
        <f t="shared" ref="P99" si="48">SUM(P82:P98)</f>
        <v>252030695331.77313</v>
      </c>
      <c r="Q99" s="125">
        <f>(P99/$P$146)</f>
        <v>0.19505739458187407</v>
      </c>
      <c r="R99" s="63">
        <f>SUM(R82:R98)</f>
        <v>259543414296.98285</v>
      </c>
      <c r="S99" s="125">
        <f>(R99/$R$146)</f>
        <v>0.19938527253582816</v>
      </c>
      <c r="T99" s="64">
        <f t="shared" si="26"/>
        <v>2.9808745935966156E-2</v>
      </c>
      <c r="U99" s="79"/>
      <c r="V99" s="65"/>
      <c r="W99" s="66"/>
      <c r="X99" s="66"/>
      <c r="Y99" s="62"/>
      <c r="Z99" s="62"/>
      <c r="AA99" s="182">
        <f>SUM(AA82:AA98)</f>
        <v>8418</v>
      </c>
      <c r="AB99" s="160"/>
      <c r="AC99" s="13"/>
      <c r="AD99" s="4"/>
      <c r="AE99" s="4"/>
      <c r="AF99" s="4"/>
      <c r="AG99" s="5"/>
      <c r="AH99" s="6"/>
      <c r="AI99" s="6"/>
      <c r="AJ99" s="6"/>
      <c r="AK99" s="7"/>
      <c r="AL99" s="5"/>
      <c r="AM99" s="6"/>
      <c r="AN99" s="6"/>
      <c r="AO99" s="6"/>
      <c r="AP99" s="7"/>
      <c r="AQ99" s="5"/>
      <c r="AR99" s="6"/>
      <c r="AS99" s="6"/>
      <c r="AT99" s="6"/>
      <c r="AU99" s="7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31"/>
    </row>
    <row r="100" spans="1:257" s="99" customFormat="1" ht="16.5" customHeight="1" x14ac:dyDescent="0.3">
      <c r="A100" s="238" t="s">
        <v>129</v>
      </c>
      <c r="B100" s="239"/>
      <c r="C100" s="239"/>
      <c r="D100" s="110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121"/>
      <c r="Q100" s="49"/>
      <c r="R100" s="73">
        <v>0</v>
      </c>
      <c r="S100" s="49"/>
      <c r="T100" s="49"/>
      <c r="U100" s="49"/>
      <c r="V100" s="74"/>
      <c r="W100" s="75"/>
      <c r="X100" s="75"/>
      <c r="Y100" s="73"/>
      <c r="Z100" s="73"/>
      <c r="AA100" s="73"/>
      <c r="AB100" s="163"/>
      <c r="AC100" s="93"/>
      <c r="AD100" s="94"/>
      <c r="AE100" s="94"/>
      <c r="AF100" s="94"/>
      <c r="AG100" s="95"/>
      <c r="AH100" s="96"/>
      <c r="AI100" s="96"/>
      <c r="AJ100" s="96"/>
      <c r="AK100" s="97"/>
      <c r="AL100" s="95"/>
      <c r="AM100" s="96"/>
      <c r="AN100" s="96"/>
      <c r="AO100" s="96"/>
      <c r="AP100" s="97"/>
      <c r="AQ100" s="95"/>
      <c r="AR100" s="96"/>
      <c r="AS100" s="96"/>
      <c r="AT100" s="96"/>
      <c r="AU100" s="97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98"/>
      <c r="CK100" s="98"/>
      <c r="CL100" s="98"/>
      <c r="CM100" s="98"/>
      <c r="CN100" s="98"/>
      <c r="CO100" s="98"/>
      <c r="CP100" s="98"/>
      <c r="CQ100" s="98"/>
      <c r="CR100" s="98"/>
      <c r="CS100" s="98"/>
      <c r="CT100" s="98"/>
      <c r="CU100" s="98"/>
      <c r="CV100" s="98"/>
      <c r="CW100" s="98"/>
      <c r="CX100" s="98"/>
      <c r="CY100" s="98"/>
      <c r="CZ100" s="98"/>
      <c r="DA100" s="98"/>
      <c r="DB100" s="98"/>
      <c r="DC100" s="98"/>
      <c r="DD100" s="98"/>
      <c r="DE100" s="98"/>
      <c r="DF100" s="98"/>
      <c r="DG100" s="98"/>
      <c r="DH100" s="98"/>
      <c r="DI100" s="98"/>
      <c r="DJ100" s="98"/>
      <c r="DK100" s="98"/>
      <c r="DL100" s="98"/>
      <c r="DM100" s="98"/>
      <c r="DN100" s="98"/>
      <c r="DO100" s="98"/>
      <c r="DP100" s="98"/>
      <c r="DQ100" s="98"/>
      <c r="DR100" s="98"/>
      <c r="DS100" s="98"/>
      <c r="DT100" s="98"/>
      <c r="DU100" s="98"/>
      <c r="DV100" s="98"/>
      <c r="DW100" s="98"/>
      <c r="DX100" s="98"/>
      <c r="DY100" s="98"/>
      <c r="DZ100" s="98"/>
      <c r="EA100" s="98"/>
      <c r="EB100" s="98"/>
      <c r="EC100" s="98"/>
      <c r="ED100" s="98"/>
      <c r="EE100" s="98"/>
      <c r="EF100" s="98"/>
      <c r="EG100" s="98"/>
      <c r="EH100" s="98"/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8"/>
      <c r="FF100" s="98"/>
      <c r="FG100" s="98"/>
      <c r="FH100" s="98"/>
      <c r="FI100" s="98"/>
      <c r="FJ100" s="98"/>
      <c r="FK100" s="98"/>
      <c r="FL100" s="98"/>
      <c r="FM100" s="98"/>
      <c r="FN100" s="98"/>
      <c r="FO100" s="98"/>
      <c r="FP100" s="98"/>
      <c r="FQ100" s="98"/>
      <c r="FR100" s="98"/>
      <c r="FS100" s="98"/>
      <c r="FT100" s="98"/>
      <c r="FU100" s="98"/>
      <c r="FV100" s="98"/>
      <c r="FW100" s="98"/>
      <c r="FX100" s="98"/>
      <c r="FY100" s="98"/>
      <c r="FZ100" s="98"/>
      <c r="GA100" s="98"/>
      <c r="GB100" s="98"/>
      <c r="GC100" s="98"/>
      <c r="GD100" s="98"/>
      <c r="GE100" s="98"/>
      <c r="GF100" s="98"/>
      <c r="GG100" s="98"/>
      <c r="GH100" s="98"/>
      <c r="GI100" s="98"/>
      <c r="GJ100" s="98"/>
      <c r="GK100" s="98"/>
      <c r="GL100" s="98"/>
      <c r="GM100" s="98"/>
      <c r="GN100" s="98"/>
      <c r="GO100" s="98"/>
      <c r="GP100" s="98"/>
      <c r="GQ100" s="98"/>
      <c r="GR100" s="98"/>
      <c r="GS100" s="98"/>
      <c r="GT100" s="98"/>
      <c r="GU100" s="98"/>
      <c r="GV100" s="98"/>
      <c r="GW100" s="98"/>
      <c r="GX100" s="98"/>
      <c r="GY100" s="98"/>
      <c r="GZ100" s="98"/>
      <c r="HA100" s="98"/>
      <c r="HB100" s="98"/>
      <c r="HC100" s="98"/>
      <c r="HD100" s="98"/>
      <c r="HE100" s="98"/>
      <c r="HF100" s="98"/>
      <c r="HG100" s="98"/>
      <c r="HH100" s="98"/>
      <c r="HI100" s="98"/>
      <c r="HJ100" s="98"/>
      <c r="HK100" s="98"/>
      <c r="HL100" s="98"/>
      <c r="HM100" s="98"/>
      <c r="HN100" s="98"/>
      <c r="HO100" s="98"/>
      <c r="HP100" s="98"/>
      <c r="HQ100" s="98"/>
      <c r="HR100" s="98"/>
      <c r="HS100" s="98"/>
      <c r="HT100" s="98"/>
      <c r="HU100" s="98"/>
      <c r="HV100" s="98"/>
      <c r="HW100" s="98"/>
      <c r="HX100" s="98"/>
      <c r="HY100" s="98"/>
      <c r="HZ100" s="98"/>
      <c r="IA100" s="98"/>
      <c r="IB100" s="98"/>
      <c r="IC100" s="98"/>
      <c r="ID100" s="98"/>
      <c r="IE100" s="98"/>
      <c r="IF100" s="98"/>
      <c r="IG100" s="98"/>
      <c r="IH100" s="98"/>
      <c r="II100" s="98"/>
      <c r="IJ100" s="98"/>
      <c r="IK100" s="98"/>
      <c r="IL100" s="98"/>
      <c r="IM100" s="98"/>
      <c r="IN100" s="98"/>
      <c r="IO100" s="98"/>
      <c r="IP100" s="98"/>
      <c r="IQ100" s="98"/>
      <c r="IR100" s="98"/>
      <c r="IS100" s="98"/>
      <c r="IT100" s="98"/>
      <c r="IU100" s="98"/>
      <c r="IV100" s="98"/>
      <c r="IW100" s="98"/>
    </row>
    <row r="101" spans="1:257" ht="16.5" customHeight="1" x14ac:dyDescent="0.3">
      <c r="A101" s="156">
        <v>86</v>
      </c>
      <c r="B101" s="120" t="s">
        <v>107</v>
      </c>
      <c r="C101" s="120" t="s">
        <v>130</v>
      </c>
      <c r="D101" s="44"/>
      <c r="E101" s="44"/>
      <c r="F101" s="77"/>
      <c r="G101" s="77" t="s">
        <v>218</v>
      </c>
      <c r="H101" s="44">
        <v>1820390000</v>
      </c>
      <c r="I101" s="100">
        <v>1681024.45</v>
      </c>
      <c r="J101" s="77" t="s">
        <v>219</v>
      </c>
      <c r="K101" s="77" t="s">
        <v>220</v>
      </c>
      <c r="L101" s="45">
        <v>11228431.050000001</v>
      </c>
      <c r="M101" s="78">
        <v>10093112.140000001</v>
      </c>
      <c r="N101" s="44">
        <v>2517839039.1199999</v>
      </c>
      <c r="O101" s="44">
        <v>114256874.54000001</v>
      </c>
      <c r="P101" s="224">
        <v>2393489052.5599999</v>
      </c>
      <c r="Q101" s="48">
        <f>(P101/$P$105)</f>
        <v>4.7634520809190332E-2</v>
      </c>
      <c r="R101" s="56">
        <v>2403582164.6999998</v>
      </c>
      <c r="S101" s="48">
        <f>(R101/$R$105)</f>
        <v>4.7887612405842037E-2</v>
      </c>
      <c r="T101" s="49">
        <f>((R101-P101)/P101)</f>
        <v>4.216903406850595E-3</v>
      </c>
      <c r="U101" s="87">
        <f>(L101/R101)</f>
        <v>4.6715403429536864E-3</v>
      </c>
      <c r="V101" s="50">
        <f>M101/R101</f>
        <v>4.1991958037597438E-3</v>
      </c>
      <c r="W101" s="51">
        <f>R101/AB101</f>
        <v>120.17910823499999</v>
      </c>
      <c r="X101" s="51">
        <f>M101/AB101</f>
        <v>0.50465560700000001</v>
      </c>
      <c r="Y101" s="44">
        <v>68.599999999999994</v>
      </c>
      <c r="Z101" s="44">
        <v>68.599999999999994</v>
      </c>
      <c r="AA101" s="52">
        <v>2648</v>
      </c>
      <c r="AB101" s="158">
        <v>20000000</v>
      </c>
      <c r="AC101" s="13"/>
      <c r="AD101" s="4"/>
      <c r="AE101" s="4"/>
      <c r="AF101" s="4"/>
      <c r="AG101" s="5"/>
      <c r="AH101" s="6"/>
      <c r="AI101" s="6"/>
      <c r="AJ101" s="6"/>
      <c r="AK101" s="7"/>
      <c r="AL101" s="5"/>
      <c r="AM101" s="6"/>
      <c r="AN101" s="6"/>
      <c r="AO101" s="6"/>
      <c r="AP101" s="7"/>
      <c r="AQ101" s="5"/>
      <c r="AR101" s="6"/>
      <c r="AS101" s="6"/>
      <c r="AT101" s="6"/>
      <c r="AU101" s="7"/>
    </row>
    <row r="102" spans="1:257" ht="16.5" customHeight="1" x14ac:dyDescent="0.3">
      <c r="A102" s="156">
        <v>87</v>
      </c>
      <c r="B102" s="120" t="s">
        <v>107</v>
      </c>
      <c r="C102" s="86" t="s">
        <v>131</v>
      </c>
      <c r="D102" s="44"/>
      <c r="E102" s="44"/>
      <c r="F102" s="77"/>
      <c r="G102" s="77" t="s">
        <v>221</v>
      </c>
      <c r="H102" s="44">
        <v>9932058627.3999996</v>
      </c>
      <c r="I102" s="100">
        <v>116108876.06999999</v>
      </c>
      <c r="J102" s="77" t="s">
        <v>222</v>
      </c>
      <c r="K102" s="77" t="s">
        <v>223</v>
      </c>
      <c r="L102" s="45">
        <v>34533237.32</v>
      </c>
      <c r="M102" s="78">
        <v>29424773.289999999</v>
      </c>
      <c r="N102" s="44">
        <v>11146434845.110001</v>
      </c>
      <c r="O102" s="44">
        <v>1244944475.0899999</v>
      </c>
      <c r="P102" s="224">
        <v>9872074597</v>
      </c>
      <c r="Q102" s="48">
        <f t="shared" ref="Q102:Q104" si="49">(P102/$P$105)</f>
        <v>0.19647114839222249</v>
      </c>
      <c r="R102" s="56">
        <v>9901490370</v>
      </c>
      <c r="S102" s="48">
        <f t="shared" ref="S102:S104" si="50">(R102/$R$105)</f>
        <v>0.19727169723691096</v>
      </c>
      <c r="T102" s="49">
        <f>((R102-P102)/P102)</f>
        <v>2.9796951705509888E-3</v>
      </c>
      <c r="U102" s="87">
        <f>(L102/R102)</f>
        <v>3.4876807459845059E-3</v>
      </c>
      <c r="V102" s="50">
        <f>M102/R102</f>
        <v>2.9717519474798016E-3</v>
      </c>
      <c r="W102" s="51">
        <f>R102/AB102</f>
        <v>52.631928943175033</v>
      </c>
      <c r="X102" s="51">
        <f>M102/AB102</f>
        <v>0.15640903733649894</v>
      </c>
      <c r="Y102" s="119">
        <v>36.6</v>
      </c>
      <c r="Z102" s="119">
        <v>36.6</v>
      </c>
      <c r="AA102" s="52">
        <v>5244</v>
      </c>
      <c r="AB102" s="158">
        <v>188127066</v>
      </c>
      <c r="AC102" s="43"/>
      <c r="AD102" s="4"/>
      <c r="AE102" s="4"/>
      <c r="AF102" s="4"/>
      <c r="AG102" s="5"/>
      <c r="AH102" s="6"/>
      <c r="AI102" s="6"/>
      <c r="AJ102" s="6"/>
      <c r="AK102" s="7"/>
      <c r="AL102" s="5"/>
      <c r="AM102" s="6"/>
      <c r="AN102" s="6"/>
      <c r="AO102" s="6"/>
      <c r="AP102" s="7"/>
      <c r="AQ102" s="5"/>
      <c r="AR102" s="6"/>
      <c r="AS102" s="6"/>
      <c r="AT102" s="6"/>
      <c r="AU102" s="7"/>
    </row>
    <row r="103" spans="1:257" ht="16.5" customHeight="1" x14ac:dyDescent="0.3">
      <c r="A103" s="156">
        <v>88</v>
      </c>
      <c r="B103" s="122" t="s">
        <v>207</v>
      </c>
      <c r="C103" s="86" t="s">
        <v>132</v>
      </c>
      <c r="D103" s="44"/>
      <c r="E103" s="44"/>
      <c r="F103" s="77" t="s">
        <v>212</v>
      </c>
      <c r="G103" s="77" t="s">
        <v>211</v>
      </c>
      <c r="H103" s="44">
        <v>26522225000</v>
      </c>
      <c r="I103" s="100"/>
      <c r="J103" s="77" t="s">
        <v>213</v>
      </c>
      <c r="K103" s="77" t="s">
        <v>214</v>
      </c>
      <c r="L103" s="45">
        <v>26521512.82</v>
      </c>
      <c r="M103" s="78">
        <v>112415808.31</v>
      </c>
      <c r="N103" s="44">
        <v>30629972128.360001</v>
      </c>
      <c r="O103" s="44">
        <v>158205693.59</v>
      </c>
      <c r="P103" s="224">
        <v>30470362316.630001</v>
      </c>
      <c r="Q103" s="48">
        <f t="shared" si="49"/>
        <v>0.60641226091369227</v>
      </c>
      <c r="R103" s="56">
        <v>30471766434.77</v>
      </c>
      <c r="S103" s="48">
        <f t="shared" si="50"/>
        <v>0.60710225004175944</v>
      </c>
      <c r="T103" s="49">
        <f>((R103-P103)/P103)</f>
        <v>4.6081438921159639E-5</v>
      </c>
      <c r="U103" s="87">
        <f>(L103/R103)</f>
        <v>8.7036348472852108E-4</v>
      </c>
      <c r="V103" s="50">
        <f>M103/R103</f>
        <v>3.6891792456681225E-3</v>
      </c>
      <c r="W103" s="51">
        <f>R103/AB103</f>
        <v>11.420048250287312</v>
      </c>
      <c r="X103" s="51">
        <f>M103/AB103</f>
        <v>4.2130604989488507E-2</v>
      </c>
      <c r="Y103" s="119">
        <v>11.42</v>
      </c>
      <c r="Z103" s="119">
        <v>11.42</v>
      </c>
      <c r="AA103" s="52">
        <v>28836</v>
      </c>
      <c r="AB103" s="158">
        <v>2668269500</v>
      </c>
      <c r="AC103" s="43"/>
      <c r="AD103" s="4"/>
      <c r="AE103" s="4"/>
      <c r="AF103" s="4"/>
      <c r="AG103" s="5"/>
      <c r="AH103" s="6"/>
      <c r="AI103" s="6"/>
      <c r="AJ103" s="6"/>
      <c r="AK103" s="7"/>
      <c r="AL103" s="5"/>
      <c r="AM103" s="6"/>
      <c r="AN103" s="6"/>
      <c r="AO103" s="6"/>
      <c r="AP103" s="7"/>
      <c r="AQ103" s="5"/>
      <c r="AR103" s="6"/>
      <c r="AS103" s="6"/>
      <c r="AT103" s="6"/>
      <c r="AU103" s="7"/>
    </row>
    <row r="104" spans="1:257" ht="16.5" customHeight="1" x14ac:dyDescent="0.3">
      <c r="A104" s="156">
        <v>89</v>
      </c>
      <c r="B104" s="120" t="s">
        <v>31</v>
      </c>
      <c r="C104" s="86" t="s">
        <v>133</v>
      </c>
      <c r="D104" s="44"/>
      <c r="E104" s="44"/>
      <c r="F104" s="77" t="s">
        <v>208</v>
      </c>
      <c r="G104" s="77"/>
      <c r="H104" s="44">
        <v>610903488</v>
      </c>
      <c r="I104" s="100">
        <v>83245454</v>
      </c>
      <c r="J104" s="77" t="s">
        <v>209</v>
      </c>
      <c r="K104" s="77" t="s">
        <v>210</v>
      </c>
      <c r="L104" s="100">
        <v>17823084</v>
      </c>
      <c r="M104" s="78">
        <v>-95707276</v>
      </c>
      <c r="N104" s="44">
        <v>7688047203</v>
      </c>
      <c r="O104" s="44">
        <v>272737432</v>
      </c>
      <c r="P104" s="224">
        <v>7511017047</v>
      </c>
      <c r="Q104" s="48">
        <f t="shared" si="49"/>
        <v>0.1494820698848949</v>
      </c>
      <c r="R104" s="56">
        <v>7415309771</v>
      </c>
      <c r="S104" s="48">
        <f t="shared" si="50"/>
        <v>0.14773844031548752</v>
      </c>
      <c r="T104" s="49">
        <f>((R104-P104)/P104)</f>
        <v>-1.2742252533992951E-2</v>
      </c>
      <c r="U104" s="87">
        <f>(L104/R104)</f>
        <v>2.4035521846576136E-3</v>
      </c>
      <c r="V104" s="50">
        <f>M104/R104</f>
        <v>-1.2906713132106049E-2</v>
      </c>
      <c r="W104" s="51">
        <f>R104/AB104</f>
        <v>100.00417762643291</v>
      </c>
      <c r="X104" s="51">
        <f>M104/AB104</f>
        <v>-1.2907252326365475</v>
      </c>
      <c r="Y104" s="119">
        <v>100</v>
      </c>
      <c r="Z104" s="119">
        <v>100</v>
      </c>
      <c r="AA104" s="52">
        <v>59</v>
      </c>
      <c r="AB104" s="158">
        <v>74150000</v>
      </c>
      <c r="AC104" s="13"/>
      <c r="AD104" s="4"/>
      <c r="AE104" s="4"/>
      <c r="AF104" s="4"/>
      <c r="AG104" s="5"/>
      <c r="AH104" s="6"/>
      <c r="AI104" s="6"/>
      <c r="AJ104" s="6"/>
      <c r="AK104" s="7"/>
      <c r="AL104" s="5"/>
      <c r="AM104" s="6"/>
      <c r="AN104" s="6"/>
      <c r="AO104" s="6"/>
      <c r="AP104" s="7"/>
      <c r="AQ104" s="5"/>
      <c r="AR104" s="6"/>
      <c r="AS104" s="6"/>
      <c r="AT104" s="6"/>
      <c r="AU104" s="7"/>
    </row>
    <row r="105" spans="1:257" ht="16.5" customHeight="1" x14ac:dyDescent="0.3">
      <c r="A105" s="168"/>
      <c r="B105" s="72"/>
      <c r="C105" s="61" t="s">
        <v>54</v>
      </c>
      <c r="D105" s="62"/>
      <c r="E105" s="62"/>
      <c r="F105" s="62"/>
      <c r="G105" s="62"/>
      <c r="H105" s="62"/>
      <c r="I105" s="62"/>
      <c r="J105" s="62"/>
      <c r="K105" s="62"/>
      <c r="L105" s="62"/>
      <c r="M105" s="124"/>
      <c r="N105" s="62"/>
      <c r="O105" s="62"/>
      <c r="P105" s="123">
        <f>SUM(P101:P104)</f>
        <v>50246943013.190002</v>
      </c>
      <c r="Q105" s="125">
        <f>(P105/$P$146)</f>
        <v>3.888827024404571E-2</v>
      </c>
      <c r="R105" s="63">
        <f>SUM(R101:R104)</f>
        <v>50192148740.470001</v>
      </c>
      <c r="S105" s="125">
        <f>(R105/$R$146)</f>
        <v>3.8558386398994719E-2</v>
      </c>
      <c r="T105" s="64">
        <f>((R105-P105)/P105)</f>
        <v>-1.0904996291141041E-3</v>
      </c>
      <c r="U105" s="79"/>
      <c r="V105" s="65"/>
      <c r="W105" s="66"/>
      <c r="X105" s="66"/>
      <c r="Y105" s="62"/>
      <c r="Z105" s="62"/>
      <c r="AA105" s="67">
        <f>SUM(AA101:AA104)</f>
        <v>36787</v>
      </c>
      <c r="AB105" s="160"/>
      <c r="AC105" s="13"/>
      <c r="AD105" s="4"/>
      <c r="AE105" s="4"/>
      <c r="AF105" s="4"/>
      <c r="AG105" s="5"/>
      <c r="AH105" s="6"/>
      <c r="AI105" s="6"/>
      <c r="AJ105" s="6"/>
      <c r="AK105" s="7"/>
      <c r="AL105" s="5"/>
      <c r="AM105" s="6"/>
      <c r="AN105" s="6"/>
      <c r="AO105" s="6"/>
      <c r="AP105" s="7"/>
      <c r="AQ105" s="5"/>
      <c r="AR105" s="6"/>
      <c r="AS105" s="6"/>
      <c r="AT105" s="6"/>
      <c r="AU105" s="7"/>
    </row>
    <row r="106" spans="1:257" ht="16.5" customHeight="1" x14ac:dyDescent="0.3">
      <c r="A106" s="240" t="s">
        <v>190</v>
      </c>
      <c r="B106" s="241"/>
      <c r="C106" s="241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121"/>
      <c r="Q106" s="49"/>
      <c r="R106" s="73"/>
      <c r="S106" s="49"/>
      <c r="T106" s="49"/>
      <c r="U106" s="49"/>
      <c r="V106" s="74"/>
      <c r="W106" s="75"/>
      <c r="X106" s="75"/>
      <c r="Y106" s="73"/>
      <c r="Z106" s="73"/>
      <c r="AA106" s="73"/>
      <c r="AB106" s="163"/>
      <c r="AC106" s="13"/>
      <c r="AD106" s="4"/>
      <c r="AE106" s="4"/>
      <c r="AF106" s="4"/>
      <c r="AG106" s="5"/>
      <c r="AH106" s="6"/>
      <c r="AI106" s="6"/>
      <c r="AJ106" s="6"/>
      <c r="AK106" s="7"/>
      <c r="AL106" s="5"/>
      <c r="AM106" s="6"/>
      <c r="AN106" s="6"/>
      <c r="AO106" s="6"/>
      <c r="AP106" s="7"/>
      <c r="AQ106" s="5"/>
      <c r="AR106" s="6"/>
      <c r="AS106" s="6"/>
      <c r="AT106" s="6"/>
      <c r="AU106" s="7"/>
    </row>
    <row r="107" spans="1:257" ht="16.5" customHeight="1" x14ac:dyDescent="0.3">
      <c r="A107" s="156">
        <v>90</v>
      </c>
      <c r="B107" s="120" t="s">
        <v>25</v>
      </c>
      <c r="C107" s="86" t="s">
        <v>134</v>
      </c>
      <c r="D107" s="44">
        <v>795003420.79999995</v>
      </c>
      <c r="E107" s="44"/>
      <c r="F107" s="44">
        <v>491969899.14999998</v>
      </c>
      <c r="G107" s="44">
        <v>344953897.57999998</v>
      </c>
      <c r="H107" s="55"/>
      <c r="I107" s="53"/>
      <c r="J107" s="53">
        <v>1631927217.53</v>
      </c>
      <c r="K107" s="53">
        <v>7271333.1900000004</v>
      </c>
      <c r="L107" s="44">
        <v>2080778.44</v>
      </c>
      <c r="M107" s="54">
        <v>23115018.199999999</v>
      </c>
      <c r="N107" s="44">
        <v>1655735319.1099999</v>
      </c>
      <c r="O107" s="44">
        <v>11026597.960000001</v>
      </c>
      <c r="P107" s="224">
        <v>1627640330.01</v>
      </c>
      <c r="Q107" s="48">
        <f>(P107/$P$146)</f>
        <v>1.2597008537797248E-3</v>
      </c>
      <c r="R107" s="111">
        <v>1644708721.1500001</v>
      </c>
      <c r="S107" s="48">
        <f t="shared" ref="S107:S128" si="51">(R107/$R$129)</f>
        <v>5.6040820033422582E-2</v>
      </c>
      <c r="T107" s="49">
        <f t="shared" ref="T107:T129" si="52">((R107-P107)/P107)</f>
        <v>1.0486586517486476E-2</v>
      </c>
      <c r="U107" s="87">
        <f t="shared" ref="U107:U125" si="53">(L107/R107)</f>
        <v>1.2651349222159499E-3</v>
      </c>
      <c r="V107" s="50">
        <f t="shared" ref="V107:V128" si="54">M107/R107</f>
        <v>1.4054171357368191E-2</v>
      </c>
      <c r="W107" s="51">
        <f t="shared" ref="W107:W128" si="55">R107/AB107</f>
        <v>3449.8505334539341</v>
      </c>
      <c r="X107" s="51">
        <f>M107/AB107</f>
        <v>48.484790554469654</v>
      </c>
      <c r="Y107" s="44">
        <v>3427.76</v>
      </c>
      <c r="Z107" s="44">
        <v>3461.94</v>
      </c>
      <c r="AA107" s="52">
        <v>1310</v>
      </c>
      <c r="AB107" s="158">
        <v>476747.82</v>
      </c>
      <c r="AC107" s="13"/>
      <c r="AD107" s="4"/>
      <c r="AE107" s="4"/>
      <c r="AF107" s="4"/>
      <c r="AG107" s="5"/>
      <c r="AH107" s="6"/>
      <c r="AI107" s="6"/>
      <c r="AJ107" s="6"/>
      <c r="AK107" s="7"/>
      <c r="AL107" s="5"/>
      <c r="AM107" s="6"/>
      <c r="AN107" s="6"/>
      <c r="AO107" s="6"/>
      <c r="AP107" s="7"/>
      <c r="AQ107" s="5"/>
      <c r="AR107" s="6"/>
      <c r="AS107" s="6"/>
      <c r="AT107" s="6"/>
      <c r="AU107" s="7"/>
    </row>
    <row r="108" spans="1:257" ht="16.5" customHeight="1" x14ac:dyDescent="0.3">
      <c r="A108" s="156">
        <v>91</v>
      </c>
      <c r="B108" s="120" t="s">
        <v>31</v>
      </c>
      <c r="C108" s="86" t="s">
        <v>180</v>
      </c>
      <c r="D108" s="44">
        <v>103051344.5</v>
      </c>
      <c r="E108" s="44"/>
      <c r="F108" s="44">
        <v>35986306.109999999</v>
      </c>
      <c r="G108" s="44">
        <v>52403083.920000002</v>
      </c>
      <c r="H108" s="55"/>
      <c r="I108" s="53"/>
      <c r="J108" s="53">
        <v>191440734.53</v>
      </c>
      <c r="K108" s="53">
        <v>1041970.24</v>
      </c>
      <c r="L108" s="44">
        <v>488405.2</v>
      </c>
      <c r="M108" s="54">
        <v>553565.04</v>
      </c>
      <c r="N108" s="44">
        <v>194769643.69999999</v>
      </c>
      <c r="O108" s="44">
        <v>2109267.13</v>
      </c>
      <c r="P108" s="224">
        <v>191526741.41</v>
      </c>
      <c r="Q108" s="48">
        <f t="shared" ref="Q108:Q128" si="56">(P108/$P$146)</f>
        <v>1.4823078245692232E-4</v>
      </c>
      <c r="R108" s="111">
        <v>192660376.58000001</v>
      </c>
      <c r="S108" s="48">
        <f t="shared" si="51"/>
        <v>6.5645942972454834E-3</v>
      </c>
      <c r="T108" s="49">
        <f t="shared" si="52"/>
        <v>5.918939369271947E-3</v>
      </c>
      <c r="U108" s="87">
        <f t="shared" si="53"/>
        <v>2.5350578498282718E-3</v>
      </c>
      <c r="V108" s="50">
        <f t="shared" si="54"/>
        <v>2.8732687531633598E-3</v>
      </c>
      <c r="W108" s="51">
        <f t="shared" si="55"/>
        <v>142.67429474262619</v>
      </c>
      <c r="X108" s="51">
        <f t="shared" ref="X108:X128" si="57">M108/AB108</f>
        <v>0.40994159296360727</v>
      </c>
      <c r="Y108" s="44">
        <v>139.85</v>
      </c>
      <c r="Z108" s="44">
        <v>141.44999999999999</v>
      </c>
      <c r="AA108" s="52">
        <v>713</v>
      </c>
      <c r="AB108" s="158">
        <v>1350351</v>
      </c>
      <c r="AC108" s="13"/>
      <c r="AD108" s="4"/>
      <c r="AE108" s="4"/>
      <c r="AF108" s="4"/>
      <c r="AG108" s="5"/>
      <c r="AH108" s="6"/>
      <c r="AI108" s="6"/>
      <c r="AJ108" s="6"/>
      <c r="AK108" s="7"/>
      <c r="AL108" s="5"/>
      <c r="AM108" s="6"/>
      <c r="AN108" s="6"/>
      <c r="AO108" s="6"/>
      <c r="AP108" s="7"/>
      <c r="AQ108" s="5"/>
      <c r="AR108" s="6"/>
      <c r="AS108" s="6"/>
      <c r="AT108" s="6"/>
      <c r="AU108" s="7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31"/>
    </row>
    <row r="109" spans="1:257" ht="16.5" customHeight="1" x14ac:dyDescent="0.3">
      <c r="A109" s="156">
        <v>92</v>
      </c>
      <c r="B109" s="120" t="s">
        <v>35</v>
      </c>
      <c r="C109" s="86" t="s">
        <v>135</v>
      </c>
      <c r="D109" s="44">
        <v>470867223.69999999</v>
      </c>
      <c r="E109" s="44"/>
      <c r="F109" s="44"/>
      <c r="G109" s="44">
        <v>305165547</v>
      </c>
      <c r="H109" s="55"/>
      <c r="I109" s="53"/>
      <c r="J109" s="53">
        <v>776032770</v>
      </c>
      <c r="K109" s="53">
        <v>5312467</v>
      </c>
      <c r="L109" s="44">
        <v>1743020</v>
      </c>
      <c r="M109" s="54">
        <v>18171102</v>
      </c>
      <c r="N109" s="44">
        <v>1052806616</v>
      </c>
      <c r="O109" s="44">
        <v>81813036</v>
      </c>
      <c r="P109" s="224">
        <v>953107486.25</v>
      </c>
      <c r="Q109" s="48">
        <f t="shared" si="56"/>
        <v>7.3765087534148025E-4</v>
      </c>
      <c r="R109" s="111">
        <v>970993579.79999995</v>
      </c>
      <c r="S109" s="48">
        <f t="shared" si="51"/>
        <v>3.3085053760238306E-2</v>
      </c>
      <c r="T109" s="49">
        <f t="shared" si="52"/>
        <v>1.8766082323382813E-2</v>
      </c>
      <c r="U109" s="87">
        <f t="shared" si="53"/>
        <v>1.7950891089918617E-3</v>
      </c>
      <c r="V109" s="50">
        <f t="shared" si="54"/>
        <v>1.8713926001181991E-2</v>
      </c>
      <c r="W109" s="51">
        <f t="shared" si="55"/>
        <v>1.3794107567483098</v>
      </c>
      <c r="X109" s="51">
        <f t="shared" si="57"/>
        <v>2.5814190827022323E-2</v>
      </c>
      <c r="Y109" s="44">
        <v>1.38</v>
      </c>
      <c r="Z109" s="44">
        <v>1.4</v>
      </c>
      <c r="AA109" s="52">
        <v>1326</v>
      </c>
      <c r="AB109" s="158">
        <v>703919101</v>
      </c>
      <c r="AC109" s="13"/>
      <c r="AD109" s="4"/>
      <c r="AE109" s="4"/>
      <c r="AF109" s="4"/>
      <c r="AG109" s="5"/>
      <c r="AH109" s="6"/>
      <c r="AI109" s="6"/>
      <c r="AJ109" s="6"/>
      <c r="AK109" s="7"/>
      <c r="AL109" s="5"/>
      <c r="AM109" s="6"/>
      <c r="AN109" s="6"/>
      <c r="AO109" s="6"/>
      <c r="AP109" s="7"/>
      <c r="AQ109" s="5"/>
      <c r="AR109" s="6"/>
      <c r="AS109" s="6"/>
      <c r="AT109" s="6"/>
      <c r="AU109" s="7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</row>
    <row r="110" spans="1:257" ht="16.5" customHeight="1" x14ac:dyDescent="0.3">
      <c r="A110" s="156">
        <v>93</v>
      </c>
      <c r="B110" s="122" t="s">
        <v>37</v>
      </c>
      <c r="C110" s="86" t="s">
        <v>173</v>
      </c>
      <c r="D110" s="44">
        <v>2582901176.5999999</v>
      </c>
      <c r="E110" s="44"/>
      <c r="F110" s="44"/>
      <c r="G110" s="44">
        <v>443815212.47000003</v>
      </c>
      <c r="H110" s="107">
        <v>58000000</v>
      </c>
      <c r="I110" s="53"/>
      <c r="J110" s="53">
        <v>3084716389.0700002</v>
      </c>
      <c r="K110" s="53">
        <v>20364194.760000002</v>
      </c>
      <c r="L110" s="44">
        <v>15451697.550000001</v>
      </c>
      <c r="M110" s="54">
        <v>3363280.11</v>
      </c>
      <c r="N110" s="44">
        <v>4594770784</v>
      </c>
      <c r="O110" s="44">
        <v>12168505</v>
      </c>
      <c r="P110" s="224">
        <v>4569949021</v>
      </c>
      <c r="Q110" s="48">
        <f t="shared" si="56"/>
        <v>3.536880094048879E-3</v>
      </c>
      <c r="R110" s="111">
        <v>4582602279</v>
      </c>
      <c r="S110" s="48">
        <f t="shared" si="51"/>
        <v>0.15614484577100349</v>
      </c>
      <c r="T110" s="49">
        <f t="shared" si="52"/>
        <v>2.7687963130125252E-3</v>
      </c>
      <c r="U110" s="87">
        <f t="shared" si="53"/>
        <v>3.3718172796291233E-3</v>
      </c>
      <c r="V110" s="50">
        <f t="shared" si="54"/>
        <v>7.3392363230219567E-4</v>
      </c>
      <c r="W110" s="51">
        <f t="shared" si="55"/>
        <v>456.46922524781769</v>
      </c>
      <c r="X110" s="51">
        <f t="shared" si="57"/>
        <v>0.33501355182804748</v>
      </c>
      <c r="Y110" s="44">
        <v>455.77519999999998</v>
      </c>
      <c r="Z110" s="44">
        <v>469.51710000000003</v>
      </c>
      <c r="AA110" s="52">
        <v>35669</v>
      </c>
      <c r="AB110" s="158">
        <v>10039236</v>
      </c>
      <c r="AC110" s="13"/>
      <c r="AD110" s="4"/>
      <c r="AE110" s="4"/>
      <c r="AF110" s="4"/>
      <c r="AG110" s="5"/>
      <c r="AH110" s="6"/>
      <c r="AI110" s="6"/>
      <c r="AJ110" s="6"/>
      <c r="AK110" s="7"/>
      <c r="AL110" s="5"/>
      <c r="AM110" s="6"/>
      <c r="AN110" s="6"/>
      <c r="AO110" s="6"/>
      <c r="AP110" s="7"/>
      <c r="AQ110" s="5"/>
      <c r="AR110" s="6"/>
      <c r="AS110" s="6"/>
      <c r="AT110" s="6"/>
      <c r="AU110" s="7"/>
    </row>
    <row r="111" spans="1:257" ht="16.5" customHeight="1" x14ac:dyDescent="0.3">
      <c r="A111" s="156">
        <v>94</v>
      </c>
      <c r="B111" s="120" t="s">
        <v>77</v>
      </c>
      <c r="C111" s="86" t="s">
        <v>201</v>
      </c>
      <c r="D111" s="44">
        <v>1061514504.95</v>
      </c>
      <c r="E111" s="44"/>
      <c r="F111" s="44">
        <v>355333195</v>
      </c>
      <c r="G111" s="44">
        <v>1071115637.64</v>
      </c>
      <c r="H111" s="55"/>
      <c r="I111" s="53"/>
      <c r="J111" s="53">
        <v>2487963337.5900002</v>
      </c>
      <c r="K111" s="53">
        <v>11717149</v>
      </c>
      <c r="L111" s="44">
        <v>17411308.870000001</v>
      </c>
      <c r="M111" s="54">
        <v>23593028.780000001</v>
      </c>
      <c r="N111" s="44">
        <v>2500679279.9099998</v>
      </c>
      <c r="O111" s="44">
        <v>36951556.259999998</v>
      </c>
      <c r="P111" s="224">
        <v>2433027598.75</v>
      </c>
      <c r="Q111" s="48">
        <f t="shared" si="56"/>
        <v>1.8830246995638026E-3</v>
      </c>
      <c r="R111" s="111">
        <v>2463727723.6500001</v>
      </c>
      <c r="S111" s="48">
        <f t="shared" si="51"/>
        <v>8.3947583056459871E-2</v>
      </c>
      <c r="T111" s="49">
        <f t="shared" si="52"/>
        <v>1.2618075074763924E-2</v>
      </c>
      <c r="U111" s="87">
        <f t="shared" si="53"/>
        <v>7.0670588729688181E-3</v>
      </c>
      <c r="V111" s="50">
        <f t="shared" si="54"/>
        <v>9.576151030620806E-3</v>
      </c>
      <c r="W111" s="51">
        <f t="shared" si="55"/>
        <v>13.249202135365298</v>
      </c>
      <c r="X111" s="51">
        <f t="shared" si="57"/>
        <v>0.12687636068348179</v>
      </c>
      <c r="Y111" s="44">
        <v>13.2492</v>
      </c>
      <c r="Z111" s="44">
        <v>13.3688</v>
      </c>
      <c r="AA111" s="52">
        <v>6438</v>
      </c>
      <c r="AB111" s="158">
        <v>185952912.37</v>
      </c>
      <c r="AC111" s="13"/>
      <c r="AD111" s="4"/>
      <c r="AE111" s="4"/>
      <c r="AF111" s="4"/>
      <c r="AG111" s="5"/>
      <c r="AH111" s="6"/>
      <c r="AI111" s="6"/>
      <c r="AJ111" s="6"/>
      <c r="AK111" s="7"/>
      <c r="AL111" s="5"/>
      <c r="AM111" s="6"/>
      <c r="AN111" s="6"/>
      <c r="AO111" s="6"/>
      <c r="AP111" s="7"/>
      <c r="AQ111" s="5"/>
      <c r="AR111" s="6"/>
      <c r="AS111" s="6"/>
      <c r="AT111" s="6"/>
      <c r="AU111" s="7"/>
    </row>
    <row r="112" spans="1:257" ht="16.5" customHeight="1" x14ac:dyDescent="0.3">
      <c r="A112" s="156">
        <v>95</v>
      </c>
      <c r="B112" s="122" t="s">
        <v>57</v>
      </c>
      <c r="C112" s="85" t="s">
        <v>138</v>
      </c>
      <c r="D112" s="44">
        <v>1725954266.52</v>
      </c>
      <c r="E112" s="44"/>
      <c r="F112" s="44">
        <v>1104170913.03</v>
      </c>
      <c r="G112" s="44">
        <v>1330893006.78</v>
      </c>
      <c r="H112" s="55"/>
      <c r="I112" s="53"/>
      <c r="J112" s="53">
        <v>4139662803.4699998</v>
      </c>
      <c r="K112" s="53">
        <v>95859271.560000002</v>
      </c>
      <c r="L112" s="44">
        <v>13062320.41</v>
      </c>
      <c r="M112" s="54">
        <v>-17363186.170000002</v>
      </c>
      <c r="N112" s="44">
        <v>4165435426.46</v>
      </c>
      <c r="O112" s="44">
        <v>25772622.989999998</v>
      </c>
      <c r="P112" s="224">
        <v>4103222247.3800001</v>
      </c>
      <c r="Q112" s="48">
        <f t="shared" si="56"/>
        <v>3.1756601707213722E-3</v>
      </c>
      <c r="R112" s="111">
        <v>4139662803.4699998</v>
      </c>
      <c r="S112" s="48">
        <f t="shared" si="51"/>
        <v>0.14105239133535183</v>
      </c>
      <c r="T112" s="49">
        <f t="shared" ref="T112:T121" si="58">((R112-P112)/P112)</f>
        <v>8.8809608383430341E-3</v>
      </c>
      <c r="U112" s="87">
        <f t="shared" ref="U112:U121" si="59">(L112/R112)</f>
        <v>3.1554068604454301E-3</v>
      </c>
      <c r="V112" s="50">
        <f>M112/R112</f>
        <v>-4.1943479443411705E-3</v>
      </c>
      <c r="W112" s="51">
        <f t="shared" ref="W112:W121" si="60">R112/AB112</f>
        <v>175.25638823297723</v>
      </c>
      <c r="X112" s="51">
        <f t="shared" ref="X112:X117" si="61">M112/AB112</f>
        <v>-0.73508627171764618</v>
      </c>
      <c r="Y112" s="44">
        <v>173.86</v>
      </c>
      <c r="Z112" s="44">
        <v>175.14</v>
      </c>
      <c r="AA112" s="52">
        <v>5493</v>
      </c>
      <c r="AB112" s="158">
        <v>23620610.039999999</v>
      </c>
      <c r="AC112" s="13"/>
      <c r="AD112" s="4"/>
      <c r="AE112" s="4"/>
      <c r="AF112" s="4"/>
      <c r="AG112" s="5"/>
      <c r="AH112" s="6"/>
      <c r="AI112" s="6"/>
      <c r="AJ112" s="6"/>
      <c r="AK112" s="7"/>
      <c r="AL112" s="5"/>
      <c r="AM112" s="6"/>
      <c r="AN112" s="6"/>
      <c r="AO112" s="6"/>
      <c r="AP112" s="7"/>
      <c r="AQ112" s="5"/>
      <c r="AR112" s="6"/>
      <c r="AS112" s="6"/>
      <c r="AT112" s="6"/>
      <c r="AU112" s="7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</row>
    <row r="113" spans="1:257" ht="16.5" customHeight="1" x14ac:dyDescent="0.3">
      <c r="A113" s="156">
        <v>96</v>
      </c>
      <c r="B113" s="120" t="s">
        <v>90</v>
      </c>
      <c r="C113" s="89" t="s">
        <v>139</v>
      </c>
      <c r="D113" s="44">
        <v>2850181342.0500002</v>
      </c>
      <c r="E113" s="44">
        <v>152330705.93000001</v>
      </c>
      <c r="F113" s="44">
        <v>383112734.24000001</v>
      </c>
      <c r="G113" s="44">
        <v>1105856204.1800001</v>
      </c>
      <c r="H113" s="55"/>
      <c r="I113" s="53"/>
      <c r="J113" s="53">
        <v>4491480986.3999996</v>
      </c>
      <c r="K113" s="53">
        <v>30932657.300000001</v>
      </c>
      <c r="L113" s="44">
        <v>6509566.5999999996</v>
      </c>
      <c r="M113" s="203">
        <v>4943267.8899999997</v>
      </c>
      <c r="N113" s="44">
        <v>5381844327.9099998</v>
      </c>
      <c r="O113" s="44">
        <v>144207045.00999999</v>
      </c>
      <c r="P113" s="224">
        <v>5205564642.4499998</v>
      </c>
      <c r="Q113" s="48">
        <f t="shared" si="56"/>
        <v>4.0288103603696801E-3</v>
      </c>
      <c r="R113" s="111">
        <v>5237637282.8999996</v>
      </c>
      <c r="S113" s="48">
        <f t="shared" si="51"/>
        <v>0.17846411622728525</v>
      </c>
      <c r="T113" s="49">
        <f t="shared" si="58"/>
        <v>6.1612222021903114E-3</v>
      </c>
      <c r="U113" s="87">
        <f t="shared" si="59"/>
        <v>1.2428441009560999E-3</v>
      </c>
      <c r="V113" s="50">
        <f>M113/R113</f>
        <v>9.437972931304223E-4</v>
      </c>
      <c r="W113" s="51">
        <f t="shared" si="60"/>
        <v>181.31400633459049</v>
      </c>
      <c r="X113" s="51">
        <f t="shared" si="61"/>
        <v>0.17112366838521875</v>
      </c>
      <c r="Y113" s="44">
        <v>179.24199999999999</v>
      </c>
      <c r="Z113" s="44">
        <v>182.64599999999999</v>
      </c>
      <c r="AA113" s="52">
        <v>25</v>
      </c>
      <c r="AB113" s="158">
        <v>28887108</v>
      </c>
      <c r="AC113" s="13"/>
      <c r="AD113" s="4"/>
      <c r="AE113" s="4"/>
      <c r="AF113" s="4"/>
      <c r="AG113" s="5"/>
      <c r="AH113" s="6"/>
      <c r="AI113" s="6"/>
      <c r="AJ113" s="6"/>
      <c r="AK113" s="7"/>
      <c r="AL113" s="5"/>
      <c r="AM113" s="6"/>
      <c r="AN113" s="6"/>
      <c r="AO113" s="6"/>
      <c r="AP113" s="7"/>
      <c r="AQ113" s="5"/>
      <c r="AR113" s="6"/>
      <c r="AS113" s="6"/>
      <c r="AT113" s="6"/>
      <c r="AU113" s="7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spans="1:257" ht="16.5" customHeight="1" x14ac:dyDescent="0.3">
      <c r="A114" s="156">
        <v>97</v>
      </c>
      <c r="B114" s="120" t="s">
        <v>85</v>
      </c>
      <c r="C114" s="120" t="s">
        <v>179</v>
      </c>
      <c r="D114" s="44">
        <v>932161723.52999997</v>
      </c>
      <c r="E114" s="44"/>
      <c r="F114" s="44">
        <v>639201545.98000002</v>
      </c>
      <c r="G114" s="44">
        <v>604765673.34000003</v>
      </c>
      <c r="H114" s="55"/>
      <c r="I114" s="53"/>
      <c r="J114" s="53">
        <v>2176128942.8600001</v>
      </c>
      <c r="K114" s="53">
        <v>12908740.58</v>
      </c>
      <c r="L114" s="44">
        <v>5612324.4400000004</v>
      </c>
      <c r="M114" s="54">
        <v>7296416.1399999997</v>
      </c>
      <c r="N114" s="44">
        <v>2184420214.3800001</v>
      </c>
      <c r="O114" s="44">
        <v>36510714.979999997</v>
      </c>
      <c r="P114" s="224">
        <v>2137962040.22</v>
      </c>
      <c r="Q114" s="48">
        <f t="shared" si="56"/>
        <v>1.6546607734874877E-3</v>
      </c>
      <c r="R114" s="111">
        <v>2147909499.4000001</v>
      </c>
      <c r="S114" s="48">
        <f t="shared" si="51"/>
        <v>7.3186582010576082E-2</v>
      </c>
      <c r="T114" s="49">
        <f t="shared" si="58"/>
        <v>4.6527763322572633E-3</v>
      </c>
      <c r="U114" s="87">
        <f t="shared" si="59"/>
        <v>2.6129240741138092E-3</v>
      </c>
      <c r="V114" s="50">
        <f>M114/R114</f>
        <v>3.3969849018490724E-3</v>
      </c>
      <c r="W114" s="51">
        <f t="shared" si="60"/>
        <v>3924.6447053809716</v>
      </c>
      <c r="X114" s="51">
        <f t="shared" si="61"/>
        <v>13.33195880930106</v>
      </c>
      <c r="Y114" s="44">
        <v>3894.84</v>
      </c>
      <c r="Z114" s="44">
        <v>3894.84</v>
      </c>
      <c r="AA114" s="52">
        <v>795</v>
      </c>
      <c r="AB114" s="158">
        <v>547287.63</v>
      </c>
      <c r="AC114" s="13"/>
      <c r="AD114" s="4"/>
      <c r="AE114" s="4"/>
      <c r="AF114" s="4"/>
      <c r="AG114" s="5"/>
      <c r="AH114" s="6"/>
      <c r="AI114" s="6"/>
      <c r="AJ114" s="6"/>
      <c r="AK114" s="7"/>
      <c r="AL114" s="5"/>
      <c r="AM114" s="6"/>
      <c r="AN114" s="6"/>
      <c r="AO114" s="6"/>
      <c r="AP114" s="7"/>
      <c r="AQ114" s="5"/>
      <c r="AR114" s="6"/>
      <c r="AS114" s="6"/>
      <c r="AT114" s="6"/>
      <c r="AU114" s="7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</row>
    <row r="115" spans="1:257" ht="16.5" customHeight="1" x14ac:dyDescent="0.3">
      <c r="A115" s="156">
        <v>98</v>
      </c>
      <c r="B115" s="120" t="s">
        <v>81</v>
      </c>
      <c r="C115" s="69" t="s">
        <v>181</v>
      </c>
      <c r="D115" s="44">
        <v>919107974</v>
      </c>
      <c r="E115" s="44"/>
      <c r="F115" s="44"/>
      <c r="G115" s="44">
        <v>605562044.52999997</v>
      </c>
      <c r="H115" s="55"/>
      <c r="I115" s="53"/>
      <c r="J115" s="53">
        <v>1822501119.53</v>
      </c>
      <c r="K115" s="53">
        <v>7344139.9500000002</v>
      </c>
      <c r="L115" s="44">
        <v>5962504.9299999997</v>
      </c>
      <c r="M115" s="54">
        <v>1381635.02</v>
      </c>
      <c r="N115" s="44">
        <v>1847332934</v>
      </c>
      <c r="O115" s="44">
        <v>105309456</v>
      </c>
      <c r="P115" s="224">
        <v>1679909603</v>
      </c>
      <c r="Q115" s="48">
        <f t="shared" si="56"/>
        <v>1.3001542921702222E-3</v>
      </c>
      <c r="R115" s="111">
        <v>1742021180</v>
      </c>
      <c r="S115" s="48">
        <f t="shared" si="51"/>
        <v>5.9356586480875689E-2</v>
      </c>
      <c r="T115" s="49">
        <f t="shared" si="58"/>
        <v>3.6973166228159243E-2</v>
      </c>
      <c r="U115" s="87">
        <f t="shared" si="59"/>
        <v>3.4227511114417104E-3</v>
      </c>
      <c r="V115" s="50">
        <f>M115/R115</f>
        <v>7.9312182645219047E-4</v>
      </c>
      <c r="W115" s="51">
        <f t="shared" si="60"/>
        <v>1.1968808131788937</v>
      </c>
      <c r="X115" s="51">
        <f t="shared" si="61"/>
        <v>9.4927229659402704E-4</v>
      </c>
      <c r="Y115" s="44">
        <v>1.19</v>
      </c>
      <c r="Z115" s="44">
        <v>1.21</v>
      </c>
      <c r="AA115" s="52">
        <v>10338</v>
      </c>
      <c r="AB115" s="158">
        <v>1455467545.99</v>
      </c>
      <c r="AC115" s="13"/>
      <c r="AD115" s="4"/>
      <c r="AE115" s="4"/>
      <c r="AF115" s="4"/>
      <c r="AG115" s="5"/>
      <c r="AH115" s="6"/>
      <c r="AI115" s="6"/>
      <c r="AJ115" s="6"/>
      <c r="AK115" s="7"/>
      <c r="AL115" s="5"/>
      <c r="AM115" s="6"/>
      <c r="AN115" s="6"/>
      <c r="AO115" s="6"/>
      <c r="AP115" s="7"/>
      <c r="AQ115" s="5"/>
      <c r="AR115" s="6"/>
      <c r="AS115" s="6"/>
      <c r="AT115" s="6"/>
      <c r="AU115" s="7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31"/>
    </row>
    <row r="116" spans="1:257" ht="16.5" customHeight="1" x14ac:dyDescent="0.3">
      <c r="A116" s="156">
        <v>99</v>
      </c>
      <c r="B116" s="122" t="s">
        <v>29</v>
      </c>
      <c r="C116" s="86" t="s">
        <v>141</v>
      </c>
      <c r="D116" s="44">
        <v>240842231.84999999</v>
      </c>
      <c r="E116" s="44"/>
      <c r="F116" s="44">
        <v>927460121.44000006</v>
      </c>
      <c r="G116" s="44"/>
      <c r="H116" s="55"/>
      <c r="I116" s="53"/>
      <c r="J116" s="53">
        <v>1168302353.29</v>
      </c>
      <c r="K116" s="53">
        <v>9118636.6899999995</v>
      </c>
      <c r="L116" s="44">
        <v>1896856.58</v>
      </c>
      <c r="M116" s="54">
        <v>7221780.1100000003</v>
      </c>
      <c r="N116" s="44">
        <v>1176191209.6600001</v>
      </c>
      <c r="O116" s="44">
        <v>38503583.469999999</v>
      </c>
      <c r="P116" s="224">
        <v>1138457662.45</v>
      </c>
      <c r="Q116" s="48">
        <f t="shared" si="56"/>
        <v>8.8110134833751868E-4</v>
      </c>
      <c r="R116" s="111">
        <v>1137687626.1900001</v>
      </c>
      <c r="S116" s="48">
        <f t="shared" si="51"/>
        <v>3.8764886872482751E-2</v>
      </c>
      <c r="T116" s="49">
        <f t="shared" si="58"/>
        <v>-6.7638550417662953E-4</v>
      </c>
      <c r="U116" s="87">
        <f t="shared" si="59"/>
        <v>1.6672912109911746E-3</v>
      </c>
      <c r="V116" s="50">
        <f>M116/R116</f>
        <v>6.3477706391032894E-3</v>
      </c>
      <c r="W116" s="51">
        <f t="shared" si="60"/>
        <v>1525.1526592801126</v>
      </c>
      <c r="X116" s="51">
        <f t="shared" si="61"/>
        <v>9.6813192707286024</v>
      </c>
      <c r="Y116" s="44">
        <v>552.20000000000005</v>
      </c>
      <c r="Z116" s="44">
        <v>552.20000000000005</v>
      </c>
      <c r="AA116" s="52">
        <v>830</v>
      </c>
      <c r="AB116" s="158">
        <v>745950</v>
      </c>
      <c r="AC116" s="13"/>
      <c r="AD116" s="4"/>
      <c r="AE116" s="4"/>
      <c r="AF116" s="4"/>
      <c r="AG116" s="5"/>
      <c r="AH116" s="6"/>
      <c r="AI116" s="6"/>
      <c r="AJ116" s="6"/>
      <c r="AK116" s="7"/>
      <c r="AL116" s="5"/>
      <c r="AM116" s="6"/>
      <c r="AN116" s="6"/>
      <c r="AO116" s="6"/>
      <c r="AP116" s="7"/>
      <c r="AQ116" s="5"/>
      <c r="AR116" s="6"/>
      <c r="AS116" s="6"/>
      <c r="AT116" s="6"/>
      <c r="AU116" s="7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31"/>
    </row>
    <row r="117" spans="1:257" ht="16.5" customHeight="1" x14ac:dyDescent="0.3">
      <c r="A117" s="156">
        <v>100</v>
      </c>
      <c r="B117" s="122" t="s">
        <v>46</v>
      </c>
      <c r="C117" s="86" t="s">
        <v>145</v>
      </c>
      <c r="D117" s="44">
        <v>1117636775.55</v>
      </c>
      <c r="E117" s="44"/>
      <c r="F117" s="44">
        <v>481474498.43000001</v>
      </c>
      <c r="G117" s="44">
        <v>521845114.14999998</v>
      </c>
      <c r="H117" s="55"/>
      <c r="I117" s="53"/>
      <c r="J117" s="53">
        <v>2120956388.1300001</v>
      </c>
      <c r="K117" s="53">
        <v>10455733.32</v>
      </c>
      <c r="L117" s="44">
        <v>3781667.91</v>
      </c>
      <c r="M117" s="54">
        <v>-13760536.289999999</v>
      </c>
      <c r="N117" s="44">
        <v>2124563343.01</v>
      </c>
      <c r="O117" s="44">
        <v>71771542.510000005</v>
      </c>
      <c r="P117" s="224">
        <v>2082605902.21</v>
      </c>
      <c r="Q117" s="48">
        <f t="shared" si="56"/>
        <v>1.611818277496548E-3</v>
      </c>
      <c r="R117" s="111">
        <v>2052791800.5</v>
      </c>
      <c r="S117" s="48">
        <f t="shared" si="51"/>
        <v>6.9945598499330977E-2</v>
      </c>
      <c r="T117" s="49">
        <f t="shared" si="58"/>
        <v>-1.4315767413490086E-2</v>
      </c>
      <c r="U117" s="87">
        <f t="shared" si="59"/>
        <v>1.8422072365443473E-3</v>
      </c>
      <c r="V117" s="50">
        <f ca="1">V117/R117</f>
        <v>0</v>
      </c>
      <c r="W117" s="51">
        <f t="shared" si="60"/>
        <v>2.9406935038476969</v>
      </c>
      <c r="X117" s="51">
        <f t="shared" si="61"/>
        <v>-1.9712432438402795E-2</v>
      </c>
      <c r="Y117" s="44">
        <v>2.85</v>
      </c>
      <c r="Z117" s="44">
        <v>2.92</v>
      </c>
      <c r="AA117" s="52">
        <v>2030</v>
      </c>
      <c r="AB117" s="158">
        <v>698063840.32000005</v>
      </c>
      <c r="AC117" s="13"/>
      <c r="AD117" s="4"/>
      <c r="AE117" s="4"/>
      <c r="AF117" s="4"/>
      <c r="AG117" s="5"/>
      <c r="AH117" s="6"/>
      <c r="AI117" s="6"/>
      <c r="AJ117" s="6"/>
      <c r="AK117" s="7"/>
      <c r="AL117" s="5"/>
      <c r="AM117" s="6"/>
      <c r="AN117" s="6"/>
      <c r="AO117" s="6"/>
      <c r="AP117" s="7"/>
      <c r="AQ117" s="5"/>
      <c r="AR117" s="6"/>
      <c r="AS117" s="6"/>
      <c r="AT117" s="6"/>
      <c r="AU117" s="7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</row>
    <row r="118" spans="1:257" ht="16.5" customHeight="1" x14ac:dyDescent="0.3">
      <c r="A118" s="156">
        <v>101</v>
      </c>
      <c r="B118" s="122" t="s">
        <v>48</v>
      </c>
      <c r="C118" s="85" t="s">
        <v>146</v>
      </c>
      <c r="D118" s="44">
        <v>77629424.780000001</v>
      </c>
      <c r="E118" s="44"/>
      <c r="F118" s="44">
        <v>31802041.079999998</v>
      </c>
      <c r="G118" s="44"/>
      <c r="H118" s="107">
        <v>814800</v>
      </c>
      <c r="I118" s="53"/>
      <c r="J118" s="53">
        <v>162820864.91999999</v>
      </c>
      <c r="K118" s="53">
        <v>511361.22</v>
      </c>
      <c r="L118" s="44">
        <v>176310.18</v>
      </c>
      <c r="M118" s="54">
        <v>335051.03999999998</v>
      </c>
      <c r="N118" s="44">
        <v>163789857.37</v>
      </c>
      <c r="O118" s="44">
        <v>3091259.89</v>
      </c>
      <c r="P118" s="224">
        <v>161915139.71000001</v>
      </c>
      <c r="Q118" s="48">
        <f t="shared" si="56"/>
        <v>1.2531309035043221E-4</v>
      </c>
      <c r="R118" s="111">
        <v>160698597.47999999</v>
      </c>
      <c r="S118" s="48">
        <f t="shared" si="51"/>
        <v>5.4755477764495677E-3</v>
      </c>
      <c r="T118" s="49">
        <f t="shared" si="58"/>
        <v>-7.5134557038885998E-3</v>
      </c>
      <c r="U118" s="87">
        <f t="shared" si="59"/>
        <v>1.0971482188694458E-3</v>
      </c>
      <c r="V118" s="50">
        <f>M117/R118</f>
        <v>-8.5629473472614404E-2</v>
      </c>
      <c r="W118" s="51">
        <f t="shared" si="60"/>
        <v>1.5870394284475002</v>
      </c>
      <c r="X118" s="51">
        <f>M117/AB118</f>
        <v>-0.13589735063823835</v>
      </c>
      <c r="Y118" s="44">
        <v>1.587</v>
      </c>
      <c r="Z118" s="44">
        <v>1.6175999999999999</v>
      </c>
      <c r="AA118" s="52">
        <v>99</v>
      </c>
      <c r="AB118" s="158">
        <v>101256840</v>
      </c>
      <c r="AC118" s="13"/>
      <c r="AD118" s="4"/>
      <c r="AE118" s="4"/>
      <c r="AF118" s="4"/>
      <c r="AG118" s="5"/>
      <c r="AH118" s="6"/>
      <c r="AI118" s="6"/>
      <c r="AJ118" s="6"/>
      <c r="AK118" s="7"/>
      <c r="AL118" s="5"/>
      <c r="AM118" s="6"/>
      <c r="AN118" s="6"/>
      <c r="AO118" s="6"/>
      <c r="AP118" s="7"/>
      <c r="AQ118" s="5"/>
      <c r="AR118" s="6"/>
      <c r="AS118" s="6"/>
      <c r="AT118" s="6"/>
      <c r="AU118" s="7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</row>
    <row r="119" spans="1:257" ht="16.5" customHeight="1" x14ac:dyDescent="0.3">
      <c r="A119" s="156">
        <v>102</v>
      </c>
      <c r="B119" s="120" t="s">
        <v>35</v>
      </c>
      <c r="C119" s="86" t="s">
        <v>140</v>
      </c>
      <c r="D119" s="44">
        <v>257489858</v>
      </c>
      <c r="E119" s="44"/>
      <c r="F119" s="44"/>
      <c r="G119" s="44"/>
      <c r="H119" s="55"/>
      <c r="I119" s="53"/>
      <c r="J119" s="53">
        <v>257489858</v>
      </c>
      <c r="K119" s="53">
        <v>2914621</v>
      </c>
      <c r="L119" s="44">
        <v>1028657</v>
      </c>
      <c r="M119" s="54">
        <v>1169150</v>
      </c>
      <c r="N119" s="44">
        <v>584430472</v>
      </c>
      <c r="O119" s="44">
        <v>4995076</v>
      </c>
      <c r="P119" s="224">
        <v>579538082</v>
      </c>
      <c r="Q119" s="48">
        <f t="shared" si="56"/>
        <v>4.4852944672904414E-4</v>
      </c>
      <c r="R119" s="111">
        <v>579435396</v>
      </c>
      <c r="S119" s="48">
        <f t="shared" si="51"/>
        <v>1.9743334689394793E-2</v>
      </c>
      <c r="T119" s="49">
        <f t="shared" si="58"/>
        <v>-1.7718594030202142E-4</v>
      </c>
      <c r="U119" s="87">
        <f t="shared" si="59"/>
        <v>1.7752747020653187E-3</v>
      </c>
      <c r="V119" s="50">
        <f>M119/R119</f>
        <v>2.0177400415489978E-3</v>
      </c>
      <c r="W119" s="51">
        <f t="shared" si="60"/>
        <v>1.0993798041957212</v>
      </c>
      <c r="X119" s="51">
        <f>M119/AB119</f>
        <v>2.2182626517960034E-3</v>
      </c>
      <c r="Y119" s="44">
        <v>1.1000000000000001</v>
      </c>
      <c r="Z119" s="44">
        <v>1.1200000000000001</v>
      </c>
      <c r="AA119" s="52">
        <v>254</v>
      </c>
      <c r="AB119" s="158">
        <v>527056613</v>
      </c>
      <c r="AC119" s="13"/>
      <c r="AD119" s="4"/>
      <c r="AE119" s="4"/>
      <c r="AF119" s="4"/>
      <c r="AG119" s="5"/>
      <c r="AH119" s="6"/>
      <c r="AI119" s="6"/>
      <c r="AJ119" s="6"/>
      <c r="AK119" s="7"/>
      <c r="AL119" s="5"/>
      <c r="AM119" s="6"/>
      <c r="AN119" s="6"/>
      <c r="AO119" s="6"/>
      <c r="AP119" s="7"/>
      <c r="AQ119" s="5"/>
      <c r="AR119" s="6"/>
      <c r="AS119" s="6"/>
      <c r="AT119" s="6"/>
      <c r="AU119" s="7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</row>
    <row r="120" spans="1:257" ht="16.5" customHeight="1" x14ac:dyDescent="0.3">
      <c r="A120" s="156">
        <v>103</v>
      </c>
      <c r="B120" s="122" t="s">
        <v>75</v>
      </c>
      <c r="C120" s="120" t="s">
        <v>142</v>
      </c>
      <c r="D120" s="44">
        <v>63100596.149999999</v>
      </c>
      <c r="E120" s="44"/>
      <c r="F120" s="44">
        <v>32460600.059999999</v>
      </c>
      <c r="G120" s="44">
        <v>3592071.11</v>
      </c>
      <c r="H120" s="55"/>
      <c r="I120" s="53"/>
      <c r="J120" s="53">
        <v>99153267.319999993</v>
      </c>
      <c r="K120" s="53">
        <v>2475422.4</v>
      </c>
      <c r="L120" s="44">
        <v>1056794.05</v>
      </c>
      <c r="M120" s="54">
        <v>-974100.07</v>
      </c>
      <c r="N120" s="44">
        <v>113937160.61</v>
      </c>
      <c r="O120" s="44">
        <v>1026856.29</v>
      </c>
      <c r="P120" s="224">
        <v>113884004.40000001</v>
      </c>
      <c r="Q120" s="48">
        <f t="shared" si="56"/>
        <v>8.8139728986472428E-5</v>
      </c>
      <c r="R120" s="111">
        <v>112910304.33</v>
      </c>
      <c r="S120" s="48">
        <f t="shared" si="51"/>
        <v>3.8472380935951869E-3</v>
      </c>
      <c r="T120" s="49">
        <f t="shared" si="58"/>
        <v>-8.5499282812363745E-3</v>
      </c>
      <c r="U120" s="87">
        <f t="shared" si="59"/>
        <v>9.3595890673656822E-3</v>
      </c>
      <c r="V120" s="50">
        <f>M120/R120</f>
        <v>-8.6272025904121485E-3</v>
      </c>
      <c r="W120" s="51">
        <f t="shared" si="60"/>
        <v>1.2567184399369375</v>
      </c>
      <c r="X120" s="51">
        <f>M120/AB120</f>
        <v>-1.084196458044266E-2</v>
      </c>
      <c r="Y120" s="44">
        <v>1.2479</v>
      </c>
      <c r="Z120" s="44">
        <v>1.2630999999999999</v>
      </c>
      <c r="AA120" s="52">
        <v>88</v>
      </c>
      <c r="AB120" s="158">
        <v>89845347.010000005</v>
      </c>
      <c r="AC120" s="13"/>
      <c r="AD120" s="4"/>
      <c r="AE120" s="4"/>
      <c r="AF120" s="4"/>
      <c r="AG120" s="5"/>
      <c r="AH120" s="6"/>
      <c r="AI120" s="6"/>
      <c r="AJ120" s="6"/>
      <c r="AK120" s="7"/>
      <c r="AL120" s="5"/>
      <c r="AM120" s="6"/>
      <c r="AN120" s="6"/>
      <c r="AO120" s="6"/>
      <c r="AP120" s="7"/>
      <c r="AQ120" s="5"/>
      <c r="AR120" s="6"/>
      <c r="AS120" s="6"/>
      <c r="AT120" s="6"/>
      <c r="AU120" s="7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</row>
    <row r="121" spans="1:257" ht="16.5" customHeight="1" x14ac:dyDescent="0.3">
      <c r="A121" s="156">
        <v>104</v>
      </c>
      <c r="B121" s="122" t="s">
        <v>66</v>
      </c>
      <c r="C121" s="86" t="s">
        <v>144</v>
      </c>
      <c r="D121" s="44">
        <v>52596544.149999999</v>
      </c>
      <c r="E121" s="44"/>
      <c r="F121" s="44"/>
      <c r="G121" s="44"/>
      <c r="H121" s="55"/>
      <c r="I121" s="53"/>
      <c r="J121" s="53">
        <v>52596544.149999999</v>
      </c>
      <c r="K121" s="53">
        <v>1538175.77</v>
      </c>
      <c r="L121" s="44">
        <v>325515.27</v>
      </c>
      <c r="M121" s="54">
        <v>1212660.5</v>
      </c>
      <c r="N121" s="44">
        <v>223136874.80000001</v>
      </c>
      <c r="O121" s="44">
        <v>3770926.93</v>
      </c>
      <c r="P121" s="224">
        <v>225802615.19999999</v>
      </c>
      <c r="Q121" s="48">
        <f t="shared" si="56"/>
        <v>1.7475835533725505E-4</v>
      </c>
      <c r="R121" s="111">
        <v>221550629.34</v>
      </c>
      <c r="S121" s="48">
        <f t="shared" si="51"/>
        <v>7.5489834689106052E-3</v>
      </c>
      <c r="T121" s="49">
        <f t="shared" si="58"/>
        <v>-1.8830543021983497E-2</v>
      </c>
      <c r="U121" s="87">
        <f t="shared" si="59"/>
        <v>1.4692590626788603E-3</v>
      </c>
      <c r="V121" s="50">
        <f>M121/R121</f>
        <v>5.4735141290842611E-3</v>
      </c>
      <c r="W121" s="51">
        <f t="shared" si="60"/>
        <v>145.19874203391697</v>
      </c>
      <c r="X121" s="51">
        <f>M121/AB121</f>
        <v>0.7947473660479053</v>
      </c>
      <c r="Y121" s="44">
        <v>142.35</v>
      </c>
      <c r="Z121" s="44">
        <v>143.37</v>
      </c>
      <c r="AA121" s="52">
        <v>39</v>
      </c>
      <c r="AB121" s="158">
        <v>1525844</v>
      </c>
      <c r="AC121" s="13"/>
      <c r="AD121" s="4"/>
      <c r="AE121" s="4"/>
      <c r="AF121" s="4"/>
      <c r="AG121" s="5"/>
      <c r="AH121" s="6"/>
      <c r="AI121" s="6"/>
      <c r="AJ121" s="6"/>
      <c r="AK121" s="7"/>
      <c r="AL121" s="5"/>
      <c r="AM121" s="6"/>
      <c r="AN121" s="6"/>
      <c r="AO121" s="6"/>
      <c r="AP121" s="7"/>
      <c r="AQ121" s="5"/>
      <c r="AR121" s="6"/>
      <c r="AS121" s="6"/>
      <c r="AT121" s="6"/>
      <c r="AU121" s="7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spans="1:257" ht="16.5" customHeight="1" x14ac:dyDescent="0.3">
      <c r="A122" s="156">
        <v>105</v>
      </c>
      <c r="B122" s="120" t="s">
        <v>60</v>
      </c>
      <c r="C122" s="120" t="s">
        <v>137</v>
      </c>
      <c r="D122" s="44">
        <v>78764103.430000007</v>
      </c>
      <c r="E122" s="44"/>
      <c r="F122" s="44">
        <v>46065276.619999997</v>
      </c>
      <c r="G122" s="44">
        <v>34722108.079999998</v>
      </c>
      <c r="H122" s="55"/>
      <c r="I122" s="53"/>
      <c r="J122" s="53">
        <v>113486211.51000001</v>
      </c>
      <c r="K122" s="53">
        <v>1141231.8700000001</v>
      </c>
      <c r="L122" s="44">
        <v>340462.29</v>
      </c>
      <c r="M122" s="54">
        <v>167756.47</v>
      </c>
      <c r="N122" s="44">
        <v>160543966.21000001</v>
      </c>
      <c r="O122" s="44">
        <v>9609940.1999999993</v>
      </c>
      <c r="P122" s="224">
        <v>149121610.91999999</v>
      </c>
      <c r="Q122" s="48">
        <f t="shared" si="56"/>
        <v>1.1541162818924362E-4</v>
      </c>
      <c r="R122" s="111">
        <v>150943026.00999999</v>
      </c>
      <c r="S122" s="48">
        <f t="shared" si="51"/>
        <v>5.1431422762883011E-3</v>
      </c>
      <c r="T122" s="49">
        <f t="shared" ref="T122:T123" si="62">((R122-P122)/P122)</f>
        <v>1.2214293278907423E-2</v>
      </c>
      <c r="U122" s="87">
        <f t="shared" ref="U122:U123" si="63">(L122/R122)</f>
        <v>2.2555682034454795E-3</v>
      </c>
      <c r="V122" s="50">
        <f t="shared" ref="V122:V123" si="64">M122/R122</f>
        <v>1.1113893396365734E-3</v>
      </c>
      <c r="W122" s="51">
        <f t="shared" ref="W122:W123" si="65">R122/AB122</f>
        <v>3.4406398693511973</v>
      </c>
      <c r="X122" s="51">
        <f t="shared" ref="X122:X123" si="66">M122/AB122</f>
        <v>3.8238904723254929E-3</v>
      </c>
      <c r="Y122" s="44">
        <v>3.3639999999999999</v>
      </c>
      <c r="Z122" s="44">
        <v>3.4260000000000002</v>
      </c>
      <c r="AA122" s="52">
        <v>11819</v>
      </c>
      <c r="AB122" s="158">
        <v>43870626.32</v>
      </c>
      <c r="AC122" s="13"/>
      <c r="AD122" s="4"/>
      <c r="AE122" s="4"/>
      <c r="AF122" s="4"/>
      <c r="AG122" s="5"/>
      <c r="AH122" s="6"/>
      <c r="AI122" s="6"/>
      <c r="AJ122" s="6"/>
      <c r="AK122" s="7"/>
      <c r="AL122" s="5"/>
      <c r="AM122" s="6"/>
      <c r="AN122" s="6"/>
      <c r="AO122" s="6"/>
      <c r="AP122" s="7"/>
      <c r="AQ122" s="5"/>
      <c r="AR122" s="6"/>
      <c r="AS122" s="6"/>
      <c r="AT122" s="6"/>
      <c r="AU122" s="7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</row>
    <row r="123" spans="1:257" ht="16.5" customHeight="1" x14ac:dyDescent="0.3">
      <c r="A123" s="156">
        <v>106</v>
      </c>
      <c r="B123" s="122" t="s">
        <v>68</v>
      </c>
      <c r="C123" s="86" t="s">
        <v>143</v>
      </c>
      <c r="D123" s="44">
        <v>133543503.03</v>
      </c>
      <c r="E123" s="44"/>
      <c r="F123" s="44"/>
      <c r="G123" s="44">
        <v>128922229.62</v>
      </c>
      <c r="H123" s="55"/>
      <c r="I123" s="53"/>
      <c r="J123" s="53">
        <v>262465732.65000001</v>
      </c>
      <c r="K123" s="53">
        <v>1851733.63</v>
      </c>
      <c r="L123" s="44">
        <v>643685.46</v>
      </c>
      <c r="M123" s="54">
        <v>1208048.17</v>
      </c>
      <c r="N123" s="44">
        <v>349804057.83999997</v>
      </c>
      <c r="O123" s="44">
        <v>7230254.71</v>
      </c>
      <c r="P123" s="224">
        <v>326465794.87</v>
      </c>
      <c r="Q123" s="48">
        <f t="shared" si="56"/>
        <v>2.5266591945721133E-4</v>
      </c>
      <c r="R123" s="111">
        <v>342573803.13</v>
      </c>
      <c r="S123" s="48">
        <f t="shared" si="51"/>
        <v>1.1672654618107644E-2</v>
      </c>
      <c r="T123" s="49">
        <f t="shared" si="62"/>
        <v>4.9340569557721245E-2</v>
      </c>
      <c r="U123" s="87">
        <f t="shared" si="63"/>
        <v>1.8789687189120355E-3</v>
      </c>
      <c r="V123" s="50">
        <f t="shared" si="64"/>
        <v>3.5263880628419492E-3</v>
      </c>
      <c r="W123" s="51">
        <f t="shared" si="65"/>
        <v>133.59391330238523</v>
      </c>
      <c r="X123" s="51">
        <f t="shared" si="66"/>
        <v>0.4711039811378735</v>
      </c>
      <c r="Y123" s="44">
        <v>132.22</v>
      </c>
      <c r="Z123" s="44">
        <v>133.03</v>
      </c>
      <c r="AA123" s="52">
        <f>569+3+29</f>
        <v>601</v>
      </c>
      <c r="AB123" s="158">
        <v>2564292</v>
      </c>
      <c r="AC123" s="13"/>
      <c r="AD123" s="4"/>
      <c r="AE123" s="4"/>
      <c r="AF123" s="4"/>
      <c r="AG123" s="5"/>
      <c r="AH123" s="6"/>
      <c r="AI123" s="6"/>
      <c r="AJ123" s="6"/>
      <c r="AK123" s="7"/>
      <c r="AL123" s="5"/>
      <c r="AM123" s="6"/>
      <c r="AN123" s="6"/>
      <c r="AO123" s="6"/>
      <c r="AP123" s="7"/>
      <c r="AQ123" s="5"/>
      <c r="AR123" s="6"/>
      <c r="AS123" s="6"/>
      <c r="AT123" s="6"/>
      <c r="AU123" s="7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31"/>
    </row>
    <row r="124" spans="1:257" ht="16.5" customHeight="1" x14ac:dyDescent="0.3">
      <c r="A124" s="156">
        <v>107</v>
      </c>
      <c r="B124" s="235" t="s">
        <v>118</v>
      </c>
      <c r="C124" s="90" t="s">
        <v>147</v>
      </c>
      <c r="D124" s="44">
        <v>56393085.369999997</v>
      </c>
      <c r="E124" s="44"/>
      <c r="F124" s="44" t="s">
        <v>216</v>
      </c>
      <c r="G124" s="44">
        <v>25825966.850000001</v>
      </c>
      <c r="H124" s="55"/>
      <c r="I124" s="53"/>
      <c r="J124" s="53">
        <v>135758673.44999999</v>
      </c>
      <c r="K124" s="53">
        <v>2512789.09</v>
      </c>
      <c r="L124" s="44">
        <v>5208758.82</v>
      </c>
      <c r="M124" s="54">
        <v>2695969.73</v>
      </c>
      <c r="N124" s="44">
        <v>135758673.44999999</v>
      </c>
      <c r="O124" s="44">
        <v>5211396.78</v>
      </c>
      <c r="P124" s="224">
        <v>115642220.54000001</v>
      </c>
      <c r="Q124" s="48">
        <f t="shared" si="56"/>
        <v>8.9500488075474412E-5</v>
      </c>
      <c r="R124" s="111">
        <v>130547276.67</v>
      </c>
      <c r="S124" s="48">
        <f t="shared" si="51"/>
        <v>4.4481897272372201E-3</v>
      </c>
      <c r="T124" s="49">
        <f>((R124-P124)/P124)</f>
        <v>0.12888939749167491</v>
      </c>
      <c r="U124" s="87">
        <f>(L124/R124)</f>
        <v>3.9899406198773524E-2</v>
      </c>
      <c r="V124" s="50">
        <f>M124/R124</f>
        <v>2.0651290465560041E-2</v>
      </c>
      <c r="W124" s="51">
        <f>R124/AB124</f>
        <v>136.91774297042772</v>
      </c>
      <c r="X124" s="51">
        <f>M124/AB124</f>
        <v>2.8275280799711946</v>
      </c>
      <c r="Y124" s="44">
        <v>136.9177</v>
      </c>
      <c r="Z124" s="44">
        <v>142.38339999999999</v>
      </c>
      <c r="AA124" s="52">
        <v>127</v>
      </c>
      <c r="AB124" s="158">
        <v>953472.31</v>
      </c>
      <c r="AC124" s="13"/>
      <c r="AD124" s="4"/>
      <c r="AE124" s="4"/>
      <c r="AF124" s="4"/>
      <c r="AG124" s="5"/>
      <c r="AH124" s="6"/>
      <c r="AI124" s="6"/>
      <c r="AJ124" s="6"/>
      <c r="AK124" s="7"/>
      <c r="AL124" s="5"/>
      <c r="AM124" s="6"/>
      <c r="AN124" s="6"/>
      <c r="AO124" s="6"/>
      <c r="AP124" s="7"/>
      <c r="AQ124" s="5"/>
      <c r="AR124" s="6"/>
      <c r="AS124" s="6"/>
      <c r="AT124" s="6"/>
      <c r="AU124" s="7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31"/>
    </row>
    <row r="125" spans="1:257" ht="17.25" customHeight="1" x14ac:dyDescent="0.3">
      <c r="A125" s="156">
        <v>108</v>
      </c>
      <c r="B125" s="120" t="s">
        <v>104</v>
      </c>
      <c r="C125" s="86" t="s">
        <v>136</v>
      </c>
      <c r="D125" s="44">
        <v>488993416.38999999</v>
      </c>
      <c r="E125" s="44"/>
      <c r="F125" s="44">
        <v>223246134.00999999</v>
      </c>
      <c r="G125" s="44">
        <v>427474774.91000003</v>
      </c>
      <c r="H125" s="45">
        <v>26432670.809999999</v>
      </c>
      <c r="I125" s="53"/>
      <c r="J125" s="53">
        <v>1166146996.1199999</v>
      </c>
      <c r="K125" s="53">
        <v>3779625.28</v>
      </c>
      <c r="L125" s="44">
        <v>1817298.32</v>
      </c>
      <c r="M125" s="54">
        <v>10590968.77</v>
      </c>
      <c r="N125" s="44">
        <v>1180575953.26</v>
      </c>
      <c r="O125" s="44">
        <v>55415540.060000002</v>
      </c>
      <c r="P125" s="224">
        <v>1136058576.96</v>
      </c>
      <c r="Q125" s="48">
        <f t="shared" si="56"/>
        <v>8.7924459289571598E-4</v>
      </c>
      <c r="R125" s="111">
        <v>1125160413.1900001</v>
      </c>
      <c r="S125" s="48">
        <f t="shared" si="51"/>
        <v>3.8338042118621123E-2</v>
      </c>
      <c r="T125" s="49">
        <f t="shared" si="52"/>
        <v>-9.5929593693685911E-3</v>
      </c>
      <c r="U125" s="87">
        <f t="shared" si="53"/>
        <v>1.6151459815829142E-3</v>
      </c>
      <c r="V125" s="50">
        <f t="shared" si="54"/>
        <v>9.4128522882999405E-3</v>
      </c>
      <c r="W125" s="51">
        <f t="shared" si="55"/>
        <v>2.2579386573678484</v>
      </c>
      <c r="X125" s="51">
        <f t="shared" si="57"/>
        <v>2.1253643057845849E-2</v>
      </c>
      <c r="Y125" s="44">
        <v>2.1806999999999999</v>
      </c>
      <c r="Z125" s="44">
        <v>2.2235</v>
      </c>
      <c r="AA125" s="52">
        <v>2769</v>
      </c>
      <c r="AB125" s="158">
        <v>498313100.54350001</v>
      </c>
      <c r="AC125" s="39"/>
      <c r="AD125" s="4"/>
      <c r="AE125" s="4"/>
      <c r="AF125" s="4"/>
      <c r="AG125" s="5"/>
      <c r="AH125" s="6"/>
      <c r="AI125" s="6"/>
      <c r="AJ125" s="6"/>
      <c r="AK125" s="7"/>
      <c r="AL125" s="5"/>
      <c r="AM125" s="6"/>
      <c r="AN125" s="6"/>
      <c r="AO125" s="6"/>
      <c r="AP125" s="7"/>
      <c r="AQ125" s="5"/>
      <c r="AR125" s="6"/>
      <c r="AS125" s="6"/>
      <c r="AT125" s="6"/>
      <c r="AU125" s="7"/>
    </row>
    <row r="126" spans="1:257" ht="15.75" customHeight="1" x14ac:dyDescent="0.3">
      <c r="A126" s="156">
        <v>109</v>
      </c>
      <c r="B126" s="122" t="s">
        <v>92</v>
      </c>
      <c r="C126" s="86" t="s">
        <v>202</v>
      </c>
      <c r="D126" s="44">
        <v>8627586.6300000008</v>
      </c>
      <c r="E126" s="44"/>
      <c r="F126" s="44">
        <v>5119811.67</v>
      </c>
      <c r="G126" s="44">
        <v>3773534</v>
      </c>
      <c r="H126" s="55"/>
      <c r="I126" s="53"/>
      <c r="J126" s="53">
        <f>SUM(D126:G126)</f>
        <v>17520932.300000001</v>
      </c>
      <c r="K126" s="53">
        <v>68686.47</v>
      </c>
      <c r="L126" s="44">
        <v>8085.68</v>
      </c>
      <c r="M126" s="54">
        <v>-22811.79</v>
      </c>
      <c r="N126" s="44">
        <v>18103405.350000001</v>
      </c>
      <c r="O126" s="44">
        <v>307750.32</v>
      </c>
      <c r="P126" s="224">
        <v>17622332.920000002</v>
      </c>
      <c r="Q126" s="48">
        <f t="shared" si="56"/>
        <v>1.3638681357065026E-5</v>
      </c>
      <c r="R126" s="111">
        <v>17581807.93</v>
      </c>
      <c r="S126" s="48">
        <f t="shared" si="51"/>
        <v>5.9907199457080707E-4</v>
      </c>
      <c r="T126" s="49">
        <f>((R126-P126)/P126)</f>
        <v>-2.299638202499813E-3</v>
      </c>
      <c r="U126" s="87">
        <f>(L126/R126)</f>
        <v>4.5988899618243075E-4</v>
      </c>
      <c r="V126" s="50">
        <f>M126/R126</f>
        <v>-1.2974655445459641E-3</v>
      </c>
      <c r="W126" s="51">
        <f>R126/AB126</f>
        <v>1.1332046820659212</v>
      </c>
      <c r="X126" s="51">
        <f>M126/AB126</f>
        <v>-1.4702940298986966E-3</v>
      </c>
      <c r="Y126" s="44">
        <v>1.1332</v>
      </c>
      <c r="Z126" s="44">
        <v>1.1332</v>
      </c>
      <c r="AA126" s="52">
        <v>4</v>
      </c>
      <c r="AB126" s="158">
        <v>15515121.15</v>
      </c>
      <c r="AC126" s="145"/>
    </row>
    <row r="127" spans="1:257" ht="15.75" customHeight="1" x14ac:dyDescent="0.3">
      <c r="A127" s="156">
        <v>110</v>
      </c>
      <c r="B127" s="122" t="s">
        <v>164</v>
      </c>
      <c r="C127" s="86" t="s">
        <v>203</v>
      </c>
      <c r="D127" s="44">
        <v>84409258.920000002</v>
      </c>
      <c r="E127" s="44"/>
      <c r="F127" s="44"/>
      <c r="G127" s="44">
        <v>76528530.349999994</v>
      </c>
      <c r="H127" s="55"/>
      <c r="I127" s="53"/>
      <c r="J127" s="53">
        <v>160937789.27000001</v>
      </c>
      <c r="K127" s="53">
        <v>1415982.82</v>
      </c>
      <c r="L127" s="44">
        <v>510934.27</v>
      </c>
      <c r="M127" s="54">
        <v>905048.55</v>
      </c>
      <c r="N127" s="44">
        <v>199906627.41</v>
      </c>
      <c r="O127" s="44">
        <v>171677556.52000001</v>
      </c>
      <c r="P127" s="224">
        <v>186882070.03999999</v>
      </c>
      <c r="Q127" s="48">
        <f t="shared" si="56"/>
        <v>1.4463607152328547E-4</v>
      </c>
      <c r="R127" s="111">
        <v>190138076.78</v>
      </c>
      <c r="S127" s="48">
        <f t="shared" si="51"/>
        <v>6.4786509643352625E-3</v>
      </c>
      <c r="T127" s="49">
        <f>((R127-P127)/P127)</f>
        <v>1.7422788281952883E-2</v>
      </c>
      <c r="U127" s="87">
        <f>(L127/R127)</f>
        <v>2.6871749133719203E-3</v>
      </c>
      <c r="V127" s="50">
        <f>M127/R127</f>
        <v>4.759954267588338E-3</v>
      </c>
      <c r="W127" s="51">
        <f>R127/AB127</f>
        <v>1.1133747419295428</v>
      </c>
      <c r="X127" s="51">
        <f>M127/AB127</f>
        <v>5.2996128542725915E-3</v>
      </c>
      <c r="Y127" s="44">
        <v>1.1100000000000001</v>
      </c>
      <c r="Z127" s="44">
        <v>1.1100000000000001</v>
      </c>
      <c r="AA127" s="52">
        <v>52</v>
      </c>
      <c r="AB127" s="158">
        <v>170776351.94999999</v>
      </c>
      <c r="AC127" s="145"/>
    </row>
    <row r="128" spans="1:257" ht="15.75" customHeight="1" x14ac:dyDescent="0.3">
      <c r="A128" s="156">
        <v>111</v>
      </c>
      <c r="B128" s="122" t="s">
        <v>160</v>
      </c>
      <c r="C128" s="86" t="s">
        <v>162</v>
      </c>
      <c r="D128" s="44">
        <v>591804.75</v>
      </c>
      <c r="E128" s="44"/>
      <c r="F128" s="44"/>
      <c r="G128" s="44">
        <v>913147.91</v>
      </c>
      <c r="H128" s="55"/>
      <c r="I128" s="53"/>
      <c r="J128" s="53">
        <f>SUM(G128,D128)</f>
        <v>1504952.6600000001</v>
      </c>
      <c r="K128" s="53" t="s">
        <v>217</v>
      </c>
      <c r="L128" s="44">
        <v>8697.76</v>
      </c>
      <c r="M128" s="54">
        <v>-8697.76</v>
      </c>
      <c r="N128" s="44">
        <v>4645306.9000000004</v>
      </c>
      <c r="O128" s="44">
        <v>181827.38</v>
      </c>
      <c r="P128" s="224">
        <v>4465897.9000000004</v>
      </c>
      <c r="Q128" s="48">
        <f t="shared" si="56"/>
        <v>3.4563504564233283E-6</v>
      </c>
      <c r="R128" s="111">
        <v>4463479.5199999996</v>
      </c>
      <c r="S128" s="48">
        <f t="shared" si="51"/>
        <v>1.520859282173007E-4</v>
      </c>
      <c r="T128" s="49">
        <f t="shared" si="52"/>
        <v>-5.4152156053563591E-4</v>
      </c>
      <c r="U128" s="87">
        <f>(L128/R128)</f>
        <v>1.948650141896473E-3</v>
      </c>
      <c r="V128" s="50">
        <f t="shared" si="54"/>
        <v>-1.948650141896473E-3</v>
      </c>
      <c r="W128" s="51">
        <f t="shared" si="55"/>
        <v>105.29060954897149</v>
      </c>
      <c r="X128" s="51">
        <f t="shared" si="57"/>
        <v>-0.20517456123796943</v>
      </c>
      <c r="Y128" s="44">
        <v>100.37</v>
      </c>
      <c r="Z128" s="44">
        <v>100.57</v>
      </c>
      <c r="AA128" s="52">
        <v>87</v>
      </c>
      <c r="AB128" s="158">
        <v>42392</v>
      </c>
      <c r="AC128" s="145"/>
    </row>
    <row r="129" spans="1:257" ht="15.75" customHeight="1" x14ac:dyDescent="0.3">
      <c r="A129" s="167"/>
      <c r="B129" s="84"/>
      <c r="C129" s="109" t="s">
        <v>54</v>
      </c>
      <c r="D129" s="62"/>
      <c r="E129" s="62"/>
      <c r="F129" s="62"/>
      <c r="G129" s="62"/>
      <c r="H129" s="62"/>
      <c r="I129" s="62"/>
      <c r="J129" s="62"/>
      <c r="K129" s="62"/>
      <c r="L129" s="62"/>
      <c r="M129" s="126"/>
      <c r="N129" s="62"/>
      <c r="O129" s="62"/>
      <c r="P129" s="123">
        <f t="shared" ref="P129:R129" si="67">SUM(P107:P128)</f>
        <v>29140371620.59</v>
      </c>
      <c r="Q129" s="125">
        <f>(P129/$P$146)</f>
        <v>2.2552986881131262E-2</v>
      </c>
      <c r="R129" s="225">
        <f t="shared" si="67"/>
        <v>29348405683.019997</v>
      </c>
      <c r="S129" s="125">
        <f>(R129/$R$146)</f>
        <v>2.2545900004633693E-2</v>
      </c>
      <c r="T129" s="64">
        <f t="shared" si="52"/>
        <v>7.1390325812799114E-3</v>
      </c>
      <c r="U129" s="79"/>
      <c r="V129" s="65"/>
      <c r="W129" s="66"/>
      <c r="X129" s="66"/>
      <c r="Y129" s="62"/>
      <c r="Z129" s="62"/>
      <c r="AA129" s="67">
        <f>SUM(AA107:AA128)</f>
        <v>80906</v>
      </c>
      <c r="AB129" s="169"/>
      <c r="AC129" s="145"/>
    </row>
    <row r="130" spans="1:257" ht="15.75" customHeight="1" x14ac:dyDescent="0.3">
      <c r="A130" s="240" t="s">
        <v>148</v>
      </c>
      <c r="B130" s="241"/>
      <c r="C130" s="241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121"/>
      <c r="Q130" s="49"/>
      <c r="R130" s="73"/>
      <c r="S130" s="49"/>
      <c r="T130" s="49"/>
      <c r="U130" s="49"/>
      <c r="V130" s="74"/>
      <c r="W130" s="75"/>
      <c r="X130" s="75"/>
      <c r="Y130" s="73"/>
      <c r="Z130" s="73"/>
      <c r="AA130" s="73"/>
      <c r="AB130" s="163"/>
      <c r="AC130" s="145"/>
    </row>
    <row r="131" spans="1:257" ht="15.75" customHeight="1" x14ac:dyDescent="0.3">
      <c r="A131" s="156">
        <v>112</v>
      </c>
      <c r="B131" s="120" t="s">
        <v>77</v>
      </c>
      <c r="C131" s="85" t="s">
        <v>191</v>
      </c>
      <c r="D131" s="44">
        <v>281152701.60000002</v>
      </c>
      <c r="E131" s="44"/>
      <c r="F131" s="44">
        <v>29234758.760000002</v>
      </c>
      <c r="G131" s="44">
        <v>238827566.87</v>
      </c>
      <c r="H131" s="55"/>
      <c r="I131" s="44"/>
      <c r="J131" s="44">
        <v>549215027.23000002</v>
      </c>
      <c r="K131" s="44">
        <v>2595978.71</v>
      </c>
      <c r="L131" s="45">
        <v>4434826.07</v>
      </c>
      <c r="M131" s="54">
        <v>-262339.26</v>
      </c>
      <c r="N131" s="44">
        <v>561358004.66999996</v>
      </c>
      <c r="O131" s="44">
        <v>9070505.0399999991</v>
      </c>
      <c r="P131" s="224">
        <v>550025421.37</v>
      </c>
      <c r="Q131" s="48">
        <f>(P131/$P$134)</f>
        <v>0.2180796142278642</v>
      </c>
      <c r="R131" s="56">
        <v>552287499.63</v>
      </c>
      <c r="S131" s="48">
        <f>(R131/$R$134)</f>
        <v>0.21834927172698987</v>
      </c>
      <c r="T131" s="49">
        <f t="shared" ref="T131:T145" si="68">((R131-P131)/P131)</f>
        <v>4.1126794728244005E-3</v>
      </c>
      <c r="U131" s="87">
        <f t="shared" ref="U131:U145" si="69">(L131/R131)</f>
        <v>8.0299229531196562E-3</v>
      </c>
      <c r="V131" s="50">
        <f t="shared" ref="V131:V144" si="70">M131/R131</f>
        <v>-4.7500488454971701E-4</v>
      </c>
      <c r="W131" s="51">
        <f t="shared" ref="W131:W144" si="71">R131/AB131</f>
        <v>14.690620598018192</v>
      </c>
      <c r="X131" s="51">
        <f t="shared" ref="X131:X144" si="72">M131/AB131</f>
        <v>-6.9781165411253255E-3</v>
      </c>
      <c r="Y131" s="44">
        <v>14.6907</v>
      </c>
      <c r="Z131" s="44">
        <v>14.847300000000001</v>
      </c>
      <c r="AA131" s="52">
        <v>1541</v>
      </c>
      <c r="AB131" s="158">
        <v>37594565.590000004</v>
      </c>
      <c r="AC131" s="145"/>
    </row>
    <row r="132" spans="1:257" ht="15.75" customHeight="1" x14ac:dyDescent="0.3">
      <c r="A132" s="156">
        <v>113</v>
      </c>
      <c r="B132" s="120" t="s">
        <v>25</v>
      </c>
      <c r="C132" s="85" t="s">
        <v>149</v>
      </c>
      <c r="D132" s="44">
        <v>1173804810.8499999</v>
      </c>
      <c r="E132" s="44"/>
      <c r="F132" s="44">
        <v>369542131.24000001</v>
      </c>
      <c r="G132" s="44">
        <v>11444108.33</v>
      </c>
      <c r="H132" s="55"/>
      <c r="I132" s="44"/>
      <c r="J132" s="44">
        <v>1554791050.4200001</v>
      </c>
      <c r="K132" s="44">
        <v>4074753.17</v>
      </c>
      <c r="L132" s="45">
        <v>4751834.55</v>
      </c>
      <c r="M132" s="46">
        <v>19396555.780000001</v>
      </c>
      <c r="N132" s="44">
        <v>1589947260.6400001</v>
      </c>
      <c r="O132" s="44">
        <v>22012964.440000001</v>
      </c>
      <c r="P132" s="224">
        <v>1559096176.6199999</v>
      </c>
      <c r="Q132" s="48">
        <f t="shared" ref="Q132:Q133" si="73">(P132/$P$134)</f>
        <v>0.61816614202038145</v>
      </c>
      <c r="R132" s="56">
        <v>1567934296.2</v>
      </c>
      <c r="S132" s="48">
        <f>(R132/$R$134)</f>
        <v>0.61988966239576238</v>
      </c>
      <c r="T132" s="49">
        <f>((R132-P132)/P132)</f>
        <v>5.6687455928219402E-3</v>
      </c>
      <c r="U132" s="87">
        <f t="shared" si="69"/>
        <v>3.0306337207601161E-3</v>
      </c>
      <c r="V132" s="50">
        <f t="shared" si="70"/>
        <v>1.2370770782301867E-2</v>
      </c>
      <c r="W132" s="51">
        <f t="shared" si="71"/>
        <v>1.2900887182779996</v>
      </c>
      <c r="X132" s="51">
        <f>M132/AB132</f>
        <v>1.5959391822650743E-2</v>
      </c>
      <c r="Y132" s="44">
        <v>1.28</v>
      </c>
      <c r="Z132" s="44">
        <v>1.3</v>
      </c>
      <c r="AA132" s="52">
        <v>9469</v>
      </c>
      <c r="AB132" s="158">
        <v>1215369357.1500001</v>
      </c>
      <c r="AC132" s="145"/>
    </row>
    <row r="133" spans="1:257" ht="15.75" customHeight="1" x14ac:dyDescent="0.3">
      <c r="A133" s="156">
        <v>114</v>
      </c>
      <c r="B133" s="122" t="s">
        <v>37</v>
      </c>
      <c r="C133" s="85" t="s">
        <v>150</v>
      </c>
      <c r="D133" s="44">
        <v>166540276.34999999</v>
      </c>
      <c r="E133" s="44"/>
      <c r="F133" s="44">
        <v>99206432.659999996</v>
      </c>
      <c r="G133" s="44">
        <v>149803223.61000001</v>
      </c>
      <c r="H133" s="45">
        <v>1350962.15</v>
      </c>
      <c r="I133" s="44"/>
      <c r="J133" s="44">
        <v>416900894.76999998</v>
      </c>
      <c r="K133" s="44">
        <v>1032536.64</v>
      </c>
      <c r="L133" s="45">
        <v>5184337.18</v>
      </c>
      <c r="M133" s="210">
        <v>-7919561.6900000004</v>
      </c>
      <c r="N133" s="44">
        <v>419889974</v>
      </c>
      <c r="O133" s="44">
        <v>10735348</v>
      </c>
      <c r="P133" s="224">
        <v>413009704</v>
      </c>
      <c r="Q133" s="48">
        <f t="shared" si="73"/>
        <v>0.16375424375175435</v>
      </c>
      <c r="R133" s="56">
        <v>409154626</v>
      </c>
      <c r="S133" s="48">
        <f t="shared" ref="S133" si="74">(R133/$R$134)</f>
        <v>0.16176106587724781</v>
      </c>
      <c r="T133" s="49">
        <f t="shared" si="68"/>
        <v>-9.3341099801374158E-3</v>
      </c>
      <c r="U133" s="87">
        <f t="shared" si="69"/>
        <v>1.2670850701807779E-2</v>
      </c>
      <c r="V133" s="50">
        <f t="shared" si="70"/>
        <v>-1.9355913844659796E-2</v>
      </c>
      <c r="W133" s="51">
        <f t="shared" si="71"/>
        <v>35.114893103543864</v>
      </c>
      <c r="X133" s="51">
        <f t="shared" si="72"/>
        <v>-0.67968084557663344</v>
      </c>
      <c r="Y133" s="44">
        <v>39.354100000000003</v>
      </c>
      <c r="Z133" s="44">
        <v>40.540700000000001</v>
      </c>
      <c r="AA133" s="52">
        <v>2092</v>
      </c>
      <c r="AB133" s="158">
        <v>11651883</v>
      </c>
      <c r="AC133" s="145"/>
    </row>
    <row r="134" spans="1:257" ht="15" customHeight="1" x14ac:dyDescent="0.3">
      <c r="A134" s="156"/>
      <c r="B134" s="122"/>
      <c r="C134" s="109" t="s">
        <v>54</v>
      </c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192">
        <f>SUM(P131:P133)</f>
        <v>2522131301.9899998</v>
      </c>
      <c r="Q134" s="125">
        <f>(P134/$P$146)</f>
        <v>1.9519858877187269E-3</v>
      </c>
      <c r="R134" s="63">
        <f>SUM(R131:R133)</f>
        <v>2529376421.8299999</v>
      </c>
      <c r="S134" s="125">
        <f>(R134/$R$146)</f>
        <v>1.9431061604021406E-3</v>
      </c>
      <c r="T134" s="64">
        <f t="shared" si="68"/>
        <v>2.872618025193075E-3</v>
      </c>
      <c r="U134" s="79"/>
      <c r="V134" s="65"/>
      <c r="W134" s="66"/>
      <c r="X134" s="66"/>
      <c r="Y134" s="62"/>
      <c r="Z134" s="62"/>
      <c r="AA134" s="67">
        <f>SUM(AA131:AA133)</f>
        <v>13102</v>
      </c>
      <c r="AB134" s="169"/>
      <c r="AC134" s="145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</row>
    <row r="135" spans="1:257" ht="15.75" customHeight="1" x14ac:dyDescent="0.3">
      <c r="A135" s="240" t="s">
        <v>192</v>
      </c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49"/>
      <c r="U135" s="241"/>
      <c r="V135" s="241"/>
      <c r="W135" s="241"/>
      <c r="X135" s="241"/>
      <c r="Y135" s="241"/>
      <c r="Z135" s="241"/>
      <c r="AA135" s="241"/>
      <c r="AB135" s="245"/>
      <c r="AC135" s="145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  <c r="DM135" s="31"/>
      <c r="DN135" s="31"/>
      <c r="DO135" s="31"/>
      <c r="DP135" s="31"/>
      <c r="DQ135" s="31"/>
      <c r="DR135" s="31"/>
      <c r="DS135" s="31"/>
      <c r="DT135" s="31"/>
      <c r="DU135" s="31"/>
      <c r="DV135" s="31"/>
      <c r="DW135" s="31"/>
      <c r="DX135" s="31"/>
      <c r="DY135" s="31"/>
      <c r="DZ135" s="31"/>
      <c r="EA135" s="31"/>
      <c r="EB135" s="31"/>
      <c r="EC135" s="31"/>
      <c r="ED135" s="31"/>
      <c r="EE135" s="31"/>
      <c r="EF135" s="31"/>
      <c r="EG135" s="31"/>
      <c r="EH135" s="31"/>
      <c r="EI135" s="31"/>
      <c r="EJ135" s="31"/>
      <c r="EK135" s="31"/>
      <c r="EL135" s="31"/>
      <c r="EM135" s="31"/>
      <c r="EN135" s="31"/>
      <c r="EO135" s="31"/>
      <c r="EP135" s="31"/>
      <c r="EQ135" s="31"/>
      <c r="ER135" s="31"/>
      <c r="ES135" s="31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31"/>
    </row>
    <row r="136" spans="1:257" ht="15.75" customHeight="1" x14ac:dyDescent="0.3">
      <c r="A136" s="246" t="s">
        <v>193</v>
      </c>
      <c r="B136" s="247"/>
      <c r="C136" s="247"/>
      <c r="D136" s="152"/>
      <c r="E136" s="152"/>
      <c r="F136" s="152"/>
      <c r="G136" s="152"/>
      <c r="H136" s="152"/>
      <c r="I136" s="152"/>
      <c r="J136" s="152"/>
      <c r="K136" s="152"/>
      <c r="L136" s="132"/>
      <c r="M136" s="132"/>
      <c r="N136" s="132"/>
      <c r="O136" s="138"/>
      <c r="P136" s="133"/>
      <c r="Q136" s="134"/>
      <c r="R136" s="132"/>
      <c r="S136" s="134"/>
      <c r="T136" s="134"/>
      <c r="U136" s="139"/>
      <c r="V136" s="136"/>
      <c r="W136" s="137"/>
      <c r="X136" s="137"/>
      <c r="Y136" s="132"/>
      <c r="Z136" s="132"/>
      <c r="AA136" s="140"/>
      <c r="AB136" s="166"/>
      <c r="AC136" s="145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31"/>
    </row>
    <row r="137" spans="1:257" ht="15.75" customHeight="1" x14ac:dyDescent="0.3">
      <c r="A137" s="156">
        <v>115</v>
      </c>
      <c r="B137" s="120" t="s">
        <v>111</v>
      </c>
      <c r="C137" s="85" t="s">
        <v>172</v>
      </c>
      <c r="D137" s="45">
        <v>1248465314.75</v>
      </c>
      <c r="E137" s="191"/>
      <c r="F137" s="45"/>
      <c r="G137" s="44">
        <v>748533290.94000006</v>
      </c>
      <c r="H137" s="44"/>
      <c r="I137" s="45">
        <f>1434.36+959457175.31</f>
        <v>959458609.66999996</v>
      </c>
      <c r="J137" s="53">
        <v>2956457215.3600001</v>
      </c>
      <c r="K137" s="53">
        <v>45595835.259999998</v>
      </c>
      <c r="L137" s="45">
        <v>21298708.73</v>
      </c>
      <c r="M137" s="46">
        <v>62845187.780000001</v>
      </c>
      <c r="N137" s="45">
        <v>3182520106.1900001</v>
      </c>
      <c r="O137" s="45">
        <v>149068355.63</v>
      </c>
      <c r="P137" s="224">
        <v>2974567112.3400002</v>
      </c>
      <c r="Q137" s="48">
        <f>(P137/$P$145)</f>
        <v>0.16901861436756671</v>
      </c>
      <c r="R137" s="47">
        <v>3033451750.5599999</v>
      </c>
      <c r="S137" s="48">
        <f>(R137/$R$145)</f>
        <v>0.16922104993058268</v>
      </c>
      <c r="T137" s="49">
        <f>((R137-P137)/P137)</f>
        <v>1.9796036194885871E-2</v>
      </c>
      <c r="U137" s="87">
        <f>(L137/R137)</f>
        <v>7.0212782273751627E-3</v>
      </c>
      <c r="V137" s="50">
        <f>M137/R137</f>
        <v>2.0717384994964325E-2</v>
      </c>
      <c r="W137" s="51">
        <f>R137/AB137</f>
        <v>1.5340308485205381</v>
      </c>
      <c r="X137" s="51">
        <f>M137/AB137</f>
        <v>3.1781107682951781E-2</v>
      </c>
      <c r="Y137" s="53">
        <v>1.52</v>
      </c>
      <c r="Z137" s="53">
        <v>1.54</v>
      </c>
      <c r="AA137" s="57">
        <f>SUM(14894,221,22)</f>
        <v>15137</v>
      </c>
      <c r="AB137" s="165">
        <v>1977438559</v>
      </c>
      <c r="AC137" s="145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spans="1:257" ht="15.75" customHeight="1" x14ac:dyDescent="0.3">
      <c r="A138" s="156">
        <v>116</v>
      </c>
      <c r="B138" s="120" t="s">
        <v>25</v>
      </c>
      <c r="C138" s="86" t="s">
        <v>151</v>
      </c>
      <c r="D138" s="81">
        <v>189438876.40000001</v>
      </c>
      <c r="E138" s="81"/>
      <c r="F138" s="81">
        <v>36220785.75</v>
      </c>
      <c r="G138" s="81">
        <v>23955546.960000001</v>
      </c>
      <c r="H138" s="81"/>
      <c r="I138" s="81"/>
      <c r="J138" s="81">
        <v>249615209.11000001</v>
      </c>
      <c r="K138" s="81">
        <v>2475205.2000000002</v>
      </c>
      <c r="L138" s="81">
        <v>708213.08</v>
      </c>
      <c r="M138" s="46">
        <v>422221.06</v>
      </c>
      <c r="N138" s="44">
        <v>257618973.56999999</v>
      </c>
      <c r="O138" s="44">
        <v>4610680.0999999996</v>
      </c>
      <c r="P138" s="224">
        <v>272889815.52999997</v>
      </c>
      <c r="Q138" s="48">
        <f>(P138/$P$145)</f>
        <v>1.550593977340709E-2</v>
      </c>
      <c r="R138" s="56">
        <v>253008293.47</v>
      </c>
      <c r="S138" s="48">
        <f>(R138/$R$145)</f>
        <v>1.4114062982618567E-2</v>
      </c>
      <c r="T138" s="49">
        <f t="shared" si="68"/>
        <v>-7.2855493054537646E-2</v>
      </c>
      <c r="U138" s="87">
        <f t="shared" si="69"/>
        <v>2.7991694275586072E-3</v>
      </c>
      <c r="V138" s="50">
        <f t="shared" si="70"/>
        <v>1.6688032404363223E-3</v>
      </c>
      <c r="W138" s="51">
        <f t="shared" si="71"/>
        <v>242.57933250990737</v>
      </c>
      <c r="X138" s="51">
        <f t="shared" si="72"/>
        <v>0.40481717615541352</v>
      </c>
      <c r="Y138" s="44">
        <v>240.17</v>
      </c>
      <c r="Z138" s="44">
        <v>243.9</v>
      </c>
      <c r="AA138" s="52">
        <v>449</v>
      </c>
      <c r="AB138" s="158">
        <v>1042991.96</v>
      </c>
      <c r="AC138" s="145"/>
    </row>
    <row r="139" spans="1:257" ht="4.5" customHeight="1" x14ac:dyDescent="0.3">
      <c r="A139" s="156"/>
      <c r="B139" s="120"/>
      <c r="C139" s="86"/>
      <c r="D139" s="81"/>
      <c r="E139" s="81"/>
      <c r="F139" s="81"/>
      <c r="G139" s="81"/>
      <c r="H139" s="81"/>
      <c r="I139" s="81"/>
      <c r="J139" s="81"/>
      <c r="K139" s="81"/>
      <c r="L139" s="81"/>
      <c r="M139" s="46"/>
      <c r="N139" s="44"/>
      <c r="O139" s="44"/>
      <c r="P139" s="112"/>
      <c r="Q139" s="48"/>
      <c r="R139" s="56"/>
      <c r="S139" s="48"/>
      <c r="T139" s="49"/>
      <c r="U139" s="87"/>
      <c r="V139" s="50"/>
      <c r="W139" s="51"/>
      <c r="X139" s="51"/>
      <c r="Y139" s="44"/>
      <c r="Z139" s="44"/>
      <c r="AA139" s="52"/>
      <c r="AB139" s="158"/>
      <c r="AC139" s="145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  <c r="DB139" s="31"/>
      <c r="DC139" s="31"/>
      <c r="DD139" s="31"/>
      <c r="DE139" s="31"/>
      <c r="DF139" s="31"/>
      <c r="DG139" s="31"/>
      <c r="DH139" s="31"/>
      <c r="DI139" s="31"/>
      <c r="DJ139" s="31"/>
      <c r="DK139" s="31"/>
      <c r="DL139" s="31"/>
      <c r="DM139" s="31"/>
      <c r="DN139" s="31"/>
      <c r="DO139" s="31"/>
      <c r="DP139" s="31"/>
      <c r="DQ139" s="31"/>
      <c r="DR139" s="31"/>
      <c r="DS139" s="31"/>
      <c r="DT139" s="31"/>
      <c r="DU139" s="31"/>
      <c r="DV139" s="31"/>
      <c r="DW139" s="31"/>
      <c r="DX139" s="31"/>
      <c r="DY139" s="31"/>
      <c r="DZ139" s="31"/>
      <c r="EA139" s="31"/>
      <c r="EB139" s="31"/>
      <c r="EC139" s="31"/>
      <c r="ED139" s="31"/>
      <c r="EE139" s="31"/>
      <c r="EF139" s="31"/>
      <c r="EG139" s="31"/>
      <c r="EH139" s="31"/>
      <c r="EI139" s="31"/>
      <c r="EJ139" s="31"/>
      <c r="EK139" s="31"/>
      <c r="EL139" s="31"/>
      <c r="EM139" s="31"/>
      <c r="EN139" s="31"/>
      <c r="EO139" s="31"/>
      <c r="EP139" s="31"/>
      <c r="EQ139" s="31"/>
      <c r="ER139" s="31"/>
      <c r="ES139" s="31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31"/>
    </row>
    <row r="140" spans="1:257" ht="15.75" customHeight="1" x14ac:dyDescent="0.3">
      <c r="A140" s="246" t="s">
        <v>194</v>
      </c>
      <c r="B140" s="247"/>
      <c r="C140" s="247"/>
      <c r="D140" s="152"/>
      <c r="E140" s="152"/>
      <c r="F140" s="152"/>
      <c r="G140" s="152"/>
      <c r="H140" s="152"/>
      <c r="I140" s="152"/>
      <c r="J140" s="152"/>
      <c r="K140" s="152"/>
      <c r="L140" s="132"/>
      <c r="M140" s="141"/>
      <c r="N140" s="132"/>
      <c r="O140" s="132"/>
      <c r="P140" s="133"/>
      <c r="Q140" s="134"/>
      <c r="R140" s="132"/>
      <c r="S140" s="134"/>
      <c r="T140" s="134"/>
      <c r="U140" s="139"/>
      <c r="V140" s="136"/>
      <c r="W140" s="137"/>
      <c r="X140" s="137"/>
      <c r="Y140" s="132"/>
      <c r="Z140" s="132"/>
      <c r="AA140" s="140"/>
      <c r="AB140" s="166"/>
      <c r="AC140" s="145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  <c r="DB140" s="31"/>
      <c r="DC140" s="31"/>
      <c r="DD140" s="31"/>
      <c r="DE140" s="31"/>
      <c r="DF140" s="31"/>
      <c r="DG140" s="31"/>
      <c r="DH140" s="31"/>
      <c r="DI140" s="31"/>
      <c r="DJ140" s="31"/>
      <c r="DK140" s="31"/>
      <c r="DL140" s="31"/>
      <c r="DM140" s="31"/>
      <c r="DN140" s="31"/>
      <c r="DO140" s="31"/>
      <c r="DP140" s="31"/>
      <c r="DQ140" s="31"/>
      <c r="DR140" s="31"/>
      <c r="DS140" s="31"/>
      <c r="DT140" s="31"/>
      <c r="DU140" s="31"/>
      <c r="DV140" s="31"/>
      <c r="DW140" s="31"/>
      <c r="DX140" s="31"/>
      <c r="DY140" s="31"/>
      <c r="DZ140" s="31"/>
      <c r="EA140" s="31"/>
      <c r="EB140" s="31"/>
      <c r="EC140" s="31"/>
      <c r="ED140" s="31"/>
      <c r="EE140" s="31"/>
      <c r="EF140" s="31"/>
      <c r="EG140" s="31"/>
      <c r="EH140" s="31"/>
      <c r="EI140" s="31"/>
      <c r="EJ140" s="31"/>
      <c r="EK140" s="31"/>
      <c r="EL140" s="31"/>
      <c r="EM140" s="31"/>
      <c r="EN140" s="31"/>
      <c r="EO140" s="31"/>
      <c r="EP140" s="31"/>
      <c r="EQ140" s="31"/>
      <c r="ER140" s="31"/>
      <c r="ES140" s="31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31"/>
    </row>
    <row r="141" spans="1:257" ht="15.75" customHeight="1" x14ac:dyDescent="0.3">
      <c r="A141" s="156">
        <v>117</v>
      </c>
      <c r="B141" s="122" t="s">
        <v>25</v>
      </c>
      <c r="C141" s="85" t="s">
        <v>121</v>
      </c>
      <c r="D141" s="104"/>
      <c r="E141" s="104"/>
      <c r="F141" s="104">
        <v>30655326.399999999</v>
      </c>
      <c r="G141" s="104">
        <v>7347673977.1099997</v>
      </c>
      <c r="H141" s="104"/>
      <c r="I141" s="81"/>
      <c r="J141" s="81">
        <v>7378329303.5100002</v>
      </c>
      <c r="K141" s="81">
        <v>36793736.509999998</v>
      </c>
      <c r="L141" s="81">
        <v>11073734.970000001</v>
      </c>
      <c r="M141" s="54">
        <v>25720001.539999999</v>
      </c>
      <c r="N141" s="44">
        <v>7427262932.6899996</v>
      </c>
      <c r="O141" s="44">
        <v>37447927.530000001</v>
      </c>
      <c r="P141" s="224">
        <v>7729238255.7299995</v>
      </c>
      <c r="Q141" s="48">
        <f>(P141/$P$145)</f>
        <v>0.43918496062191043</v>
      </c>
      <c r="R141" s="56">
        <v>7389815005.1599998</v>
      </c>
      <c r="S141" s="48">
        <f>(R141/$R$145)</f>
        <v>0.41224069370316985</v>
      </c>
      <c r="T141" s="49">
        <f>((R141-P141)/P141)</f>
        <v>-4.3914191714606726E-2</v>
      </c>
      <c r="U141" s="87">
        <f>(L141/R141)</f>
        <v>1.4985131511773533E-3</v>
      </c>
      <c r="V141" s="50">
        <f>M141/R141</f>
        <v>3.4804662257500079E-3</v>
      </c>
      <c r="W141" s="51">
        <f>R141/AB141</f>
        <v>116.93700869824089</v>
      </c>
      <c r="X141" s="51">
        <f>M141/AB141</f>
        <v>0.40699530931446232</v>
      </c>
      <c r="Y141" s="44">
        <v>116.94</v>
      </c>
      <c r="Z141" s="44">
        <v>116.94</v>
      </c>
      <c r="AA141" s="52">
        <v>962</v>
      </c>
      <c r="AB141" s="158">
        <v>63194835.299999997</v>
      </c>
      <c r="AC141" s="145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</row>
    <row r="142" spans="1:257" ht="15.75" customHeight="1" x14ac:dyDescent="0.3">
      <c r="A142" s="156">
        <v>118</v>
      </c>
      <c r="B142" s="120" t="s">
        <v>57</v>
      </c>
      <c r="C142" s="86" t="s">
        <v>195</v>
      </c>
      <c r="D142" s="104"/>
      <c r="E142" s="104"/>
      <c r="F142" s="104">
        <v>385742027.39999998</v>
      </c>
      <c r="G142" s="104">
        <v>4739898485.8800001</v>
      </c>
      <c r="H142" s="104"/>
      <c r="I142" s="81"/>
      <c r="J142" s="81">
        <v>5118654249.7700005</v>
      </c>
      <c r="K142" s="81">
        <v>49072583.189999998</v>
      </c>
      <c r="L142" s="81">
        <v>7585531.6299999999</v>
      </c>
      <c r="M142" s="54">
        <v>41487051.560000002</v>
      </c>
      <c r="N142" s="44">
        <v>5131495269.4899998</v>
      </c>
      <c r="O142" s="44">
        <v>12841019.710000001</v>
      </c>
      <c r="P142" s="224">
        <v>4472420503.96</v>
      </c>
      <c r="Q142" s="48">
        <f t="shared" ref="Q142:Q144" si="75">(P142/$P$145)</f>
        <v>0.25412851278845511</v>
      </c>
      <c r="R142" s="56">
        <v>5118654249.7700005</v>
      </c>
      <c r="S142" s="48">
        <f t="shared" ref="S142:S144" si="76">(R142/$R$145)</f>
        <v>0.28554403287206193</v>
      </c>
      <c r="T142" s="49">
        <f>((R142-P142)/P142)</f>
        <v>0.14449306482648666</v>
      </c>
      <c r="U142" s="87">
        <f t="shared" si="69"/>
        <v>1.4819386619717176E-3</v>
      </c>
      <c r="V142" s="50">
        <f>M142/R142</f>
        <v>8.105070109367939E-3</v>
      </c>
      <c r="W142" s="51">
        <f>R142/AB142</f>
        <v>114.29105187022958</v>
      </c>
      <c r="X142" s="51">
        <f>M142/AB142</f>
        <v>0.92633698828161837</v>
      </c>
      <c r="Y142" s="44">
        <v>115.63</v>
      </c>
      <c r="Z142" s="44">
        <v>115.63</v>
      </c>
      <c r="AA142" s="52">
        <v>388</v>
      </c>
      <c r="AB142" s="158">
        <v>44786133</v>
      </c>
      <c r="AC142" s="145"/>
    </row>
    <row r="143" spans="1:257" ht="15.75" customHeight="1" x14ac:dyDescent="0.3">
      <c r="A143" s="156">
        <v>119</v>
      </c>
      <c r="B143" s="120" t="s">
        <v>35</v>
      </c>
      <c r="C143" s="86" t="s">
        <v>163</v>
      </c>
      <c r="D143" s="104"/>
      <c r="E143" s="104"/>
      <c r="F143" s="104"/>
      <c r="G143" s="104">
        <v>1452220748</v>
      </c>
      <c r="H143" s="104"/>
      <c r="I143" s="81"/>
      <c r="J143" s="81">
        <v>1452220748</v>
      </c>
      <c r="K143" s="81">
        <v>11484229</v>
      </c>
      <c r="L143" s="81">
        <v>3448144</v>
      </c>
      <c r="M143" s="54">
        <v>8036084</v>
      </c>
      <c r="N143" s="44">
        <v>1858891847</v>
      </c>
      <c r="O143" s="44">
        <v>14478605.060000001</v>
      </c>
      <c r="P143" s="224">
        <v>1853608166</v>
      </c>
      <c r="Q143" s="48">
        <f t="shared" si="75"/>
        <v>0.10532432853776415</v>
      </c>
      <c r="R143" s="56">
        <v>1844413242</v>
      </c>
      <c r="S143" s="48">
        <f t="shared" si="76"/>
        <v>0.10289055867115446</v>
      </c>
      <c r="T143" s="49">
        <f>((R143-P143)/P143)</f>
        <v>-4.9605543224608348E-3</v>
      </c>
      <c r="U143" s="87">
        <f t="shared" si="69"/>
        <v>1.8695072890828877E-3</v>
      </c>
      <c r="V143" s="50">
        <f>M143/R143</f>
        <v>4.3569867191400264E-3</v>
      </c>
      <c r="W143" s="51">
        <f>R143/AB143</f>
        <v>1.0777700996461599</v>
      </c>
      <c r="X143" s="51">
        <f>M143/AB143</f>
        <v>4.6958300104445426E-3</v>
      </c>
      <c r="Y143" s="44">
        <v>1.08</v>
      </c>
      <c r="Z143" s="44">
        <v>1.08</v>
      </c>
      <c r="AA143" s="52">
        <v>224</v>
      </c>
      <c r="AB143" s="158">
        <v>1711323447</v>
      </c>
      <c r="AC143" s="145"/>
    </row>
    <row r="144" spans="1:257" ht="15.75" customHeight="1" x14ac:dyDescent="0.3">
      <c r="A144" s="156">
        <v>120</v>
      </c>
      <c r="B144" s="120" t="s">
        <v>196</v>
      </c>
      <c r="C144" s="86" t="s">
        <v>159</v>
      </c>
      <c r="D144" s="104"/>
      <c r="E144" s="104"/>
      <c r="F144" s="104"/>
      <c r="G144" s="104">
        <v>230590340.06999999</v>
      </c>
      <c r="H144" s="104"/>
      <c r="I144" s="81">
        <f>670048.5618+2695204.85+52575936.97</f>
        <v>55941190.381799996</v>
      </c>
      <c r="J144" s="81">
        <v>286531530.44999999</v>
      </c>
      <c r="K144" s="81">
        <v>538100.39</v>
      </c>
      <c r="L144" s="81">
        <v>137715.96</v>
      </c>
      <c r="M144" s="54">
        <v>400384.43</v>
      </c>
      <c r="N144" s="44">
        <v>292042098.31</v>
      </c>
      <c r="O144" s="44">
        <v>5412948.3600000003</v>
      </c>
      <c r="P144" s="224">
        <v>296326543.75999999</v>
      </c>
      <c r="Q144" s="48">
        <f t="shared" si="75"/>
        <v>1.6837643910896746E-2</v>
      </c>
      <c r="R144" s="56">
        <v>286629149.94</v>
      </c>
      <c r="S144" s="48">
        <f t="shared" si="76"/>
        <v>1.5989601840412669E-2</v>
      </c>
      <c r="T144" s="49">
        <f>((R144-P144)/P144)</f>
        <v>-3.2725363367562779E-2</v>
      </c>
      <c r="U144" s="87">
        <f t="shared" si="69"/>
        <v>4.8046739150162511E-4</v>
      </c>
      <c r="V144" s="50">
        <f t="shared" si="70"/>
        <v>1.3968726840372389E-3</v>
      </c>
      <c r="W144" s="51">
        <f t="shared" si="71"/>
        <v>101.89363895709349</v>
      </c>
      <c r="X144" s="51">
        <f t="shared" si="72"/>
        <v>0.14233244093631656</v>
      </c>
      <c r="Y144" s="44">
        <v>101.9</v>
      </c>
      <c r="Z144" s="44">
        <v>101.92</v>
      </c>
      <c r="AA144" s="52">
        <v>193</v>
      </c>
      <c r="AB144" s="158">
        <v>2813023</v>
      </c>
      <c r="AC144" s="145"/>
    </row>
    <row r="145" spans="1:29" ht="15.75" customHeight="1" x14ac:dyDescent="0.3">
      <c r="A145" s="170"/>
      <c r="B145" s="81"/>
      <c r="C145" s="109" t="s">
        <v>54</v>
      </c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192">
        <f t="shared" ref="P145" si="77">SUM(P137:P144)</f>
        <v>17599050397.319996</v>
      </c>
      <c r="Q145" s="125">
        <f>(P145/$P$146)</f>
        <v>1.3620662011416365E-2</v>
      </c>
      <c r="R145" s="63">
        <f>SUM(R137:R144)</f>
        <v>17925971690.899998</v>
      </c>
      <c r="S145" s="125">
        <f>(R145/$R$146)</f>
        <v>1.3771009219173956E-2</v>
      </c>
      <c r="T145" s="64">
        <f t="shared" si="68"/>
        <v>1.8576075765416627E-2</v>
      </c>
      <c r="U145" s="87">
        <f t="shared" si="69"/>
        <v>0</v>
      </c>
      <c r="V145" s="65"/>
      <c r="W145" s="66"/>
      <c r="X145" s="66"/>
      <c r="Y145" s="62"/>
      <c r="Z145" s="62"/>
      <c r="AA145" s="67">
        <f>SUM(AA137:AA144)</f>
        <v>17353</v>
      </c>
      <c r="AB145" s="160"/>
      <c r="AC145" s="145"/>
    </row>
    <row r="146" spans="1:29" ht="15.75" customHeight="1" thickBot="1" x14ac:dyDescent="0.35">
      <c r="A146" s="171"/>
      <c r="B146" s="172"/>
      <c r="C146" s="173" t="s">
        <v>152</v>
      </c>
      <c r="D146" s="174"/>
      <c r="E146" s="174">
        <f>SUM(E20,E51,E79,E99,E105,E129,E134,E145)</f>
        <v>0</v>
      </c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>
        <f>SUM(P20,P51,P79,P99,P105,P129,P134,P145)</f>
        <v>1292084803408.9006</v>
      </c>
      <c r="Q146" s="175"/>
      <c r="R146" s="174">
        <f>SUM(R20,R51,R79,R99,R105,R129,R134,R145)</f>
        <v>1301718080759.1729</v>
      </c>
      <c r="S146" s="175"/>
      <c r="T146" s="176"/>
      <c r="U146" s="177"/>
      <c r="V146" s="178"/>
      <c r="W146" s="179"/>
      <c r="X146" s="179"/>
      <c r="Y146" s="174"/>
      <c r="Z146" s="174"/>
      <c r="AA146" s="181">
        <f>SUM(AA20,AA51,AA79,AA99,AA105,AA129,AA134,AA145)</f>
        <v>493643</v>
      </c>
      <c r="AB146" s="180"/>
      <c r="AC146" s="145"/>
    </row>
    <row r="147" spans="1:29" ht="15.75" customHeight="1" x14ac:dyDescent="0.3">
      <c r="A147" s="199"/>
      <c r="B147" s="199"/>
      <c r="C147" s="199"/>
      <c r="D147" s="6"/>
      <c r="E147" s="6"/>
      <c r="F147" s="6"/>
      <c r="G147" s="6"/>
      <c r="H147" s="6"/>
      <c r="I147" s="200"/>
      <c r="J147" s="6"/>
      <c r="K147" s="6"/>
      <c r="L147" s="6"/>
      <c r="M147" s="6"/>
      <c r="N147" s="6"/>
      <c r="O147" s="6"/>
      <c r="P147" s="143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9" ht="15.75" customHeight="1" x14ac:dyDescent="0.3">
      <c r="A148" s="193" t="s">
        <v>169</v>
      </c>
      <c r="B148" s="194" t="s">
        <v>170</v>
      </c>
      <c r="C148" s="195"/>
      <c r="D148" s="6"/>
      <c r="E148" s="6"/>
      <c r="F148" s="6"/>
      <c r="G148" s="6"/>
      <c r="H148" s="196"/>
      <c r="I148" s="6"/>
      <c r="J148" s="6"/>
      <c r="K148" s="6"/>
      <c r="L148" s="6"/>
      <c r="M148" s="6"/>
      <c r="N148" s="6"/>
      <c r="O148" s="6"/>
      <c r="P148" s="144"/>
      <c r="Q148" s="6"/>
      <c r="R148" s="197"/>
      <c r="S148" s="6"/>
      <c r="T148" s="6"/>
      <c r="U148" s="6"/>
      <c r="V148" s="6"/>
      <c r="W148" s="6"/>
      <c r="X148" s="6"/>
      <c r="Y148" s="6"/>
      <c r="Z148" s="6"/>
      <c r="AA148" s="6"/>
      <c r="AB148" s="198"/>
    </row>
    <row r="151" spans="1:29" ht="15.75" customHeight="1" x14ac:dyDescent="0.25">
      <c r="E151" s="105"/>
    </row>
  </sheetData>
  <mergeCells count="24">
    <mergeCell ref="A140:C140"/>
    <mergeCell ref="R135:S135"/>
    <mergeCell ref="U135:V135"/>
    <mergeCell ref="W135:X135"/>
    <mergeCell ref="Y135:Z135"/>
    <mergeCell ref="AA135:AB135"/>
    <mergeCell ref="J135:K135"/>
    <mergeCell ref="A136:C136"/>
    <mergeCell ref="L135:M135"/>
    <mergeCell ref="N135:O135"/>
    <mergeCell ref="P135:Q135"/>
    <mergeCell ref="A135:C135"/>
    <mergeCell ref="D135:F135"/>
    <mergeCell ref="G135:I135"/>
    <mergeCell ref="A1:AB1"/>
    <mergeCell ref="A3:C3"/>
    <mergeCell ref="A21:C21"/>
    <mergeCell ref="A52:C52"/>
    <mergeCell ref="A80:C80"/>
    <mergeCell ref="A81:C81"/>
    <mergeCell ref="A91:C91"/>
    <mergeCell ref="A100:C100"/>
    <mergeCell ref="A106:C106"/>
    <mergeCell ref="A130:C130"/>
  </mergeCells>
  <phoneticPr fontId="16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1" manualBreakCount="1"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P1" sqref="P1"/>
    </sheetView>
  </sheetViews>
  <sheetFormatPr defaultColWidth="10" defaultRowHeight="12.95" customHeight="1" x14ac:dyDescent="0.25"/>
  <cols>
    <col min="1" max="256" width="10" style="26" customWidth="1"/>
  </cols>
  <sheetData>
    <row r="1" spans="1:12" ht="12.9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3"/>
      <c r="L1" s="9"/>
    </row>
    <row r="2" spans="1:12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28"/>
    </row>
    <row r="3" spans="1:12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7"/>
      <c r="L3" s="28"/>
    </row>
    <row r="4" spans="1:12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28"/>
    </row>
    <row r="5" spans="1:12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28"/>
    </row>
    <row r="6" spans="1:12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28"/>
    </row>
    <row r="7" spans="1:12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28"/>
    </row>
    <row r="8" spans="1:12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28"/>
    </row>
    <row r="9" spans="1:12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28"/>
    </row>
    <row r="10" spans="1:12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28"/>
    </row>
    <row r="11" spans="1:12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  <c r="L11" s="28"/>
    </row>
    <row r="12" spans="1:12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  <c r="L12" s="28"/>
    </row>
    <row r="13" spans="1:12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28"/>
    </row>
    <row r="14" spans="1:12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28"/>
    </row>
    <row r="15" spans="1:12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28"/>
    </row>
    <row r="16" spans="1:12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28"/>
    </row>
    <row r="17" spans="1:12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28"/>
    </row>
    <row r="18" spans="1:12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28"/>
    </row>
    <row r="19" spans="1:12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28"/>
    </row>
    <row r="20" spans="1:12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28"/>
    </row>
    <row r="21" spans="1:12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28"/>
    </row>
    <row r="22" spans="1:12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28"/>
    </row>
    <row r="23" spans="1:12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28"/>
    </row>
    <row r="24" spans="1:12" ht="12.9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O1" sqref="O1"/>
    </sheetView>
  </sheetViews>
  <sheetFormatPr defaultColWidth="10" defaultRowHeight="12.95" customHeight="1" x14ac:dyDescent="0.25"/>
  <cols>
    <col min="1" max="256" width="10" style="29" customWidth="1"/>
  </cols>
  <sheetData>
    <row r="1" spans="1:14" ht="12.9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4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12.9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R1" sqref="R1"/>
    </sheetView>
  </sheetViews>
  <sheetFormatPr defaultColWidth="8.85546875" defaultRowHeight="15" customHeight="1" x14ac:dyDescent="0.25"/>
  <cols>
    <col min="1" max="3" width="8.85546875" style="30" customWidth="1"/>
    <col min="4" max="4" width="10.42578125" style="30" customWidth="1"/>
    <col min="5" max="256" width="8.85546875" style="30" customWidth="1"/>
  </cols>
  <sheetData>
    <row r="1" spans="1:14" ht="1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9"/>
    </row>
    <row r="2" spans="1:14" ht="1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28"/>
    </row>
    <row r="3" spans="1:14" ht="1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28"/>
    </row>
    <row r="4" spans="1:14" ht="1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28"/>
    </row>
    <row r="5" spans="1:14" ht="1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28"/>
    </row>
    <row r="6" spans="1:14" ht="1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28"/>
    </row>
    <row r="7" spans="1:14" ht="1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28"/>
    </row>
    <row r="8" spans="1:14" ht="1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28"/>
    </row>
    <row r="9" spans="1:14" ht="1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28"/>
    </row>
    <row r="10" spans="1:14" ht="1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28"/>
    </row>
    <row r="11" spans="1:14" ht="1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28"/>
    </row>
    <row r="12" spans="1:14" ht="1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28"/>
    </row>
    <row r="13" spans="1:14" ht="1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28"/>
    </row>
    <row r="14" spans="1:14" ht="1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28"/>
    </row>
    <row r="15" spans="1:14" ht="1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28"/>
    </row>
    <row r="16" spans="1:14" ht="1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28"/>
    </row>
    <row r="17" spans="1:14" ht="1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28"/>
    </row>
    <row r="18" spans="1:14" ht="1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28"/>
    </row>
    <row r="19" spans="1:14" ht="1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28"/>
    </row>
    <row r="20" spans="1:14" ht="1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28"/>
    </row>
    <row r="21" spans="1:14" ht="1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28"/>
    </row>
    <row r="22" spans="1:14" ht="15" customHeight="1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  <c r="N22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DECEMBER 2021</vt:lpstr>
      <vt:lpstr>Market Share</vt:lpstr>
      <vt:lpstr>Unit Holders</vt:lpstr>
      <vt:lpstr>NAV Comparison Oct - Dec '21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2022-02-08T08:34:48Z</dcterms:modified>
</cp:coreProperties>
</file>