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0" yWindow="0" windowWidth="28800" windowHeight="10464"/>
  </bookViews>
  <sheets>
    <sheet name="May" sheetId="7" r:id="rId1"/>
    <sheet name="NAV Comparison" sheetId="2" r:id="rId2"/>
    <sheet name="Market Share" sheetId="3" r:id="rId3"/>
    <sheet name="Unitholders" sheetId="6" r:id="rId4"/>
  </sheets>
  <definedNames>
    <definedName name="_Hlk34300669" localSheetId="0">May!$K$69</definedName>
    <definedName name="Component">"Group"</definedName>
    <definedName name="FX_RATE">May!$C$249</definedName>
    <definedName name="pbCountingPages">FALSE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1" i="7" l="1"/>
  <c r="M241" i="7"/>
  <c r="N241" i="7"/>
  <c r="O241" i="7"/>
  <c r="P241" i="7"/>
  <c r="Q241" i="7"/>
  <c r="L242" i="7"/>
  <c r="M242" i="7"/>
  <c r="N242" i="7"/>
  <c r="O242" i="7"/>
  <c r="P242" i="7"/>
  <c r="Q242" i="7"/>
  <c r="L243" i="7"/>
  <c r="M243" i="7"/>
  <c r="N243" i="7"/>
  <c r="O243" i="7"/>
  <c r="P243" i="7"/>
  <c r="Q243" i="7"/>
  <c r="L244" i="7"/>
  <c r="M244" i="7"/>
  <c r="N244" i="7"/>
  <c r="O244" i="7"/>
  <c r="P244" i="7"/>
  <c r="Q244" i="7"/>
  <c r="L245" i="7"/>
  <c r="M245" i="7"/>
  <c r="N245" i="7"/>
  <c r="O245" i="7"/>
  <c r="P245" i="7"/>
  <c r="Q245" i="7"/>
  <c r="J241" i="7"/>
  <c r="J242" i="7"/>
  <c r="J243" i="7"/>
  <c r="J244" i="7"/>
  <c r="J245" i="7"/>
  <c r="L233" i="7"/>
  <c r="M233" i="7"/>
  <c r="N233" i="7"/>
  <c r="O233" i="7"/>
  <c r="P233" i="7"/>
  <c r="Q233" i="7"/>
  <c r="L234" i="7"/>
  <c r="M234" i="7"/>
  <c r="N234" i="7"/>
  <c r="O234" i="7"/>
  <c r="P234" i="7"/>
  <c r="Q234" i="7"/>
  <c r="L235" i="7"/>
  <c r="M235" i="7"/>
  <c r="N235" i="7"/>
  <c r="O235" i="7"/>
  <c r="P235" i="7"/>
  <c r="Q235" i="7"/>
  <c r="J233" i="7"/>
  <c r="J234" i="7"/>
  <c r="J235" i="7"/>
  <c r="L217" i="7"/>
  <c r="M217" i="7"/>
  <c r="N217" i="7"/>
  <c r="O217" i="7"/>
  <c r="P217" i="7"/>
  <c r="Q217" i="7"/>
  <c r="L218" i="7"/>
  <c r="M218" i="7"/>
  <c r="N218" i="7"/>
  <c r="O218" i="7"/>
  <c r="P218" i="7"/>
  <c r="Q218" i="7"/>
  <c r="L219" i="7"/>
  <c r="M219" i="7"/>
  <c r="N219" i="7"/>
  <c r="O219" i="7"/>
  <c r="P219" i="7"/>
  <c r="Q219" i="7"/>
  <c r="L220" i="7"/>
  <c r="M220" i="7"/>
  <c r="N220" i="7"/>
  <c r="O220" i="7"/>
  <c r="P220" i="7"/>
  <c r="Q220" i="7"/>
  <c r="L221" i="7"/>
  <c r="M221" i="7"/>
  <c r="N221" i="7"/>
  <c r="O221" i="7"/>
  <c r="P221" i="7"/>
  <c r="Q221" i="7"/>
  <c r="L222" i="7"/>
  <c r="M222" i="7"/>
  <c r="N222" i="7"/>
  <c r="O222" i="7"/>
  <c r="P222" i="7"/>
  <c r="Q222" i="7"/>
  <c r="L223" i="7"/>
  <c r="M223" i="7"/>
  <c r="N223" i="7"/>
  <c r="O223" i="7"/>
  <c r="P223" i="7"/>
  <c r="Q223" i="7"/>
  <c r="L224" i="7"/>
  <c r="M224" i="7"/>
  <c r="N224" i="7"/>
  <c r="O224" i="7"/>
  <c r="P224" i="7"/>
  <c r="Q224" i="7"/>
  <c r="L225" i="7"/>
  <c r="M225" i="7"/>
  <c r="N225" i="7"/>
  <c r="O225" i="7"/>
  <c r="P225" i="7"/>
  <c r="Q225" i="7"/>
  <c r="L226" i="7"/>
  <c r="M226" i="7"/>
  <c r="N226" i="7"/>
  <c r="O226" i="7"/>
  <c r="P226" i="7"/>
  <c r="Q226" i="7"/>
  <c r="L227" i="7"/>
  <c r="M227" i="7"/>
  <c r="N227" i="7"/>
  <c r="O227" i="7"/>
  <c r="P227" i="7"/>
  <c r="Q227" i="7"/>
  <c r="L228" i="7"/>
  <c r="M228" i="7"/>
  <c r="N228" i="7"/>
  <c r="O228" i="7"/>
  <c r="P228" i="7"/>
  <c r="Q228" i="7"/>
  <c r="L229" i="7"/>
  <c r="M229" i="7"/>
  <c r="N229" i="7"/>
  <c r="O229" i="7"/>
  <c r="P229" i="7"/>
  <c r="Q229" i="7"/>
  <c r="J217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L213" i="7"/>
  <c r="M213" i="7"/>
  <c r="N213" i="7"/>
  <c r="O213" i="7"/>
  <c r="P213" i="7"/>
  <c r="Q213" i="7"/>
  <c r="J213" i="7"/>
  <c r="L206" i="7"/>
  <c r="M206" i="7"/>
  <c r="N206" i="7"/>
  <c r="O206" i="7"/>
  <c r="P206" i="7"/>
  <c r="Q206" i="7"/>
  <c r="L207" i="7"/>
  <c r="M207" i="7"/>
  <c r="N207" i="7"/>
  <c r="O207" i="7"/>
  <c r="P207" i="7"/>
  <c r="Q207" i="7"/>
  <c r="J206" i="7"/>
  <c r="J207" i="7"/>
  <c r="L173" i="7"/>
  <c r="M173" i="7"/>
  <c r="N173" i="7"/>
  <c r="O173" i="7"/>
  <c r="P173" i="7"/>
  <c r="Q173" i="7"/>
  <c r="L174" i="7"/>
  <c r="M174" i="7"/>
  <c r="N174" i="7"/>
  <c r="O174" i="7"/>
  <c r="P174" i="7"/>
  <c r="Q174" i="7"/>
  <c r="L175" i="7"/>
  <c r="M175" i="7"/>
  <c r="N175" i="7"/>
  <c r="O175" i="7"/>
  <c r="P175" i="7"/>
  <c r="Q175" i="7"/>
  <c r="L176" i="7"/>
  <c r="M176" i="7"/>
  <c r="N176" i="7"/>
  <c r="O176" i="7"/>
  <c r="P176" i="7"/>
  <c r="Q176" i="7"/>
  <c r="L177" i="7"/>
  <c r="M177" i="7"/>
  <c r="N177" i="7"/>
  <c r="O177" i="7"/>
  <c r="P177" i="7"/>
  <c r="Q177" i="7"/>
  <c r="L178" i="7"/>
  <c r="M178" i="7"/>
  <c r="N178" i="7"/>
  <c r="O178" i="7"/>
  <c r="P178" i="7"/>
  <c r="Q178" i="7"/>
  <c r="L179" i="7"/>
  <c r="M179" i="7"/>
  <c r="N179" i="7"/>
  <c r="O179" i="7"/>
  <c r="P179" i="7"/>
  <c r="Q179" i="7"/>
  <c r="L180" i="7"/>
  <c r="M180" i="7"/>
  <c r="N180" i="7"/>
  <c r="O180" i="7"/>
  <c r="P180" i="7"/>
  <c r="Q180" i="7"/>
  <c r="L181" i="7"/>
  <c r="M181" i="7"/>
  <c r="N181" i="7"/>
  <c r="O181" i="7"/>
  <c r="P181" i="7"/>
  <c r="Q181" i="7"/>
  <c r="L182" i="7"/>
  <c r="M182" i="7"/>
  <c r="N182" i="7"/>
  <c r="O182" i="7"/>
  <c r="P182" i="7"/>
  <c r="Q182" i="7"/>
  <c r="L183" i="7"/>
  <c r="M183" i="7"/>
  <c r="N183" i="7"/>
  <c r="O183" i="7"/>
  <c r="P183" i="7"/>
  <c r="Q183" i="7"/>
  <c r="L184" i="7"/>
  <c r="M184" i="7"/>
  <c r="N184" i="7"/>
  <c r="O184" i="7"/>
  <c r="P184" i="7"/>
  <c r="Q184" i="7"/>
  <c r="L185" i="7"/>
  <c r="M185" i="7"/>
  <c r="N185" i="7"/>
  <c r="O185" i="7"/>
  <c r="P185" i="7"/>
  <c r="Q185" i="7"/>
  <c r="L186" i="7"/>
  <c r="M186" i="7"/>
  <c r="N186" i="7"/>
  <c r="O186" i="7"/>
  <c r="P186" i="7"/>
  <c r="Q186" i="7"/>
  <c r="L187" i="7"/>
  <c r="M187" i="7"/>
  <c r="N187" i="7"/>
  <c r="O187" i="7"/>
  <c r="P187" i="7"/>
  <c r="Q187" i="7"/>
  <c r="L188" i="7"/>
  <c r="M188" i="7"/>
  <c r="N188" i="7"/>
  <c r="O188" i="7"/>
  <c r="P188" i="7"/>
  <c r="Q188" i="7"/>
  <c r="L189" i="7"/>
  <c r="M189" i="7"/>
  <c r="N189" i="7"/>
  <c r="O189" i="7"/>
  <c r="P189" i="7"/>
  <c r="Q189" i="7"/>
  <c r="L190" i="7"/>
  <c r="M190" i="7"/>
  <c r="N190" i="7"/>
  <c r="O190" i="7"/>
  <c r="P190" i="7"/>
  <c r="Q190" i="7"/>
  <c r="L191" i="7"/>
  <c r="M191" i="7"/>
  <c r="N191" i="7"/>
  <c r="O191" i="7"/>
  <c r="P191" i="7"/>
  <c r="Q191" i="7"/>
  <c r="L192" i="7"/>
  <c r="M192" i="7"/>
  <c r="N192" i="7"/>
  <c r="O192" i="7"/>
  <c r="P192" i="7"/>
  <c r="Q192" i="7"/>
  <c r="L193" i="7"/>
  <c r="M193" i="7"/>
  <c r="N193" i="7"/>
  <c r="O193" i="7"/>
  <c r="P193" i="7"/>
  <c r="Q193" i="7"/>
  <c r="L194" i="7"/>
  <c r="M194" i="7"/>
  <c r="N194" i="7"/>
  <c r="O194" i="7"/>
  <c r="P194" i="7"/>
  <c r="Q194" i="7"/>
  <c r="L195" i="7"/>
  <c r="M195" i="7"/>
  <c r="N195" i="7"/>
  <c r="O195" i="7"/>
  <c r="P195" i="7"/>
  <c r="Q195" i="7"/>
  <c r="L196" i="7"/>
  <c r="M196" i="7"/>
  <c r="N196" i="7"/>
  <c r="O196" i="7"/>
  <c r="P196" i="7"/>
  <c r="Q196" i="7"/>
  <c r="L197" i="7"/>
  <c r="M197" i="7"/>
  <c r="N197" i="7"/>
  <c r="O197" i="7"/>
  <c r="P197" i="7"/>
  <c r="Q197" i="7"/>
  <c r="L198" i="7"/>
  <c r="M198" i="7"/>
  <c r="N198" i="7"/>
  <c r="O198" i="7"/>
  <c r="P198" i="7"/>
  <c r="Q198" i="7"/>
  <c r="L199" i="7"/>
  <c r="M199" i="7"/>
  <c r="N199" i="7"/>
  <c r="O199" i="7"/>
  <c r="P199" i="7"/>
  <c r="Q199" i="7"/>
  <c r="L200" i="7"/>
  <c r="M200" i="7"/>
  <c r="N200" i="7"/>
  <c r="O200" i="7"/>
  <c r="P200" i="7"/>
  <c r="Q200" i="7"/>
  <c r="L201" i="7"/>
  <c r="M201" i="7"/>
  <c r="N201" i="7"/>
  <c r="O201" i="7"/>
  <c r="P201" i="7"/>
  <c r="Q201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L164" i="7"/>
  <c r="M164" i="7"/>
  <c r="N164" i="7"/>
  <c r="O164" i="7"/>
  <c r="P164" i="7"/>
  <c r="Q164" i="7"/>
  <c r="L165" i="7"/>
  <c r="M165" i="7"/>
  <c r="N165" i="7"/>
  <c r="O165" i="7"/>
  <c r="P165" i="7"/>
  <c r="Q165" i="7"/>
  <c r="L166" i="7"/>
  <c r="M166" i="7"/>
  <c r="N166" i="7"/>
  <c r="O166" i="7"/>
  <c r="P166" i="7"/>
  <c r="Q166" i="7"/>
  <c r="L167" i="7"/>
  <c r="M167" i="7"/>
  <c r="N167" i="7"/>
  <c r="O167" i="7"/>
  <c r="P167" i="7"/>
  <c r="Q167" i="7"/>
  <c r="L168" i="7"/>
  <c r="M168" i="7"/>
  <c r="N168" i="7"/>
  <c r="O168" i="7"/>
  <c r="P168" i="7"/>
  <c r="Q168" i="7"/>
  <c r="J164" i="7"/>
  <c r="J165" i="7"/>
  <c r="J166" i="7"/>
  <c r="J167" i="7"/>
  <c r="J168" i="7"/>
  <c r="L141" i="7"/>
  <c r="M141" i="7"/>
  <c r="N141" i="7"/>
  <c r="O141" i="7"/>
  <c r="P141" i="7"/>
  <c r="Q141" i="7"/>
  <c r="L142" i="7"/>
  <c r="M142" i="7"/>
  <c r="N142" i="7"/>
  <c r="O142" i="7"/>
  <c r="P142" i="7"/>
  <c r="Q142" i="7"/>
  <c r="L143" i="7"/>
  <c r="M143" i="7"/>
  <c r="N143" i="7"/>
  <c r="O143" i="7"/>
  <c r="P143" i="7"/>
  <c r="Q143" i="7"/>
  <c r="L144" i="7"/>
  <c r="M144" i="7"/>
  <c r="N144" i="7"/>
  <c r="O144" i="7"/>
  <c r="P144" i="7"/>
  <c r="Q144" i="7"/>
  <c r="L145" i="7"/>
  <c r="M145" i="7"/>
  <c r="N145" i="7"/>
  <c r="O145" i="7"/>
  <c r="P145" i="7"/>
  <c r="Q145" i="7"/>
  <c r="L146" i="7"/>
  <c r="M146" i="7"/>
  <c r="N146" i="7"/>
  <c r="O146" i="7"/>
  <c r="P146" i="7"/>
  <c r="Q146" i="7"/>
  <c r="L147" i="7"/>
  <c r="M147" i="7"/>
  <c r="N147" i="7"/>
  <c r="O147" i="7"/>
  <c r="P147" i="7"/>
  <c r="Q147" i="7"/>
  <c r="L148" i="7"/>
  <c r="M148" i="7"/>
  <c r="N148" i="7"/>
  <c r="O148" i="7"/>
  <c r="P148" i="7"/>
  <c r="Q148" i="7"/>
  <c r="L149" i="7"/>
  <c r="M149" i="7"/>
  <c r="N149" i="7"/>
  <c r="O149" i="7"/>
  <c r="P149" i="7"/>
  <c r="Q149" i="7"/>
  <c r="L150" i="7"/>
  <c r="M150" i="7"/>
  <c r="N150" i="7"/>
  <c r="O150" i="7"/>
  <c r="P150" i="7"/>
  <c r="Q150" i="7"/>
  <c r="L151" i="7"/>
  <c r="M151" i="7"/>
  <c r="N151" i="7"/>
  <c r="O151" i="7"/>
  <c r="P151" i="7"/>
  <c r="Q151" i="7"/>
  <c r="L152" i="7"/>
  <c r="M152" i="7"/>
  <c r="N152" i="7"/>
  <c r="O152" i="7"/>
  <c r="P152" i="7"/>
  <c r="Q152" i="7"/>
  <c r="L153" i="7"/>
  <c r="M153" i="7"/>
  <c r="N153" i="7"/>
  <c r="O153" i="7"/>
  <c r="P153" i="7"/>
  <c r="Q153" i="7"/>
  <c r="L154" i="7"/>
  <c r="M154" i="7"/>
  <c r="N154" i="7"/>
  <c r="O154" i="7"/>
  <c r="P154" i="7"/>
  <c r="Q154" i="7"/>
  <c r="L155" i="7"/>
  <c r="M155" i="7"/>
  <c r="N155" i="7"/>
  <c r="O155" i="7"/>
  <c r="P155" i="7"/>
  <c r="Q155" i="7"/>
  <c r="L156" i="7"/>
  <c r="M156" i="7"/>
  <c r="N156" i="7"/>
  <c r="O156" i="7"/>
  <c r="P156" i="7"/>
  <c r="Q156" i="7"/>
  <c r="L157" i="7"/>
  <c r="M157" i="7"/>
  <c r="N157" i="7"/>
  <c r="O157" i="7"/>
  <c r="P157" i="7"/>
  <c r="Q157" i="7"/>
  <c r="L158" i="7"/>
  <c r="M158" i="7"/>
  <c r="N158" i="7"/>
  <c r="O158" i="7"/>
  <c r="P158" i="7"/>
  <c r="Q158" i="7"/>
  <c r="L159" i="7"/>
  <c r="M159" i="7"/>
  <c r="N159" i="7"/>
  <c r="O159" i="7"/>
  <c r="P159" i="7"/>
  <c r="Q159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L121" i="7"/>
  <c r="M121" i="7"/>
  <c r="N121" i="7"/>
  <c r="O121" i="7"/>
  <c r="P121" i="7"/>
  <c r="Q121" i="7"/>
  <c r="L122" i="7"/>
  <c r="M122" i="7"/>
  <c r="N122" i="7"/>
  <c r="O122" i="7"/>
  <c r="P122" i="7"/>
  <c r="Q122" i="7"/>
  <c r="L123" i="7"/>
  <c r="M123" i="7"/>
  <c r="N123" i="7"/>
  <c r="O123" i="7"/>
  <c r="P123" i="7"/>
  <c r="Q123" i="7"/>
  <c r="L124" i="7"/>
  <c r="M124" i="7"/>
  <c r="N124" i="7"/>
  <c r="O124" i="7"/>
  <c r="P124" i="7"/>
  <c r="Q124" i="7"/>
  <c r="L125" i="7"/>
  <c r="M125" i="7"/>
  <c r="N125" i="7"/>
  <c r="O125" i="7"/>
  <c r="P125" i="7"/>
  <c r="Q125" i="7"/>
  <c r="L126" i="7"/>
  <c r="M126" i="7"/>
  <c r="N126" i="7"/>
  <c r="O126" i="7"/>
  <c r="P126" i="7"/>
  <c r="Q126" i="7"/>
  <c r="L127" i="7"/>
  <c r="M127" i="7"/>
  <c r="N127" i="7"/>
  <c r="O127" i="7"/>
  <c r="P127" i="7"/>
  <c r="Q127" i="7"/>
  <c r="L128" i="7"/>
  <c r="M128" i="7"/>
  <c r="N128" i="7"/>
  <c r="O128" i="7"/>
  <c r="P128" i="7"/>
  <c r="Q128" i="7"/>
  <c r="L129" i="7"/>
  <c r="M129" i="7"/>
  <c r="N129" i="7"/>
  <c r="O129" i="7"/>
  <c r="P129" i="7"/>
  <c r="Q129" i="7"/>
  <c r="L130" i="7"/>
  <c r="M130" i="7"/>
  <c r="N130" i="7"/>
  <c r="O130" i="7"/>
  <c r="P130" i="7"/>
  <c r="Q130" i="7"/>
  <c r="L131" i="7"/>
  <c r="M131" i="7"/>
  <c r="N131" i="7"/>
  <c r="O131" i="7"/>
  <c r="P131" i="7"/>
  <c r="Q131" i="7"/>
  <c r="L132" i="7"/>
  <c r="M132" i="7"/>
  <c r="N132" i="7"/>
  <c r="O132" i="7"/>
  <c r="P132" i="7"/>
  <c r="Q132" i="7"/>
  <c r="L133" i="7"/>
  <c r="M133" i="7"/>
  <c r="N133" i="7"/>
  <c r="O133" i="7"/>
  <c r="P133" i="7"/>
  <c r="Q133" i="7"/>
  <c r="L134" i="7"/>
  <c r="M134" i="7"/>
  <c r="N134" i="7"/>
  <c r="O134" i="7"/>
  <c r="P134" i="7"/>
  <c r="Q134" i="7"/>
  <c r="L135" i="7"/>
  <c r="M135" i="7"/>
  <c r="N135" i="7"/>
  <c r="O135" i="7"/>
  <c r="P135" i="7"/>
  <c r="Q135" i="7"/>
  <c r="L136" i="7"/>
  <c r="M136" i="7"/>
  <c r="N136" i="7"/>
  <c r="O136" i="7"/>
  <c r="P136" i="7"/>
  <c r="Q136" i="7"/>
  <c r="L137" i="7"/>
  <c r="M137" i="7"/>
  <c r="N137" i="7"/>
  <c r="O137" i="7"/>
  <c r="P137" i="7"/>
  <c r="Q137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M79" i="7"/>
  <c r="N79" i="7"/>
  <c r="O79" i="7"/>
  <c r="P79" i="7"/>
  <c r="Q79" i="7"/>
  <c r="M80" i="7"/>
  <c r="N80" i="7"/>
  <c r="O80" i="7"/>
  <c r="P80" i="7"/>
  <c r="Q80" i="7"/>
  <c r="M81" i="7"/>
  <c r="N81" i="7"/>
  <c r="O81" i="7"/>
  <c r="P81" i="7"/>
  <c r="Q81" i="7"/>
  <c r="M82" i="7"/>
  <c r="N82" i="7"/>
  <c r="O82" i="7"/>
  <c r="P82" i="7"/>
  <c r="Q82" i="7"/>
  <c r="M83" i="7"/>
  <c r="N83" i="7"/>
  <c r="O83" i="7"/>
  <c r="P83" i="7"/>
  <c r="Q83" i="7"/>
  <c r="M84" i="7"/>
  <c r="N84" i="7"/>
  <c r="O84" i="7"/>
  <c r="P84" i="7"/>
  <c r="Q84" i="7"/>
  <c r="M85" i="7"/>
  <c r="N85" i="7"/>
  <c r="O85" i="7"/>
  <c r="P85" i="7"/>
  <c r="Q85" i="7"/>
  <c r="M86" i="7"/>
  <c r="N86" i="7"/>
  <c r="O86" i="7"/>
  <c r="P86" i="7"/>
  <c r="Q86" i="7"/>
  <c r="M87" i="7"/>
  <c r="N87" i="7"/>
  <c r="O87" i="7"/>
  <c r="P87" i="7"/>
  <c r="Q87" i="7"/>
  <c r="M88" i="7"/>
  <c r="N88" i="7"/>
  <c r="O88" i="7"/>
  <c r="P88" i="7"/>
  <c r="Q88" i="7"/>
  <c r="M89" i="7"/>
  <c r="N89" i="7"/>
  <c r="O89" i="7"/>
  <c r="P89" i="7"/>
  <c r="Q89" i="7"/>
  <c r="M90" i="7"/>
  <c r="N90" i="7"/>
  <c r="O90" i="7"/>
  <c r="P90" i="7"/>
  <c r="Q90" i="7"/>
  <c r="M91" i="7"/>
  <c r="N91" i="7"/>
  <c r="O91" i="7"/>
  <c r="P91" i="7"/>
  <c r="Q91" i="7"/>
  <c r="M92" i="7"/>
  <c r="N92" i="7"/>
  <c r="O92" i="7"/>
  <c r="P92" i="7"/>
  <c r="Q92" i="7"/>
  <c r="M93" i="7"/>
  <c r="N93" i="7"/>
  <c r="O93" i="7"/>
  <c r="P93" i="7"/>
  <c r="Q93" i="7"/>
  <c r="M94" i="7"/>
  <c r="N94" i="7"/>
  <c r="P94" i="7"/>
  <c r="M95" i="7"/>
  <c r="N95" i="7"/>
  <c r="O95" i="7"/>
  <c r="P95" i="7"/>
  <c r="Q95" i="7"/>
  <c r="M96" i="7"/>
  <c r="N96" i="7"/>
  <c r="O96" i="7"/>
  <c r="P96" i="7"/>
  <c r="Q96" i="7"/>
  <c r="M97" i="7"/>
  <c r="N97" i="7"/>
  <c r="O97" i="7"/>
  <c r="P97" i="7"/>
  <c r="Q97" i="7"/>
  <c r="M98" i="7"/>
  <c r="N98" i="7"/>
  <c r="O98" i="7"/>
  <c r="P98" i="7"/>
  <c r="Q98" i="7"/>
  <c r="M99" i="7"/>
  <c r="N99" i="7"/>
  <c r="O99" i="7"/>
  <c r="P99" i="7"/>
  <c r="Q99" i="7"/>
  <c r="M100" i="7"/>
  <c r="N100" i="7"/>
  <c r="O100" i="7"/>
  <c r="P100" i="7"/>
  <c r="Q100" i="7"/>
  <c r="M101" i="7"/>
  <c r="N101" i="7"/>
  <c r="O101" i="7"/>
  <c r="P101" i="7"/>
  <c r="Q101" i="7"/>
  <c r="M102" i="7"/>
  <c r="N102" i="7"/>
  <c r="O102" i="7"/>
  <c r="P102" i="7"/>
  <c r="Q102" i="7"/>
  <c r="M103" i="7"/>
  <c r="N103" i="7"/>
  <c r="O103" i="7"/>
  <c r="P103" i="7"/>
  <c r="Q103" i="7"/>
  <c r="M104" i="7"/>
  <c r="N104" i="7"/>
  <c r="O104" i="7"/>
  <c r="P104" i="7"/>
  <c r="Q104" i="7"/>
  <c r="M105" i="7"/>
  <c r="N105" i="7"/>
  <c r="O105" i="7"/>
  <c r="P105" i="7"/>
  <c r="Q105" i="7"/>
  <c r="M106" i="7"/>
  <c r="N106" i="7"/>
  <c r="O106" i="7"/>
  <c r="P106" i="7"/>
  <c r="Q106" i="7"/>
  <c r="M107" i="7"/>
  <c r="N107" i="7"/>
  <c r="O107" i="7"/>
  <c r="P107" i="7"/>
  <c r="Q107" i="7"/>
  <c r="M108" i="7"/>
  <c r="N108" i="7"/>
  <c r="O108" i="7"/>
  <c r="P108" i="7"/>
  <c r="Q108" i="7"/>
  <c r="M109" i="7"/>
  <c r="N109" i="7"/>
  <c r="O109" i="7"/>
  <c r="P109" i="7"/>
  <c r="Q109" i="7"/>
  <c r="M110" i="7"/>
  <c r="N110" i="7"/>
  <c r="O110" i="7"/>
  <c r="P110" i="7"/>
  <c r="Q110" i="7"/>
  <c r="M111" i="7"/>
  <c r="N111" i="7"/>
  <c r="O111" i="7"/>
  <c r="P111" i="7"/>
  <c r="Q111" i="7"/>
  <c r="M112" i="7"/>
  <c r="N112" i="7"/>
  <c r="O112" i="7"/>
  <c r="P112" i="7"/>
  <c r="Q112" i="7"/>
  <c r="M113" i="7"/>
  <c r="N113" i="7"/>
  <c r="O113" i="7"/>
  <c r="P113" i="7"/>
  <c r="Q113" i="7"/>
  <c r="M114" i="7"/>
  <c r="N114" i="7"/>
  <c r="O114" i="7"/>
  <c r="P114" i="7"/>
  <c r="Q114" i="7"/>
  <c r="M115" i="7"/>
  <c r="N115" i="7"/>
  <c r="O115" i="7"/>
  <c r="P115" i="7"/>
  <c r="Q115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L29" i="7"/>
  <c r="M29" i="7"/>
  <c r="N29" i="7"/>
  <c r="O29" i="7"/>
  <c r="P29" i="7"/>
  <c r="Q29" i="7"/>
  <c r="L30" i="7"/>
  <c r="M30" i="7"/>
  <c r="N30" i="7"/>
  <c r="O30" i="7"/>
  <c r="P30" i="7"/>
  <c r="Q30" i="7"/>
  <c r="L31" i="7"/>
  <c r="M31" i="7"/>
  <c r="N31" i="7"/>
  <c r="O31" i="7"/>
  <c r="P31" i="7"/>
  <c r="Q31" i="7"/>
  <c r="L32" i="7"/>
  <c r="M32" i="7"/>
  <c r="N32" i="7"/>
  <c r="O32" i="7"/>
  <c r="P32" i="7"/>
  <c r="Q32" i="7"/>
  <c r="L33" i="7"/>
  <c r="M33" i="7"/>
  <c r="N33" i="7"/>
  <c r="O33" i="7"/>
  <c r="P33" i="7"/>
  <c r="Q33" i="7"/>
  <c r="L34" i="7"/>
  <c r="M34" i="7"/>
  <c r="N34" i="7"/>
  <c r="O34" i="7"/>
  <c r="P34" i="7"/>
  <c r="Q34" i="7"/>
  <c r="L35" i="7"/>
  <c r="M35" i="7"/>
  <c r="N35" i="7"/>
  <c r="O35" i="7"/>
  <c r="P35" i="7"/>
  <c r="Q35" i="7"/>
  <c r="L36" i="7"/>
  <c r="M36" i="7"/>
  <c r="N36" i="7"/>
  <c r="O36" i="7"/>
  <c r="P36" i="7"/>
  <c r="Q36" i="7"/>
  <c r="L37" i="7"/>
  <c r="M37" i="7"/>
  <c r="N37" i="7"/>
  <c r="O37" i="7"/>
  <c r="P37" i="7"/>
  <c r="Q37" i="7"/>
  <c r="L38" i="7"/>
  <c r="M38" i="7"/>
  <c r="N38" i="7"/>
  <c r="O38" i="7"/>
  <c r="P38" i="7"/>
  <c r="Q38" i="7"/>
  <c r="L39" i="7"/>
  <c r="M39" i="7"/>
  <c r="N39" i="7"/>
  <c r="O39" i="7"/>
  <c r="P39" i="7"/>
  <c r="Q39" i="7"/>
  <c r="L40" i="7"/>
  <c r="M40" i="7"/>
  <c r="N40" i="7"/>
  <c r="O40" i="7"/>
  <c r="P40" i="7"/>
  <c r="Q40" i="7"/>
  <c r="L41" i="7"/>
  <c r="M41" i="7"/>
  <c r="N41" i="7"/>
  <c r="O41" i="7"/>
  <c r="P41" i="7"/>
  <c r="Q41" i="7"/>
  <c r="L42" i="7"/>
  <c r="M42" i="7"/>
  <c r="N42" i="7"/>
  <c r="O42" i="7"/>
  <c r="P42" i="7"/>
  <c r="Q42" i="7"/>
  <c r="L43" i="7"/>
  <c r="M43" i="7"/>
  <c r="N43" i="7"/>
  <c r="O43" i="7"/>
  <c r="P43" i="7"/>
  <c r="Q43" i="7"/>
  <c r="L44" i="7"/>
  <c r="M44" i="7"/>
  <c r="N44" i="7"/>
  <c r="O44" i="7"/>
  <c r="P44" i="7"/>
  <c r="Q44" i="7"/>
  <c r="L45" i="7"/>
  <c r="M45" i="7"/>
  <c r="N45" i="7"/>
  <c r="O45" i="7"/>
  <c r="P45" i="7"/>
  <c r="Q45" i="7"/>
  <c r="L46" i="7"/>
  <c r="M46" i="7"/>
  <c r="N46" i="7"/>
  <c r="O46" i="7"/>
  <c r="P46" i="7"/>
  <c r="Q46" i="7"/>
  <c r="L47" i="7"/>
  <c r="M47" i="7"/>
  <c r="N47" i="7"/>
  <c r="O47" i="7"/>
  <c r="P47" i="7"/>
  <c r="Q47" i="7"/>
  <c r="L48" i="7"/>
  <c r="M48" i="7"/>
  <c r="N48" i="7"/>
  <c r="O48" i="7"/>
  <c r="P48" i="7"/>
  <c r="Q48" i="7"/>
  <c r="L49" i="7"/>
  <c r="M49" i="7"/>
  <c r="N49" i="7"/>
  <c r="O49" i="7"/>
  <c r="P49" i="7"/>
  <c r="Q49" i="7"/>
  <c r="L50" i="7"/>
  <c r="M50" i="7"/>
  <c r="N50" i="7"/>
  <c r="O50" i="7"/>
  <c r="P50" i="7"/>
  <c r="Q50" i="7"/>
  <c r="L51" i="7"/>
  <c r="M51" i="7"/>
  <c r="N51" i="7"/>
  <c r="O51" i="7"/>
  <c r="P51" i="7"/>
  <c r="Q51" i="7"/>
  <c r="L52" i="7"/>
  <c r="M52" i="7"/>
  <c r="N52" i="7"/>
  <c r="O52" i="7"/>
  <c r="P52" i="7"/>
  <c r="Q52" i="7"/>
  <c r="L53" i="7"/>
  <c r="M53" i="7"/>
  <c r="N53" i="7"/>
  <c r="O53" i="7"/>
  <c r="P53" i="7"/>
  <c r="Q53" i="7"/>
  <c r="L54" i="7"/>
  <c r="M54" i="7"/>
  <c r="N54" i="7"/>
  <c r="O54" i="7"/>
  <c r="P54" i="7"/>
  <c r="Q54" i="7"/>
  <c r="L55" i="7"/>
  <c r="M55" i="7"/>
  <c r="N55" i="7"/>
  <c r="O55" i="7"/>
  <c r="P55" i="7"/>
  <c r="Q55" i="7"/>
  <c r="L56" i="7"/>
  <c r="M56" i="7"/>
  <c r="N56" i="7"/>
  <c r="O56" i="7"/>
  <c r="P56" i="7"/>
  <c r="Q56" i="7"/>
  <c r="L57" i="7"/>
  <c r="M57" i="7"/>
  <c r="N57" i="7"/>
  <c r="O57" i="7"/>
  <c r="P57" i="7"/>
  <c r="Q57" i="7"/>
  <c r="L58" i="7"/>
  <c r="M58" i="7"/>
  <c r="N58" i="7"/>
  <c r="O58" i="7"/>
  <c r="P58" i="7"/>
  <c r="Q58" i="7"/>
  <c r="L59" i="7"/>
  <c r="M59" i="7"/>
  <c r="N59" i="7"/>
  <c r="O59" i="7"/>
  <c r="P59" i="7"/>
  <c r="Q59" i="7"/>
  <c r="L60" i="7"/>
  <c r="M60" i="7"/>
  <c r="N60" i="7"/>
  <c r="O60" i="7"/>
  <c r="P60" i="7"/>
  <c r="Q60" i="7"/>
  <c r="L61" i="7"/>
  <c r="M61" i="7"/>
  <c r="N61" i="7"/>
  <c r="O61" i="7"/>
  <c r="P61" i="7"/>
  <c r="Q61" i="7"/>
  <c r="L62" i="7"/>
  <c r="M62" i="7"/>
  <c r="N62" i="7"/>
  <c r="O62" i="7"/>
  <c r="P62" i="7"/>
  <c r="Q62" i="7"/>
  <c r="L63" i="7"/>
  <c r="M63" i="7"/>
  <c r="N63" i="7"/>
  <c r="O63" i="7"/>
  <c r="P63" i="7"/>
  <c r="Q63" i="7"/>
  <c r="L64" i="7"/>
  <c r="M64" i="7"/>
  <c r="N64" i="7"/>
  <c r="O64" i="7"/>
  <c r="P64" i="7"/>
  <c r="Q64" i="7"/>
  <c r="L65" i="7"/>
  <c r="M65" i="7"/>
  <c r="N65" i="7"/>
  <c r="O65" i="7"/>
  <c r="P65" i="7"/>
  <c r="Q65" i="7"/>
  <c r="L66" i="7"/>
  <c r="M66" i="7"/>
  <c r="N66" i="7"/>
  <c r="O66" i="7"/>
  <c r="P66" i="7"/>
  <c r="Q66" i="7"/>
  <c r="L67" i="7"/>
  <c r="M67" i="7"/>
  <c r="N67" i="7"/>
  <c r="O67" i="7"/>
  <c r="P67" i="7"/>
  <c r="Q67" i="7"/>
  <c r="L68" i="7"/>
  <c r="M68" i="7"/>
  <c r="N68" i="7"/>
  <c r="O68" i="7"/>
  <c r="P68" i="7"/>
  <c r="Q68" i="7"/>
  <c r="L69" i="7"/>
  <c r="M69" i="7"/>
  <c r="N69" i="7"/>
  <c r="O69" i="7"/>
  <c r="P69" i="7"/>
  <c r="Q69" i="7"/>
  <c r="L70" i="7"/>
  <c r="M70" i="7"/>
  <c r="N70" i="7"/>
  <c r="O70" i="7"/>
  <c r="P70" i="7"/>
  <c r="Q70" i="7"/>
  <c r="L71" i="7"/>
  <c r="M71" i="7"/>
  <c r="N71" i="7"/>
  <c r="O71" i="7"/>
  <c r="P71" i="7"/>
  <c r="Q71" i="7"/>
  <c r="L72" i="7"/>
  <c r="M72" i="7"/>
  <c r="N72" i="7"/>
  <c r="O72" i="7"/>
  <c r="P72" i="7"/>
  <c r="Q72" i="7"/>
  <c r="L73" i="7"/>
  <c r="M73" i="7"/>
  <c r="N73" i="7"/>
  <c r="O73" i="7"/>
  <c r="P73" i="7"/>
  <c r="Q73" i="7"/>
  <c r="L74" i="7"/>
  <c r="M74" i="7"/>
  <c r="N74" i="7"/>
  <c r="O74" i="7"/>
  <c r="P74" i="7"/>
  <c r="Q74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L6" i="7"/>
  <c r="M6" i="7"/>
  <c r="N6" i="7"/>
  <c r="O6" i="7"/>
  <c r="P6" i="7"/>
  <c r="Q6" i="7"/>
  <c r="L7" i="7"/>
  <c r="M7" i="7"/>
  <c r="N7" i="7"/>
  <c r="O7" i="7"/>
  <c r="P7" i="7"/>
  <c r="Q7" i="7"/>
  <c r="L8" i="7"/>
  <c r="M8" i="7"/>
  <c r="N8" i="7"/>
  <c r="O8" i="7"/>
  <c r="P8" i="7"/>
  <c r="Q8" i="7"/>
  <c r="L9" i="7"/>
  <c r="M9" i="7"/>
  <c r="N9" i="7"/>
  <c r="O9" i="7"/>
  <c r="P9" i="7"/>
  <c r="Q9" i="7"/>
  <c r="L10" i="7"/>
  <c r="M10" i="7"/>
  <c r="N10" i="7"/>
  <c r="O10" i="7"/>
  <c r="P10" i="7"/>
  <c r="Q10" i="7"/>
  <c r="L11" i="7"/>
  <c r="M11" i="7"/>
  <c r="N11" i="7"/>
  <c r="O11" i="7"/>
  <c r="P11" i="7"/>
  <c r="Q11" i="7"/>
  <c r="L12" i="7"/>
  <c r="M12" i="7"/>
  <c r="N12" i="7"/>
  <c r="O12" i="7"/>
  <c r="P12" i="7"/>
  <c r="Q12" i="7"/>
  <c r="L13" i="7"/>
  <c r="M13" i="7"/>
  <c r="N13" i="7"/>
  <c r="O13" i="7"/>
  <c r="P13" i="7"/>
  <c r="Q13" i="7"/>
  <c r="L14" i="7"/>
  <c r="M14" i="7"/>
  <c r="N14" i="7"/>
  <c r="O14" i="7"/>
  <c r="P14" i="7"/>
  <c r="Q14" i="7"/>
  <c r="L15" i="7"/>
  <c r="M15" i="7"/>
  <c r="N15" i="7"/>
  <c r="O15" i="7"/>
  <c r="P15" i="7"/>
  <c r="Q15" i="7"/>
  <c r="L16" i="7"/>
  <c r="M16" i="7"/>
  <c r="N16" i="7"/>
  <c r="O16" i="7"/>
  <c r="P16" i="7"/>
  <c r="Q16" i="7"/>
  <c r="L17" i="7"/>
  <c r="M17" i="7"/>
  <c r="N17" i="7"/>
  <c r="O17" i="7"/>
  <c r="P17" i="7"/>
  <c r="Q17" i="7"/>
  <c r="L18" i="7"/>
  <c r="M18" i="7"/>
  <c r="N18" i="7"/>
  <c r="O18" i="7"/>
  <c r="P18" i="7"/>
  <c r="Q18" i="7"/>
  <c r="L19" i="7"/>
  <c r="M19" i="7"/>
  <c r="N19" i="7"/>
  <c r="O19" i="7"/>
  <c r="P19" i="7"/>
  <c r="Q19" i="7"/>
  <c r="L20" i="7"/>
  <c r="M20" i="7"/>
  <c r="N20" i="7"/>
  <c r="O20" i="7"/>
  <c r="P20" i="7"/>
  <c r="Q20" i="7"/>
  <c r="L21" i="7"/>
  <c r="M21" i="7"/>
  <c r="N21" i="7"/>
  <c r="O21" i="7"/>
  <c r="P21" i="7"/>
  <c r="Q21" i="7"/>
  <c r="L22" i="7"/>
  <c r="M22" i="7"/>
  <c r="N22" i="7"/>
  <c r="O22" i="7"/>
  <c r="P22" i="7"/>
  <c r="Q22" i="7"/>
  <c r="L23" i="7"/>
  <c r="M23" i="7"/>
  <c r="N23" i="7"/>
  <c r="O23" i="7"/>
  <c r="P23" i="7"/>
  <c r="Q23" i="7"/>
  <c r="L24" i="7"/>
  <c r="M24" i="7"/>
  <c r="N24" i="7"/>
  <c r="O24" i="7"/>
  <c r="P24" i="7"/>
  <c r="Q24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S158" i="7" l="1"/>
  <c r="R158" i="7"/>
  <c r="K158" i="7"/>
  <c r="G158" i="7"/>
  <c r="F158" i="7"/>
  <c r="E158" i="7"/>
  <c r="D158" i="7"/>
  <c r="S151" i="7"/>
  <c r="R151" i="7"/>
  <c r="K151" i="7"/>
  <c r="G151" i="7"/>
  <c r="F151" i="7"/>
  <c r="E151" i="7"/>
  <c r="D151" i="7"/>
  <c r="S141" i="7"/>
  <c r="R141" i="7"/>
  <c r="K141" i="7"/>
  <c r="E141" i="7"/>
  <c r="D141" i="7"/>
  <c r="K129" i="7"/>
  <c r="G129" i="7"/>
  <c r="H244" i="7"/>
  <c r="S156" i="7" l="1"/>
  <c r="R156" i="7"/>
  <c r="K156" i="7"/>
  <c r="G156" i="7"/>
  <c r="E156" i="7"/>
  <c r="D156" i="7"/>
  <c r="S137" i="7" l="1"/>
  <c r="R137" i="7"/>
  <c r="K137" i="7"/>
  <c r="G137" i="7"/>
  <c r="E137" i="7"/>
  <c r="D137" i="7"/>
  <c r="H190" i="7" l="1"/>
  <c r="S134" i="7"/>
  <c r="R134" i="7"/>
  <c r="K134" i="7"/>
  <c r="G134" i="7"/>
  <c r="E134" i="7"/>
  <c r="D134" i="7"/>
  <c r="H58" i="7"/>
  <c r="H134" i="7" l="1"/>
  <c r="T246" i="7"/>
  <c r="B14" i="6" s="1"/>
  <c r="I246" i="7"/>
  <c r="H245" i="7"/>
  <c r="S243" i="7"/>
  <c r="R243" i="7"/>
  <c r="H243" i="7"/>
  <c r="H242" i="7"/>
  <c r="H241" i="7"/>
  <c r="S240" i="7"/>
  <c r="R240" i="7"/>
  <c r="K240" i="7"/>
  <c r="M240" i="7" s="1"/>
  <c r="G240" i="7"/>
  <c r="F240" i="7"/>
  <c r="E240" i="7"/>
  <c r="D240" i="7"/>
  <c r="T236" i="7"/>
  <c r="B13" i="6" s="1"/>
  <c r="K236" i="7"/>
  <c r="I236" i="7"/>
  <c r="H235" i="7"/>
  <c r="H234" i="7"/>
  <c r="H233" i="7"/>
  <c r="Q232" i="7"/>
  <c r="P232" i="7"/>
  <c r="O232" i="7"/>
  <c r="N232" i="7"/>
  <c r="M232" i="7"/>
  <c r="H232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P216" i="7"/>
  <c r="N216" i="7"/>
  <c r="M216" i="7"/>
  <c r="H216" i="7"/>
  <c r="O216" i="7" s="1"/>
  <c r="H213" i="7"/>
  <c r="P212" i="7"/>
  <c r="N212" i="7"/>
  <c r="M212" i="7"/>
  <c r="L212" i="7"/>
  <c r="H212" i="7"/>
  <c r="Q212" i="7" s="1"/>
  <c r="T208" i="7"/>
  <c r="B12" i="6" s="1"/>
  <c r="K208" i="7"/>
  <c r="I208" i="7"/>
  <c r="J205" i="7" s="1"/>
  <c r="H207" i="7"/>
  <c r="H206" i="7"/>
  <c r="P205" i="7"/>
  <c r="N205" i="7"/>
  <c r="M205" i="7"/>
  <c r="H205" i="7"/>
  <c r="Q205" i="7" s="1"/>
  <c r="D205" i="7"/>
  <c r="T202" i="7"/>
  <c r="B11" i="6" s="1"/>
  <c r="K202" i="7"/>
  <c r="I202" i="7"/>
  <c r="H201" i="7"/>
  <c r="H200" i="7"/>
  <c r="H199" i="7"/>
  <c r="H198" i="7"/>
  <c r="H197" i="7"/>
  <c r="H196" i="7"/>
  <c r="H195" i="7"/>
  <c r="H194" i="7"/>
  <c r="H193" i="7"/>
  <c r="H192" i="7"/>
  <c r="H191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P172" i="7"/>
  <c r="N172" i="7"/>
  <c r="M172" i="7"/>
  <c r="H172" i="7"/>
  <c r="O172" i="7" s="1"/>
  <c r="T169" i="7"/>
  <c r="B10" i="6" s="1"/>
  <c r="K169" i="7"/>
  <c r="B8" i="3" s="1"/>
  <c r="I169" i="7"/>
  <c r="H168" i="7"/>
  <c r="H167" i="7"/>
  <c r="H166" i="7"/>
  <c r="H165" i="7"/>
  <c r="H164" i="7"/>
  <c r="P163" i="7"/>
  <c r="N163" i="7"/>
  <c r="M163" i="7"/>
  <c r="H163" i="7"/>
  <c r="Q163" i="7" s="1"/>
  <c r="T160" i="7"/>
  <c r="B9" i="6" s="1"/>
  <c r="I160" i="7"/>
  <c r="S159" i="7"/>
  <c r="R159" i="7"/>
  <c r="K159" i="7"/>
  <c r="G159" i="7"/>
  <c r="E159" i="7"/>
  <c r="D159" i="7"/>
  <c r="H158" i="7"/>
  <c r="S157" i="7"/>
  <c r="R157" i="7"/>
  <c r="K157" i="7"/>
  <c r="G157" i="7"/>
  <c r="E157" i="7"/>
  <c r="D157" i="7"/>
  <c r="H156" i="7"/>
  <c r="H155" i="7"/>
  <c r="S154" i="7"/>
  <c r="R154" i="7"/>
  <c r="K154" i="7"/>
  <c r="G154" i="7"/>
  <c r="E154" i="7"/>
  <c r="D154" i="7"/>
  <c r="S153" i="7"/>
  <c r="R153" i="7"/>
  <c r="K153" i="7"/>
  <c r="G153" i="7"/>
  <c r="E153" i="7"/>
  <c r="D153" i="7"/>
  <c r="S152" i="7"/>
  <c r="R152" i="7"/>
  <c r="K152" i="7"/>
  <c r="G152" i="7"/>
  <c r="E152" i="7"/>
  <c r="H152" i="7" s="1"/>
  <c r="D152" i="7"/>
  <c r="H151" i="7"/>
  <c r="S150" i="7"/>
  <c r="R150" i="7"/>
  <c r="K150" i="7"/>
  <c r="G150" i="7"/>
  <c r="F150" i="7"/>
  <c r="E150" i="7"/>
  <c r="D150" i="7"/>
  <c r="S149" i="7"/>
  <c r="R149" i="7"/>
  <c r="K149" i="7"/>
  <c r="G149" i="7"/>
  <c r="E149" i="7"/>
  <c r="D149" i="7"/>
  <c r="S148" i="7"/>
  <c r="R148" i="7"/>
  <c r="K148" i="7"/>
  <c r="G148" i="7"/>
  <c r="E148" i="7"/>
  <c r="D148" i="7"/>
  <c r="K147" i="7"/>
  <c r="G147" i="7"/>
  <c r="E147" i="7"/>
  <c r="S146" i="7"/>
  <c r="R146" i="7"/>
  <c r="K146" i="7"/>
  <c r="G146" i="7"/>
  <c r="E146" i="7"/>
  <c r="D146" i="7"/>
  <c r="H145" i="7"/>
  <c r="S144" i="7"/>
  <c r="R144" i="7"/>
  <c r="K144" i="7"/>
  <c r="G144" i="7"/>
  <c r="E144" i="7"/>
  <c r="D144" i="7"/>
  <c r="S143" i="7"/>
  <c r="R143" i="7"/>
  <c r="K143" i="7"/>
  <c r="G143" i="7"/>
  <c r="E143" i="7"/>
  <c r="H143" i="7" s="1"/>
  <c r="D143" i="7"/>
  <c r="S142" i="7"/>
  <c r="R142" i="7"/>
  <c r="K142" i="7"/>
  <c r="G142" i="7"/>
  <c r="E142" i="7"/>
  <c r="D142" i="7"/>
  <c r="G141" i="7"/>
  <c r="S140" i="7"/>
  <c r="R140" i="7"/>
  <c r="K140" i="7"/>
  <c r="P140" i="7" s="1"/>
  <c r="G140" i="7"/>
  <c r="E140" i="7"/>
  <c r="H140" i="7" s="1"/>
  <c r="Q140" i="7" s="1"/>
  <c r="D140" i="7"/>
  <c r="H137" i="7"/>
  <c r="S136" i="7"/>
  <c r="R136" i="7"/>
  <c r="K136" i="7"/>
  <c r="G136" i="7"/>
  <c r="E136" i="7"/>
  <c r="H136" i="7" s="1"/>
  <c r="D136" i="7"/>
  <c r="H135" i="7"/>
  <c r="S133" i="7"/>
  <c r="R133" i="7"/>
  <c r="K133" i="7"/>
  <c r="G133" i="7"/>
  <c r="E133" i="7"/>
  <c r="D133" i="7"/>
  <c r="S132" i="7"/>
  <c r="R132" i="7"/>
  <c r="K132" i="7"/>
  <c r="G132" i="7"/>
  <c r="E132" i="7"/>
  <c r="D132" i="7"/>
  <c r="S131" i="7"/>
  <c r="R131" i="7"/>
  <c r="H131" i="7"/>
  <c r="S130" i="7"/>
  <c r="R130" i="7"/>
  <c r="H130" i="7"/>
  <c r="S129" i="7"/>
  <c r="R129" i="7"/>
  <c r="E129" i="7"/>
  <c r="H129" i="7" s="1"/>
  <c r="D129" i="7"/>
  <c r="S128" i="7"/>
  <c r="R128" i="7"/>
  <c r="K128" i="7"/>
  <c r="G128" i="7"/>
  <c r="E128" i="7"/>
  <c r="D128" i="7"/>
  <c r="S127" i="7"/>
  <c r="R127" i="7"/>
  <c r="K127" i="7"/>
  <c r="G127" i="7"/>
  <c r="E127" i="7"/>
  <c r="H127" i="7" s="1"/>
  <c r="D127" i="7"/>
  <c r="S126" i="7"/>
  <c r="R126" i="7"/>
  <c r="K126" i="7"/>
  <c r="G126" i="7"/>
  <c r="E126" i="7"/>
  <c r="D126" i="7"/>
  <c r="S125" i="7"/>
  <c r="R125" i="7"/>
  <c r="K125" i="7"/>
  <c r="G125" i="7"/>
  <c r="E125" i="7"/>
  <c r="D125" i="7"/>
  <c r="S124" i="7"/>
  <c r="R124" i="7"/>
  <c r="K124" i="7"/>
  <c r="G124" i="7"/>
  <c r="F124" i="7"/>
  <c r="E124" i="7"/>
  <c r="D124" i="7"/>
  <c r="S123" i="7"/>
  <c r="R123" i="7"/>
  <c r="K123" i="7"/>
  <c r="G123" i="7"/>
  <c r="F123" i="7"/>
  <c r="E123" i="7"/>
  <c r="D123" i="7"/>
  <c r="S122" i="7"/>
  <c r="R122" i="7"/>
  <c r="K122" i="7"/>
  <c r="G122" i="7"/>
  <c r="F122" i="7"/>
  <c r="E122" i="7"/>
  <c r="D122" i="7"/>
  <c r="S121" i="7"/>
  <c r="R121" i="7"/>
  <c r="K121" i="7"/>
  <c r="G121" i="7"/>
  <c r="E121" i="7"/>
  <c r="D121" i="7"/>
  <c r="S120" i="7"/>
  <c r="R120" i="7"/>
  <c r="P120" i="7"/>
  <c r="N120" i="7"/>
  <c r="M120" i="7"/>
  <c r="H120" i="7"/>
  <c r="Q120" i="7" s="1"/>
  <c r="T116" i="7"/>
  <c r="B8" i="6" s="1"/>
  <c r="K116" i="7"/>
  <c r="I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85" i="7"/>
  <c r="H100" i="7"/>
  <c r="H95" i="7"/>
  <c r="H99" i="7"/>
  <c r="H98" i="7"/>
  <c r="H97" i="7"/>
  <c r="H96" i="7"/>
  <c r="H94" i="7"/>
  <c r="H93" i="7"/>
  <c r="H92" i="7"/>
  <c r="H91" i="7"/>
  <c r="H90" i="7"/>
  <c r="H89" i="7"/>
  <c r="H88" i="7"/>
  <c r="H87" i="7"/>
  <c r="H86" i="7"/>
  <c r="H84" i="7"/>
  <c r="H83" i="7"/>
  <c r="H82" i="7"/>
  <c r="H81" i="7"/>
  <c r="H80" i="7"/>
  <c r="H79" i="7"/>
  <c r="P78" i="7"/>
  <c r="N78" i="7"/>
  <c r="M78" i="7"/>
  <c r="H78" i="7"/>
  <c r="Q78" i="7" s="1"/>
  <c r="T75" i="7"/>
  <c r="B7" i="6" s="1"/>
  <c r="K75" i="7"/>
  <c r="I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7" i="7"/>
  <c r="H56" i="7"/>
  <c r="H55" i="7"/>
  <c r="H54" i="7"/>
  <c r="H53" i="7"/>
  <c r="H52" i="7"/>
  <c r="H51" i="7"/>
  <c r="H50" i="7"/>
  <c r="H49" i="7"/>
  <c r="H47" i="7"/>
  <c r="H48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Q28" i="7"/>
  <c r="P28" i="7"/>
  <c r="N28" i="7"/>
  <c r="M28" i="7"/>
  <c r="H28" i="7"/>
  <c r="O28" i="7" s="1"/>
  <c r="T25" i="7"/>
  <c r="B6" i="6" s="1"/>
  <c r="K25" i="7"/>
  <c r="I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P5" i="7"/>
  <c r="N5" i="7"/>
  <c r="M5" i="7"/>
  <c r="H5" i="7"/>
  <c r="Q5" i="7" s="1"/>
  <c r="L96" i="7" l="1"/>
  <c r="L100" i="7"/>
  <c r="L102" i="7"/>
  <c r="L106" i="7"/>
  <c r="L110" i="7"/>
  <c r="L114" i="7"/>
  <c r="L80" i="7"/>
  <c r="L82" i="7"/>
  <c r="L84" i="7"/>
  <c r="L88" i="7"/>
  <c r="L90" i="7"/>
  <c r="L94" i="7"/>
  <c r="L95" i="7"/>
  <c r="L99" i="7"/>
  <c r="L101" i="7"/>
  <c r="L105" i="7"/>
  <c r="L109" i="7"/>
  <c r="L111" i="7"/>
  <c r="L115" i="7"/>
  <c r="L79" i="7"/>
  <c r="L81" i="7"/>
  <c r="L83" i="7"/>
  <c r="L85" i="7"/>
  <c r="L87" i="7"/>
  <c r="L89" i="7"/>
  <c r="L91" i="7"/>
  <c r="L98" i="7"/>
  <c r="L104" i="7"/>
  <c r="L108" i="7"/>
  <c r="L112" i="7"/>
  <c r="L86" i="7"/>
  <c r="L92" i="7"/>
  <c r="L97" i="7"/>
  <c r="L103" i="7"/>
  <c r="L107" i="7"/>
  <c r="L113" i="7"/>
  <c r="L93" i="7"/>
  <c r="O94" i="7"/>
  <c r="Q94" i="7"/>
  <c r="C12" i="2"/>
  <c r="B4" i="3"/>
  <c r="J212" i="7"/>
  <c r="H148" i="7"/>
  <c r="H157" i="7"/>
  <c r="H126" i="7"/>
  <c r="N240" i="7"/>
  <c r="M208" i="7"/>
  <c r="O205" i="7"/>
  <c r="Q172" i="7"/>
  <c r="L205" i="7"/>
  <c r="B2" i="3"/>
  <c r="Q216" i="7"/>
  <c r="B5" i="3"/>
  <c r="O5" i="7"/>
  <c r="C5" i="2"/>
  <c r="H142" i="7"/>
  <c r="H121" i="7"/>
  <c r="J78" i="7"/>
  <c r="J140" i="7"/>
  <c r="J120" i="7"/>
  <c r="O212" i="7"/>
  <c r="J216" i="7"/>
  <c r="C9" i="2"/>
  <c r="O163" i="7"/>
  <c r="J172" i="7"/>
  <c r="L216" i="7"/>
  <c r="M236" i="7"/>
  <c r="M116" i="7"/>
  <c r="J163" i="7"/>
  <c r="L163" i="7"/>
  <c r="M169" i="7"/>
  <c r="O78" i="7"/>
  <c r="L5" i="7"/>
  <c r="O120" i="7"/>
  <c r="C11" i="2"/>
  <c r="C7" i="2"/>
  <c r="J5" i="7"/>
  <c r="J232" i="7"/>
  <c r="B7" i="3"/>
  <c r="L78" i="7"/>
  <c r="L232" i="7"/>
  <c r="H123" i="7"/>
  <c r="H159" i="7"/>
  <c r="H133" i="7"/>
  <c r="J240" i="7"/>
  <c r="H147" i="7"/>
  <c r="H149" i="7"/>
  <c r="H132" i="7"/>
  <c r="M25" i="7"/>
  <c r="M202" i="7"/>
  <c r="B6" i="3"/>
  <c r="C10" i="2"/>
  <c r="L172" i="7"/>
  <c r="T237" i="7"/>
  <c r="T247" i="7" s="1"/>
  <c r="B10" i="3"/>
  <c r="C6" i="2"/>
  <c r="L28" i="7"/>
  <c r="M75" i="7"/>
  <c r="J28" i="7"/>
  <c r="I237" i="7"/>
  <c r="I247" i="7" s="1"/>
  <c r="H144" i="7"/>
  <c r="H128" i="7"/>
  <c r="H146" i="7"/>
  <c r="H124" i="7"/>
  <c r="H154" i="7"/>
  <c r="H153" i="7"/>
  <c r="H122" i="7"/>
  <c r="H240" i="7"/>
  <c r="Q240" i="7" s="1"/>
  <c r="H141" i="7"/>
  <c r="K160" i="7"/>
  <c r="H125" i="7"/>
  <c r="H150" i="7"/>
  <c r="M140" i="7"/>
  <c r="N140" i="7"/>
  <c r="O140" i="7"/>
  <c r="P240" i="7"/>
  <c r="K246" i="7"/>
  <c r="L240" i="7" l="1"/>
  <c r="J25" i="7"/>
  <c r="J246" i="7"/>
  <c r="J208" i="7"/>
  <c r="J116" i="7"/>
  <c r="J236" i="7"/>
  <c r="J169" i="7"/>
  <c r="J202" i="7"/>
  <c r="J160" i="7"/>
  <c r="J75" i="7"/>
  <c r="K237" i="7"/>
  <c r="K247" i="7" s="1"/>
  <c r="L169" i="7" s="1"/>
  <c r="L120" i="7"/>
  <c r="M160" i="7"/>
  <c r="O240" i="7"/>
  <c r="B9" i="3"/>
  <c r="L140" i="7"/>
  <c r="C8" i="2"/>
  <c r="B3" i="3"/>
  <c r="C13" i="2"/>
  <c r="L208" i="7" l="1"/>
  <c r="L246" i="7"/>
  <c r="L160" i="7"/>
  <c r="L75" i="7"/>
  <c r="L116" i="7"/>
  <c r="L202" i="7"/>
  <c r="L25" i="7"/>
  <c r="L236" i="7"/>
</calcChain>
</file>

<file path=xl/sharedStrings.xml><?xml version="1.0" encoding="utf-8"?>
<sst xmlns="http://schemas.openxmlformats.org/spreadsheetml/2006/main" count="501" uniqueCount="334">
  <si>
    <t>MONTHLY UPDATE ON REGISTERED MUTUAL FUNDS AS AT 31ST MAY, 2026</t>
  </si>
  <si>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</si>
  <si>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</si>
  <si>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</si>
  <si>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</si>
  <si>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</si>
  <si>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</si>
  <si>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</si>
  <si>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</si>
  <si>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% ON TOTAL</t>
  </si>
  <si>
    <t xml:space="preserve">NET ASSET VALUE (N) 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</si>
  <si>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</si>
  <si>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</si>
  <si>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</si>
  <si>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</si>
  <si>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</si>
  <si>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</si>
  <si>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</si>
  <si>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</si>
  <si>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</si>
  <si>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</si>
  <si>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 xml:space="preserve"> 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</si>
  <si>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</si>
  <si>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</si>
  <si>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</si>
  <si>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</si>
  <si>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</si>
  <si>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</si>
  <si>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 xml:space="preserve">ARM Investment Managers Limited </t>
  </si>
  <si>
    <t>AXA Mansard Equity Income Fund</t>
  </si>
  <si>
    <t>AXA Mansard Investments Limited</t>
  </si>
  <si>
    <t>CardinalStone Equity Fund</t>
  </si>
  <si>
    <t>CardinalStone Asset Mgt. Limited</t>
  </si>
  <si>
    <t>Cowry Equity Fund</t>
  </si>
  <si>
    <t>Cowry Treasurers Limited</t>
  </si>
  <si>
    <t>FCMBAM Equity Fund</t>
  </si>
  <si>
    <t>First Asset Nigeria Smart Beta Equity Fund</t>
  </si>
  <si>
    <t>Frontier Fund</t>
  </si>
  <si>
    <t>SCM Capital Limited</t>
  </si>
  <si>
    <t>Futureview Equity Fund</t>
  </si>
  <si>
    <t xml:space="preserve">Futureview Asset Management Limited </t>
  </si>
  <si>
    <t>Guaranty Trust Equity Income Fund</t>
  </si>
  <si>
    <t>Guaranty Trust Fund Managers Limited</t>
  </si>
  <si>
    <t>Halo Equity Fund</t>
  </si>
  <si>
    <t>Halo Nigeria Capital Management Limited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</si>
  <si>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</si>
  <si>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</si>
  <si>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</si>
  <si>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</si>
  <si>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</si>
  <si>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</si>
  <si>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</si>
  <si>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</si>
  <si>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</si>
  <si>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</si>
  <si>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</si>
  <si>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</si>
  <si>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</si>
  <si>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</si>
  <si>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</si>
  <si>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 Total</t>
  </si>
  <si>
    <t>MONEY MARKET FUNDS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</si>
  <si>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</si>
  <si>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</si>
  <si>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</si>
  <si>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</si>
  <si>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</si>
  <si>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</si>
  <si>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</si>
  <si>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</si>
  <si>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</si>
  <si>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ARM Investment Managers Limited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</si>
  <si>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</si>
  <si>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</si>
  <si>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</si>
  <si>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</si>
  <si>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</si>
  <si>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</si>
  <si>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</si>
  <si>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</si>
  <si>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</si>
  <si>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</si>
  <si>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</si>
  <si>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</si>
  <si>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Coronation Asset Management Limited</t>
  </si>
  <si>
    <t>DLM Money Market Fund</t>
  </si>
  <si>
    <t>DLM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</si>
  <si>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</si>
  <si>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</si>
  <si>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</si>
  <si>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</si>
  <si>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</si>
  <si>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</si>
  <si>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</si>
  <si>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</si>
  <si>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</si>
  <si>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</si>
  <si>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 Asset Management Limited</t>
  </si>
  <si>
    <t>Fundvine Money Market Fund</t>
  </si>
  <si>
    <t>Fundvine Berkshire Asset Management Limited</t>
  </si>
  <si>
    <t>GDL Money Market Fund</t>
  </si>
  <si>
    <t xml:space="preserve">Growth and Development Asset Management Limited </t>
  </si>
  <si>
    <t>Greenwich Plus Money Market</t>
  </si>
  <si>
    <t xml:space="preserve">Greenwich Asst Management Ltd 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</si>
  <si>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</si>
  <si>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</si>
  <si>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</si>
  <si>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</si>
  <si>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Maket Fund</t>
  </si>
  <si>
    <t>Mango Asset Management Limited</t>
  </si>
  <si>
    <t>Meristem Money Market Fund</t>
  </si>
  <si>
    <t>Norrenberger Money Market Fund</t>
  </si>
  <si>
    <t>Norrenberger Investment and Capital Mgt Limited</t>
  </si>
  <si>
    <t>NOVA Prime Money Market Fund</t>
  </si>
  <si>
    <t>NOVAMBL Asset Management Limited</t>
  </si>
  <si>
    <t>PACAM Money Market Fund</t>
  </si>
  <si>
    <t>Page Money Market Fund</t>
  </si>
  <si>
    <t>Page Asset Management Limited</t>
  </si>
  <si>
    <t>Parthian Money Market Fund</t>
  </si>
  <si>
    <t>Parthian Capital Ltd.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</si>
  <si>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</si>
  <si>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</si>
  <si>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</si>
  <si>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</si>
  <si>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</si>
  <si>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</si>
  <si>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Mgt.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</si>
  <si>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</si>
  <si>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</si>
  <si>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</si>
  <si>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</si>
  <si>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</si>
  <si>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</si>
  <si>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</si>
  <si>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Zedcrest Money Market Fund</t>
  </si>
  <si>
    <t>Zenith Money Market Fund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</si>
  <si>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</si>
  <si>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</si>
  <si>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</si>
  <si>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</si>
  <si>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</si>
  <si>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</si>
  <si>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GAM Fixed Income Naira Fund</t>
  </si>
  <si>
    <t>CEAT Fixed Income Fund</t>
  </si>
  <si>
    <t>Capital Express Assset &amp; Trust Limited</t>
  </si>
  <si>
    <t>CFG AM Fixed Income Naira Fund</t>
  </si>
  <si>
    <t>CFG Assset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</si>
  <si>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</si>
  <si>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</si>
  <si>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</si>
  <si>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</si>
  <si>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</si>
  <si>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</si>
  <si>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</si>
  <si>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Nigeria Fixed Income Fund</t>
  </si>
  <si>
    <t>Emerging Africa Bond Fund</t>
  </si>
  <si>
    <t>GDL Income Fund</t>
  </si>
  <si>
    <t>Guaranty Trust Fixed Income Fund</t>
  </si>
  <si>
    <t xml:space="preserve">Lead Fixed Income Fund </t>
  </si>
  <si>
    <t>Lead Asset Mgt Ltd</t>
  </si>
  <si>
    <t>Meristem Fixed Income Fund</t>
  </si>
  <si>
    <t>Nigeria International Debt Fund</t>
  </si>
  <si>
    <t>Norrenberger Turbo Fixed Income Fund</t>
  </si>
  <si>
    <t>Norrenberger Investment &amp; Capital Mgt. Ltd.</t>
  </si>
  <si>
    <t>PACAM Fixed Income Fund</t>
  </si>
  <si>
    <t>Radix Horizon Fund</t>
  </si>
  <si>
    <t>Radix Capital Partners Limited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</si>
  <si>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</si>
  <si>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</si>
  <si>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</si>
  <si>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</si>
  <si>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</si>
  <si>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</si>
  <si>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</si>
  <si>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Trustbanc Aset Management Limited</t>
  </si>
  <si>
    <t>United Capital Fixed Income Fund</t>
  </si>
  <si>
    <t>United Capital Stable Fixed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</si>
  <si>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</si>
  <si>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</si>
  <si>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</si>
  <si>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</si>
  <si>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</si>
  <si>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</si>
  <si>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</si>
  <si>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</si>
  <si>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</si>
  <si>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</si>
  <si>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</si>
  <si>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</si>
  <si>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</si>
  <si>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</si>
  <si>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EDC Fund Management Limited</t>
  </si>
  <si>
    <t>Emerging Africa Eurobond Fund</t>
  </si>
  <si>
    <t>FCMBAM USD Bond Fund</t>
  </si>
  <si>
    <t>First Asset Dollar Fund</t>
  </si>
  <si>
    <t>First Asset Specialized Dollar Fund</t>
  </si>
  <si>
    <t>FSL Eurobond Fund</t>
  </si>
  <si>
    <t>FSL Asset Management Limited</t>
  </si>
  <si>
    <t>Futureview Dollar Fund</t>
  </si>
  <si>
    <t>Futureview Asset Management Limited</t>
  </si>
  <si>
    <t>Norrenberger Dollar Fund</t>
  </si>
  <si>
    <t>Norrenberger Investment &amp; Capital Management Limited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</si>
  <si>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</si>
  <si>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</si>
  <si>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</si>
  <si>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</si>
  <si>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</si>
  <si>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</si>
  <si>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</si>
  <si>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</si>
  <si>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</si>
  <si>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</si>
  <si>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</si>
  <si>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</si>
  <si>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</si>
  <si>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Lead Asset Management Limited</t>
  </si>
  <si>
    <t>Meristem Dollar Fund</t>
  </si>
  <si>
    <t>Nigeria Dollar Income Fund</t>
  </si>
  <si>
    <t>NOVA Dollar Fixed Income Fund</t>
  </si>
  <si>
    <t>Parthian Dollar Fixed Income Fund</t>
  </si>
  <si>
    <t>Stanbic IBTC Dollar Fund</t>
  </si>
  <si>
    <t>STL Dollar Fund</t>
  </si>
  <si>
    <t xml:space="preserve">United Capital Global Fixed Income Fund </t>
  </si>
  <si>
    <t>RMBN Dollar Fixed Income Fund</t>
  </si>
  <si>
    <t>Vetiva USD Fixed Income Fund</t>
  </si>
  <si>
    <t>Zedcrest Dollar Fund</t>
  </si>
  <si>
    <t>REAL ESTATE FUNDS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</si>
  <si>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</si>
  <si>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</si>
  <si>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</si>
  <si>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</si>
  <si>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</si>
  <si>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</si>
  <si>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Fund</t>
  </si>
  <si>
    <t>BALANCED FUNDS</t>
  </si>
  <si>
    <t>AIICO Balanced Fund</t>
  </si>
  <si>
    <t>Alpha Morgan Balanced Fund</t>
  </si>
  <si>
    <t>Alpha Morgan Capital Managers Limited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</si>
  <si>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</si>
  <si>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</si>
  <si>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</si>
  <si>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</si>
  <si>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</si>
  <si>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</si>
  <si>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>Cowry Balanced Fund</t>
  </si>
  <si>
    <t>EDC Balanced Fund</t>
  </si>
  <si>
    <t>Emerging Africa Balanced-Diversity Fund</t>
  </si>
  <si>
    <t>First Asset Balanced Fund</t>
  </si>
  <si>
    <t>GDL Canary Balanced Fund</t>
  </si>
  <si>
    <t>Growth and Development Asset Management Limited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</si>
  <si>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</si>
  <si>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</si>
  <si>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</si>
  <si>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</si>
  <si>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</si>
  <si>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 xml:space="preserve">Lead Balanced Fund 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</si>
  <si>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</si>
  <si>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</si>
  <si>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</si>
  <si>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</si>
  <si>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</si>
  <si>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</si>
  <si>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</si>
  <si>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</si>
  <si>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</si>
  <si>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</si>
  <si>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</si>
  <si>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</si>
  <si>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</si>
  <si>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</si>
  <si>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CFG Asset Management Limited</t>
  </si>
  <si>
    <t>Stanbic IBTC Ethical Fund</t>
  </si>
  <si>
    <t>Zenith ESG Impact Fund</t>
  </si>
  <si>
    <t>SHARI'AH COMPLIANT FUNDS</t>
  </si>
  <si>
    <t>EQUITIES</t>
  </si>
  <si>
    <t>Lotus Halal Investment  Fund</t>
  </si>
  <si>
    <t>Lotus Capital Limited</t>
  </si>
  <si>
    <t>Stanbic IBTC Imaan Fund</t>
  </si>
  <si>
    <t>ARM Sharia Compliant Fixed Income Fund</t>
  </si>
  <si>
    <t>Capital Trust Halal Fixed Income Fund</t>
  </si>
  <si>
    <t>Capital Trust Investments &amp; Asset Mgt. Ltd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</si>
  <si>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</si>
  <si>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</si>
  <si>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</si>
  <si>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</si>
  <si>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</si>
  <si>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</si>
  <si>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</si>
  <si>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Lotus Halal Fixed Income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</si>
  <si>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</si>
  <si>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</si>
  <si>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</si>
  <si>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</si>
  <si>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</si>
  <si>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</si>
  <si>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</si>
  <si>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</si>
  <si>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Afrinvest Asset Mgt Ltd.</t>
  </si>
  <si>
    <t>ARM Halal Balanced Fund</t>
  </si>
  <si>
    <t>Lotus Waqf (Endowment) Fund</t>
  </si>
  <si>
    <t>One17 Halal Fund</t>
  </si>
  <si>
    <t>One17 Capital Limited</t>
  </si>
  <si>
    <t>Mutual Fund Total</t>
  </si>
  <si>
    <t>SPECIALISED FUNDS</t>
  </si>
  <si>
    <t>ARM Specialized Dollar Fund</t>
  </si>
  <si>
    <t>Clean Energy Fund</t>
  </si>
  <si>
    <t>Fundco Capital Managers Limited</t>
  </si>
  <si>
    <t>FCMB-TLG Private Debt Fund</t>
  </si>
  <si>
    <t>FCMB Asset Management Limited</t>
  </si>
  <si>
    <t>First Asset Blended Dollar Fund</t>
  </si>
  <si>
    <t>United Capital Children Investment Fund</t>
  </si>
  <si>
    <t>Grand Total</t>
  </si>
  <si>
    <t>Note:</t>
  </si>
  <si>
    <t>FUNDS</t>
  </si>
  <si>
    <t>BONDS/FIXED INCOME FUNDS</t>
  </si>
  <si>
    <t>REAL ESTATE INVESTMENT TRUST</t>
  </si>
  <si>
    <t>SHARI'AH COMPLAINT FUNDS</t>
  </si>
  <si>
    <t>UNIT HOLDERS</t>
  </si>
  <si>
    <r>
      <t>US$/NG</t>
    </r>
    <r>
      <rPr>
        <strike/>
        <sz val="8"/>
        <color theme="0"/>
        <rFont val="Times New Roman"/>
        <family val="1"/>
      </rPr>
      <t>N</t>
    </r>
    <r>
      <rPr>
        <sz val="8"/>
        <color theme="0"/>
        <rFont val="Times New Roman"/>
        <family val="1"/>
      </rPr>
      <t xml:space="preserve"> I&amp;E as at 29th May, 2026 = N1373.2545</t>
    </r>
  </si>
  <si>
    <t>Myrtle Nest(MyNest Money Market Fund)</t>
  </si>
  <si>
    <t>Myrtle Asset Management and Trust Limited</t>
  </si>
  <si>
    <t>Myrtle Dollar Shield Fund</t>
  </si>
  <si>
    <t>Myrtle Asset Management Limited</t>
  </si>
  <si>
    <t>Myrtle Balanced Plus Fund</t>
  </si>
  <si>
    <t>Myrtle asset Management Limited</t>
  </si>
  <si>
    <t>NET ASSET VALUE (N) PREVIOUS - APRIL</t>
  </si>
  <si>
    <t>CardinalStone Fixed Income Alpha Fund</t>
  </si>
  <si>
    <t>First Asset Bond Fund</t>
  </si>
  <si>
    <t>First Asset Management Limited</t>
  </si>
  <si>
    <t>FCMBAM Debt Fund</t>
  </si>
  <si>
    <t>ValuAlliance Specialized Dollar Fund</t>
  </si>
  <si>
    <t>Chapel Hill Denham Nigeria Bond Fund</t>
  </si>
  <si>
    <t>May 2026</t>
  </si>
  <si>
    <t>Apr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</si>
</sst>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_-* #,##0_-;\-* #,##0_-;_-* &quot;-&quot;??_-;_-@_-"/>
    <numFmt numFmtId="173" formatCode="&quot; &quot;* #,##0.00&quot; &quot;;&quot;-&quot;* #,##0.00&quot; &quot;;&quot; &quot;* &quot;-&quot;??&quot; &quot;"/>
    <numFmt numFmtId="174" formatCode="&quot; &quot;* #,##0&quot; &quot;;&quot;-&quot;* #,##0&quot; &quot;;&quot; &quot;* &quot;-&quot;??&quot; &quot;"/>
    <numFmt numFmtId="175" formatCode="&quot; &quot;* #,##0.00&quot; &quot;;&quot; &quot;* \(#,##0.00\);&quot; &quot;* &quot;-&quot;??&quot; &quot;"/>
  </numFmts>
  <fonts count="46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8"/>
      <color theme="0"/>
      <name val="Arial Narrow"/>
      <family val="2"/>
    </font>
    <font>
      <sz val="8"/>
      <name val="Arial Narrow"/>
      <family val="2"/>
    </font>
    <font>
      <sz val="8"/>
      <name val="Century Gothic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8"/>
      <color theme="0"/>
      <name val="Segoe UI Black"/>
      <family val="2"/>
    </font>
    <font>
      <b/>
      <sz val="10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sz val="8"/>
      <color rgb="FFC00000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8"/>
      <color theme="0"/>
      <name val="Times New Roman"/>
      <family val="1"/>
    </font>
    <font>
      <sz val="8"/>
      <color rgb="FF424242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charset val="134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sz val="8"/>
      <color theme="0"/>
      <name val="Times New Roman"/>
      <family val="1"/>
    </font>
    <font>
      <strike/>
      <sz val="8"/>
      <color theme="0"/>
      <name val="Times New Roman"/>
      <family val="1"/>
    </font>
    <font>
      <sz val="8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65">
    <xf numFmtId="0" fontId="0" fillId="0" borderId="0"/>
    <xf numFmtId="16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165" fontId="32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37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5" fontId="34" fillId="0" borderId="0" applyFont="0" applyFill="0" applyBorder="0" applyAlignment="0" applyProtection="0"/>
    <xf numFmtId="5" fontId="3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35" fillId="11" borderId="0" applyNumberFormat="0" applyBorder="0" applyAlignment="0" applyProtection="0"/>
    <xf numFmtId="170" fontId="3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49" fontId="33" fillId="0" borderId="0"/>
    <xf numFmtId="49" fontId="33" fillId="0" borderId="0"/>
    <xf numFmtId="49" fontId="33" fillId="0" borderId="0"/>
    <xf numFmtId="49" fontId="33" fillId="0" borderId="0"/>
    <xf numFmtId="0" fontId="33" fillId="0" borderId="0"/>
    <xf numFmtId="37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/>
    <xf numFmtId="0" fontId="3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0" fontId="40" fillId="10" borderId="8" applyNumberFormat="0" applyFont="0" applyAlignment="0" applyProtection="0"/>
    <xf numFmtId="9" fontId="3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71" fontId="2" fillId="0" borderId="0" xfId="201" applyNumberFormat="1" applyFont="1"/>
    <xf numFmtId="0" fontId="5" fillId="0" borderId="0" xfId="0" applyFont="1" applyAlignment="1">
      <alignment horizontal="right"/>
    </xf>
    <xf numFmtId="172" fontId="2" fillId="0" borderId="0" xfId="1" applyNumberFormat="1" applyFont="1"/>
    <xf numFmtId="0" fontId="6" fillId="0" borderId="2" xfId="0" applyFont="1" applyBorder="1" applyAlignment="1">
      <alignment horizontal="right"/>
    </xf>
    <xf numFmtId="164" fontId="7" fillId="2" borderId="2" xfId="1" applyFont="1" applyFill="1" applyBorder="1" applyAlignment="1">
      <alignment horizontal="right" vertical="top" wrapText="1"/>
    </xf>
    <xf numFmtId="164" fontId="7" fillId="2" borderId="2" xfId="1" applyFont="1" applyFill="1" applyBorder="1"/>
    <xf numFmtId="4" fontId="7" fillId="2" borderId="2" xfId="0" applyNumberFormat="1" applyFont="1" applyFill="1" applyBorder="1"/>
    <xf numFmtId="4" fontId="7" fillId="2" borderId="2" xfId="0" applyNumberFormat="1" applyFont="1" applyFill="1" applyBorder="1" applyAlignment="1">
      <alignment horizontal="right"/>
    </xf>
    <xf numFmtId="164" fontId="8" fillId="2" borderId="0" xfId="1" applyFont="1" applyFill="1" applyBorder="1"/>
    <xf numFmtId="43" fontId="1" fillId="0" borderId="0" xfId="201" applyFont="1" applyBorder="1"/>
    <xf numFmtId="4" fontId="9" fillId="2" borderId="0" xfId="0" applyNumberFormat="1" applyFont="1" applyFill="1"/>
    <xf numFmtId="4" fontId="9" fillId="2" borderId="0" xfId="0" applyNumberFormat="1" applyFont="1" applyFill="1" applyAlignment="1">
      <alignment horizontal="right"/>
    </xf>
    <xf numFmtId="173" fontId="10" fillId="2" borderId="0" xfId="0" applyNumberFormat="1" applyFont="1" applyFill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4" fontId="11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wrapText="1"/>
    </xf>
    <xf numFmtId="0" fontId="7" fillId="0" borderId="0" xfId="0" applyFo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2" fontId="7" fillId="0" borderId="0" xfId="0" applyNumberFormat="1" applyFont="1"/>
    <xf numFmtId="0" fontId="6" fillId="0" borderId="0" xfId="0" applyFont="1" applyAlignment="1">
      <alignment horizontal="right"/>
    </xf>
    <xf numFmtId="16" fontId="6" fillId="2" borderId="0" xfId="0" applyNumberFormat="1" applyFont="1" applyFill="1"/>
    <xf numFmtId="164" fontId="15" fillId="0" borderId="0" xfId="1" applyFont="1" applyBorder="1"/>
    <xf numFmtId="4" fontId="15" fillId="2" borderId="0" xfId="0" applyNumberFormat="1" applyFont="1" applyFill="1"/>
    <xf numFmtId="0" fontId="15" fillId="0" borderId="0" xfId="0" applyFont="1"/>
    <xf numFmtId="0" fontId="16" fillId="0" borderId="0" xfId="0" applyFont="1" applyAlignment="1">
      <alignment horizontal="right"/>
    </xf>
    <xf numFmtId="4" fontId="11" fillId="2" borderId="0" xfId="0" applyNumberFormat="1" applyFont="1" applyFill="1"/>
    <xf numFmtId="164" fontId="11" fillId="2" borderId="0" xfId="1" applyFont="1" applyFill="1" applyBorder="1" applyAlignment="1">
      <alignment horizontal="right" vertical="top" wrapText="1"/>
    </xf>
    <xf numFmtId="0" fontId="17" fillId="2" borderId="0" xfId="0" applyFont="1" applyFill="1"/>
    <xf numFmtId="0" fontId="17" fillId="3" borderId="0" xfId="0" applyFont="1" applyFill="1"/>
    <xf numFmtId="0" fontId="18" fillId="0" borderId="0" xfId="0" applyFont="1"/>
    <xf numFmtId="0" fontId="19" fillId="0" borderId="0" xfId="0" applyFont="1"/>
    <xf numFmtId="0" fontId="17" fillId="0" borderId="0" xfId="0" applyFont="1"/>
    <xf numFmtId="49" fontId="21" fillId="5" borderId="2" xfId="0" applyNumberFormat="1" applyFont="1" applyFill="1" applyBorder="1" applyAlignment="1">
      <alignment horizontal="center" vertical="top" wrapText="1"/>
    </xf>
    <xf numFmtId="164" fontId="21" fillId="5" borderId="2" xfId="1" applyFont="1" applyFill="1" applyBorder="1" applyAlignment="1">
      <alignment horizontal="center" vertical="top" wrapText="1"/>
    </xf>
    <xf numFmtId="174" fontId="22" fillId="2" borderId="2" xfId="0" applyNumberFormat="1" applyFont="1" applyFill="1" applyBorder="1" applyAlignment="1">
      <alignment horizontal="center" wrapText="1"/>
    </xf>
    <xf numFmtId="49" fontId="22" fillId="2" borderId="2" xfId="0" applyNumberFormat="1" applyFont="1" applyFill="1" applyBorder="1" applyAlignment="1">
      <alignment wrapText="1"/>
    </xf>
    <xf numFmtId="49" fontId="10" fillId="2" borderId="2" xfId="0" applyNumberFormat="1" applyFont="1" applyFill="1" applyBorder="1" applyAlignment="1">
      <alignment wrapText="1"/>
    </xf>
    <xf numFmtId="164" fontId="10" fillId="2" borderId="2" xfId="1" applyFont="1" applyFill="1" applyBorder="1"/>
    <xf numFmtId="164" fontId="10" fillId="2" borderId="2" xfId="1" applyFont="1" applyFill="1" applyBorder="1" applyAlignment="1"/>
    <xf numFmtId="164" fontId="10" fillId="2" borderId="2" xfId="1" applyFont="1" applyFill="1" applyBorder="1" applyAlignment="1">
      <alignment horizontal="left"/>
    </xf>
    <xf numFmtId="10" fontId="10" fillId="2" borderId="2" xfId="0" applyNumberFormat="1" applyFont="1" applyFill="1" applyBorder="1" applyAlignment="1">
      <alignment horizontal="center"/>
    </xf>
    <xf numFmtId="10" fontId="23" fillId="6" borderId="2" xfId="0" applyNumberFormat="1" applyFont="1" applyFill="1" applyBorder="1" applyAlignment="1">
      <alignment horizontal="center" vertical="center"/>
    </xf>
    <xf numFmtId="10" fontId="10" fillId="6" borderId="2" xfId="0" applyNumberFormat="1" applyFont="1" applyFill="1" applyBorder="1" applyAlignment="1">
      <alignment horizontal="center" vertical="center"/>
    </xf>
    <xf numFmtId="173" fontId="10" fillId="6" borderId="2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/>
    <xf numFmtId="174" fontId="10" fillId="2" borderId="2" xfId="0" applyNumberFormat="1" applyFont="1" applyFill="1" applyBorder="1" applyAlignment="1">
      <alignment horizontal="center" wrapText="1"/>
    </xf>
    <xf numFmtId="49" fontId="10" fillId="2" borderId="2" xfId="0" applyNumberFormat="1" applyFont="1" applyFill="1" applyBorder="1" applyAlignment="1">
      <alignment vertical="center" wrapText="1"/>
    </xf>
    <xf numFmtId="4" fontId="22" fillId="2" borderId="2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164" fontId="10" fillId="0" borderId="2" xfId="1" applyFont="1" applyBorder="1"/>
    <xf numFmtId="4" fontId="10" fillId="2" borderId="2" xfId="0" applyNumberFormat="1" applyFont="1" applyFill="1" applyBorder="1" applyAlignment="1">
      <alignment wrapText="1"/>
    </xf>
    <xf numFmtId="164" fontId="23" fillId="2" borderId="2" xfId="1" applyFont="1" applyFill="1" applyBorder="1" applyAlignment="1">
      <alignment horizontal="right"/>
    </xf>
    <xf numFmtId="164" fontId="23" fillId="2" borderId="2" xfId="1" applyFont="1" applyFill="1" applyBorder="1" applyAlignment="1">
      <alignment horizontal="left"/>
    </xf>
    <xf numFmtId="10" fontId="23" fillId="2" borderId="2" xfId="0" applyNumberFormat="1" applyFont="1" applyFill="1" applyBorder="1" applyAlignment="1">
      <alignment horizontal="center"/>
    </xf>
    <xf numFmtId="173" fontId="23" fillId="6" borderId="2" xfId="0" applyNumberFormat="1" applyFont="1" applyFill="1" applyBorder="1" applyAlignment="1">
      <alignment horizontal="right" vertical="center"/>
    </xf>
    <xf numFmtId="164" fontId="23" fillId="2" borderId="2" xfId="1" applyFont="1" applyFill="1" applyBorder="1"/>
    <xf numFmtId="164" fontId="10" fillId="7" borderId="2" xfId="1" applyFont="1" applyFill="1" applyBorder="1"/>
    <xf numFmtId="173" fontId="10" fillId="6" borderId="2" xfId="0" applyNumberFormat="1" applyFont="1" applyFill="1" applyBorder="1" applyAlignment="1">
      <alignment horizontal="center" vertical="center"/>
    </xf>
    <xf numFmtId="164" fontId="10" fillId="0" borderId="2" xfId="1" applyFont="1" applyFill="1" applyBorder="1"/>
    <xf numFmtId="164" fontId="10" fillId="2" borderId="2" xfId="1" applyNumberFormat="1" applyFont="1" applyFill="1" applyBorder="1"/>
    <xf numFmtId="164" fontId="10" fillId="7" borderId="2" xfId="1" applyNumberFormat="1" applyFont="1" applyFill="1" applyBorder="1"/>
    <xf numFmtId="164" fontId="10" fillId="0" borderId="2" xfId="1" applyNumberFormat="1" applyFont="1" applyFill="1" applyBorder="1"/>
    <xf numFmtId="164" fontId="10" fillId="2" borderId="2" xfId="1" applyFont="1" applyFill="1" applyBorder="1" applyAlignment="1">
      <alignment wrapText="1"/>
    </xf>
    <xf numFmtId="49" fontId="10" fillId="2" borderId="2" xfId="0" applyNumberFormat="1" applyFont="1" applyFill="1" applyBorder="1" applyAlignment="1">
      <alignment vertical="top" wrapText="1"/>
    </xf>
    <xf numFmtId="173" fontId="23" fillId="2" borderId="2" xfId="0" applyNumberFormat="1" applyFont="1" applyFill="1" applyBorder="1"/>
    <xf numFmtId="173" fontId="23" fillId="6" borderId="2" xfId="0" applyNumberFormat="1" applyFont="1" applyFill="1" applyBorder="1" applyAlignment="1">
      <alignment horizontal="center" vertical="center"/>
    </xf>
    <xf numFmtId="164" fontId="10" fillId="2" borderId="2" xfId="1" applyFont="1" applyFill="1" applyBorder="1" applyAlignment="1">
      <alignment horizontal="right"/>
    </xf>
    <xf numFmtId="49" fontId="22" fillId="2" borderId="2" xfId="0" applyNumberFormat="1" applyFont="1" applyFill="1" applyBorder="1"/>
    <xf numFmtId="164" fontId="24" fillId="2" borderId="2" xfId="1" applyFont="1" applyFill="1" applyBorder="1"/>
    <xf numFmtId="174" fontId="22" fillId="2" borderId="2" xfId="0" applyNumberFormat="1" applyFont="1" applyFill="1" applyBorder="1" applyAlignment="1">
      <alignment horizontal="right" wrapText="1"/>
    </xf>
    <xf numFmtId="174" fontId="10" fillId="2" borderId="2" xfId="0" applyNumberFormat="1" applyFont="1" applyFill="1" applyBorder="1" applyAlignment="1">
      <alignment horizontal="right" wrapText="1"/>
    </xf>
    <xf numFmtId="0" fontId="22" fillId="2" borderId="2" xfId="0" applyFont="1" applyFill="1" applyBorder="1" applyAlignment="1">
      <alignment wrapText="1"/>
    </xf>
    <xf numFmtId="164" fontId="10" fillId="0" borderId="2" xfId="1" applyFont="1" applyFill="1" applyBorder="1" applyAlignment="1">
      <alignment horizontal="right"/>
    </xf>
    <xf numFmtId="172" fontId="10" fillId="2" borderId="2" xfId="1" applyNumberFormat="1" applyFont="1" applyFill="1" applyBorder="1" applyAlignment="1">
      <alignment horizontal="center" wrapText="1"/>
    </xf>
    <xf numFmtId="164" fontId="10" fillId="0" borderId="2" xfId="1" applyFont="1" applyBorder="1" applyAlignment="1"/>
    <xf numFmtId="164" fontId="10" fillId="0" borderId="2" xfId="1" applyFont="1" applyBorder="1" applyAlignment="1">
      <alignment horizontal="right"/>
    </xf>
    <xf numFmtId="164" fontId="10" fillId="0" borderId="2" xfId="1" applyNumberFormat="1" applyFont="1" applyBorder="1"/>
    <xf numFmtId="172" fontId="22" fillId="2" borderId="2" xfId="1" applyNumberFormat="1" applyFont="1" applyFill="1" applyBorder="1" applyAlignment="1">
      <alignment horizontal="center" wrapText="1"/>
    </xf>
    <xf numFmtId="164" fontId="22" fillId="2" borderId="2" xfId="1" applyFont="1" applyFill="1" applyBorder="1" applyAlignment="1">
      <alignment wrapText="1"/>
    </xf>
    <xf numFmtId="164" fontId="10" fillId="0" borderId="2" xfId="1" applyNumberFormat="1" applyFont="1" applyBorder="1" applyAlignment="1"/>
    <xf numFmtId="164" fontId="23" fillId="2" borderId="2" xfId="1" applyFont="1" applyFill="1" applyBorder="1" applyAlignment="1"/>
    <xf numFmtId="164" fontId="22" fillId="2" borderId="2" xfId="1" applyFont="1" applyFill="1" applyBorder="1" applyAlignment="1">
      <alignment horizontal="left" vertical="top" wrapText="1"/>
    </xf>
    <xf numFmtId="164" fontId="10" fillId="2" borderId="2" xfId="1" applyFont="1" applyFill="1" applyBorder="1" applyAlignment="1">
      <alignment horizontal="left" vertical="top" wrapText="1"/>
    </xf>
    <xf numFmtId="164" fontId="10" fillId="2" borderId="2" xfId="1" applyFont="1" applyFill="1" applyBorder="1" applyAlignment="1">
      <alignment horizontal="right" vertical="top" wrapText="1"/>
    </xf>
    <xf numFmtId="164" fontId="10" fillId="2" borderId="2" xfId="1" applyFont="1" applyFill="1" applyBorder="1" applyAlignment="1">
      <alignment horizontal="center" vertical="top" wrapText="1"/>
    </xf>
    <xf numFmtId="164" fontId="10" fillId="2" borderId="2" xfId="1" applyNumberFormat="1" applyFont="1" applyFill="1" applyBorder="1" applyAlignment="1">
      <alignment horizontal="right" vertical="top" wrapText="1"/>
    </xf>
    <xf numFmtId="164" fontId="10" fillId="2" borderId="2" xfId="1" applyNumberFormat="1" applyFont="1" applyFill="1" applyBorder="1" applyAlignment="1">
      <alignment horizontal="center" vertical="top" wrapText="1"/>
    </xf>
    <xf numFmtId="164" fontId="10" fillId="2" borderId="2" xfId="1" applyNumberFormat="1" applyFont="1" applyFill="1" applyBorder="1" applyAlignment="1">
      <alignment horizontal="left"/>
    </xf>
    <xf numFmtId="164" fontId="22" fillId="2" borderId="2" xfId="1" applyFont="1" applyFill="1" applyBorder="1"/>
    <xf numFmtId="164" fontId="10" fillId="2" borderId="2" xfId="1" applyFont="1" applyFill="1" applyBorder="1" applyAlignment="1">
      <alignment vertical="top" wrapText="1"/>
    </xf>
    <xf numFmtId="164" fontId="23" fillId="2" borderId="2" xfId="1" applyFont="1" applyFill="1" applyBorder="1" applyAlignment="1">
      <alignment wrapText="1"/>
    </xf>
    <xf numFmtId="10" fontId="23" fillId="6" borderId="2" xfId="0" applyNumberFormat="1" applyFont="1" applyFill="1" applyBorder="1" applyAlignment="1">
      <alignment horizontal="right" vertical="center"/>
    </xf>
    <xf numFmtId="164" fontId="10" fillId="2" borderId="2" xfId="1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right" wrapText="1"/>
    </xf>
    <xf numFmtId="2" fontId="22" fillId="2" borderId="2" xfId="0" applyNumberFormat="1" applyFont="1" applyFill="1" applyBorder="1"/>
    <xf numFmtId="2" fontId="10" fillId="2" borderId="2" xfId="0" applyNumberFormat="1" applyFont="1" applyFill="1" applyBorder="1" applyAlignment="1">
      <alignment wrapText="1"/>
    </xf>
    <xf numFmtId="164" fontId="10" fillId="0" borderId="2" xfId="1" applyFont="1" applyFill="1" applyBorder="1" applyAlignment="1" applyProtection="1"/>
    <xf numFmtId="0" fontId="10" fillId="2" borderId="2" xfId="0" applyFont="1" applyFill="1" applyBorder="1" applyAlignment="1">
      <alignment horizontal="right" wrapText="1"/>
    </xf>
    <xf numFmtId="2" fontId="10" fillId="2" borderId="2" xfId="0" applyNumberFormat="1" applyFont="1" applyFill="1" applyBorder="1"/>
    <xf numFmtId="164" fontId="10" fillId="0" borderId="2" xfId="1" applyNumberFormat="1" applyFont="1" applyFill="1" applyBorder="1" applyAlignment="1" applyProtection="1"/>
    <xf numFmtId="2" fontId="22" fillId="2" borderId="2" xfId="0" applyNumberFormat="1" applyFont="1" applyFill="1" applyBorder="1" applyAlignment="1">
      <alignment wrapText="1"/>
    </xf>
    <xf numFmtId="2" fontId="10" fillId="2" borderId="2" xfId="414" applyNumberFormat="1" applyFont="1" applyFill="1" applyBorder="1" applyAlignment="1">
      <alignment wrapText="1"/>
    </xf>
    <xf numFmtId="173" fontId="10" fillId="2" borderId="2" xfId="0" applyNumberFormat="1" applyFont="1" applyFill="1" applyBorder="1" applyAlignment="1">
      <alignment horizontal="right"/>
    </xf>
    <xf numFmtId="171" fontId="10" fillId="0" borderId="2" xfId="0" applyNumberFormat="1" applyFont="1" applyBorder="1"/>
    <xf numFmtId="173" fontId="10" fillId="2" borderId="2" xfId="0" applyNumberFormat="1" applyFont="1" applyFill="1" applyBorder="1"/>
    <xf numFmtId="172" fontId="10" fillId="0" borderId="2" xfId="0" applyNumberFormat="1" applyFont="1" applyBorder="1"/>
    <xf numFmtId="174" fontId="10" fillId="2" borderId="2" xfId="0" applyNumberFormat="1" applyFont="1" applyFill="1" applyBorder="1"/>
    <xf numFmtId="172" fontId="22" fillId="2" borderId="3" xfId="1" applyNumberFormat="1" applyFont="1" applyFill="1" applyBorder="1" applyAlignment="1">
      <alignment horizontal="right" wrapText="1"/>
    </xf>
    <xf numFmtId="164" fontId="22" fillId="2" borderId="0" xfId="1" applyFont="1" applyFill="1" applyBorder="1" applyAlignment="1">
      <alignment wrapText="1"/>
    </xf>
    <xf numFmtId="164" fontId="10" fillId="2" borderId="0" xfId="1" applyFont="1" applyFill="1" applyBorder="1" applyAlignment="1">
      <alignment wrapText="1"/>
    </xf>
    <xf numFmtId="164" fontId="10" fillId="2" borderId="5" xfId="1" applyFont="1" applyFill="1" applyBorder="1" applyAlignment="1">
      <alignment horizontal="right"/>
    </xf>
    <xf numFmtId="164" fontId="10" fillId="2" borderId="2" xfId="1" applyFont="1" applyFill="1" applyBorder="1" applyAlignment="1">
      <alignment horizontal="center" wrapText="1"/>
    </xf>
    <xf numFmtId="10" fontId="10" fillId="2" borderId="2" xfId="2" applyNumberFormat="1" applyFont="1" applyFill="1" applyBorder="1" applyAlignment="1">
      <alignment horizontal="center" wrapText="1"/>
    </xf>
    <xf numFmtId="172" fontId="22" fillId="2" borderId="2" xfId="1" applyNumberFormat="1" applyFont="1" applyFill="1" applyBorder="1" applyAlignment="1">
      <alignment horizontal="right" wrapText="1"/>
    </xf>
    <xf numFmtId="164" fontId="22" fillId="2" borderId="7" xfId="1" applyFont="1" applyFill="1" applyBorder="1"/>
    <xf numFmtId="164" fontId="10" fillId="2" borderId="7" xfId="1" applyFont="1" applyFill="1" applyBorder="1" applyAlignment="1">
      <alignment wrapText="1"/>
    </xf>
    <xf numFmtId="172" fontId="22" fillId="2" borderId="2" xfId="1" applyNumberFormat="1" applyFont="1" applyFill="1" applyBorder="1" applyAlignment="1">
      <alignment horizontal="right" vertical="center" wrapText="1"/>
    </xf>
    <xf numFmtId="172" fontId="10" fillId="2" borderId="2" xfId="1" applyNumberFormat="1" applyFont="1" applyFill="1" applyBorder="1" applyAlignment="1">
      <alignment horizontal="right" vertical="center" wrapText="1"/>
    </xf>
    <xf numFmtId="164" fontId="25" fillId="5" borderId="2" xfId="1" applyFont="1" applyFill="1" applyBorder="1"/>
    <xf numFmtId="10" fontId="25" fillId="5" borderId="2" xfId="0" applyNumberFormat="1" applyFont="1" applyFill="1" applyBorder="1"/>
    <xf numFmtId="10" fontId="25" fillId="5" borderId="2" xfId="0" applyNumberFormat="1" applyFont="1" applyFill="1" applyBorder="1" applyAlignment="1">
      <alignment horizontal="right" vertical="center"/>
    </xf>
    <xf numFmtId="173" fontId="25" fillId="5" borderId="2" xfId="0" applyNumberFormat="1" applyFont="1" applyFill="1" applyBorder="1" applyAlignment="1">
      <alignment horizontal="right" vertical="center"/>
    </xf>
    <xf numFmtId="49" fontId="23" fillId="2" borderId="2" xfId="0" applyNumberFormat="1" applyFont="1" applyFill="1" applyBorder="1" applyAlignment="1">
      <alignment horizontal="right"/>
    </xf>
    <xf numFmtId="10" fontId="23" fillId="2" borderId="2" xfId="0" applyNumberFormat="1" applyFont="1" applyFill="1" applyBorder="1"/>
    <xf numFmtId="10" fontId="23" fillId="2" borderId="2" xfId="0" applyNumberFormat="1" applyFont="1" applyFill="1" applyBorder="1" applyAlignment="1">
      <alignment horizontal="right" vertical="center"/>
    </xf>
    <xf numFmtId="173" fontId="23" fillId="2" borderId="2" xfId="0" applyNumberFormat="1" applyFont="1" applyFill="1" applyBorder="1" applyAlignment="1">
      <alignment horizontal="right" vertical="center"/>
    </xf>
    <xf numFmtId="172" fontId="22" fillId="2" borderId="2" xfId="1" applyNumberFormat="1" applyFont="1" applyFill="1" applyBorder="1" applyAlignment="1">
      <alignment horizontal="right"/>
    </xf>
    <xf numFmtId="164" fontId="25" fillId="2" borderId="2" xfId="1" applyFont="1" applyFill="1" applyBorder="1"/>
    <xf numFmtId="164" fontId="21" fillId="8" borderId="0" xfId="1" applyFont="1" applyFill="1"/>
    <xf numFmtId="0" fontId="26" fillId="8" borderId="0" xfId="0" applyFont="1" applyFill="1"/>
    <xf numFmtId="164" fontId="26" fillId="8" borderId="0" xfId="1" applyFont="1" applyFill="1"/>
    <xf numFmtId="0" fontId="27" fillId="2" borderId="0" xfId="0" applyFont="1" applyFill="1"/>
    <xf numFmtId="0" fontId="28" fillId="2" borderId="0" xfId="0" applyFont="1" applyFill="1"/>
    <xf numFmtId="164" fontId="17" fillId="2" borderId="0" xfId="1" applyFont="1" applyFill="1" applyBorder="1" applyAlignment="1"/>
    <xf numFmtId="0" fontId="29" fillId="9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/>
    </xf>
    <xf numFmtId="0" fontId="30" fillId="0" borderId="0" xfId="0" applyFont="1"/>
    <xf numFmtId="173" fontId="31" fillId="2" borderId="0" xfId="0" applyNumberFormat="1" applyFont="1" applyFill="1"/>
    <xf numFmtId="175" fontId="31" fillId="2" borderId="0" xfId="0" applyNumberFormat="1" applyFont="1" applyFill="1"/>
    <xf numFmtId="164" fontId="18" fillId="0" borderId="0" xfId="1" applyFont="1"/>
    <xf numFmtId="4" fontId="18" fillId="0" borderId="0" xfId="0" applyNumberFormat="1" applyFont="1"/>
    <xf numFmtId="16" fontId="6" fillId="2" borderId="0" xfId="0" quotePrefix="1" applyNumberFormat="1" applyFont="1" applyFill="1" applyAlignment="1">
      <alignment horizontal="right" wrapText="1"/>
    </xf>
    <xf numFmtId="16" fontId="6" fillId="2" borderId="2" xfId="0" quotePrefix="1" applyNumberFormat="1" applyFont="1" applyFill="1" applyBorder="1" applyAlignment="1">
      <alignment horizontal="right"/>
    </xf>
    <xf numFmtId="174" fontId="10" fillId="2" borderId="2" xfId="0" applyNumberFormat="1" applyFont="1" applyFill="1" applyBorder="1" applyAlignment="1">
      <alignment horizontal="center" wrapText="1"/>
    </xf>
    <xf numFmtId="0" fontId="41" fillId="9" borderId="0" xfId="0" applyFont="1" applyFill="1" applyAlignment="1">
      <alignment horizontal="left"/>
    </xf>
    <xf numFmtId="49" fontId="43" fillId="2" borderId="2" xfId="0" applyNumberFormat="1" applyFont="1" applyFill="1" applyBorder="1" applyAlignment="1">
      <alignment wrapText="1"/>
    </xf>
    <xf numFmtId="0" fontId="43" fillId="2" borderId="2" xfId="0" applyFont="1" applyFill="1" applyBorder="1" applyAlignment="1">
      <alignment wrapText="1"/>
    </xf>
    <xf numFmtId="172" fontId="43" fillId="2" borderId="2" xfId="1" applyNumberFormat="1" applyFont="1" applyFill="1" applyBorder="1" applyAlignment="1">
      <alignment horizontal="center" wrapText="1"/>
    </xf>
    <xf numFmtId="49" fontId="44" fillId="5" borderId="2" xfId="0" applyNumberFormat="1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wrapText="1"/>
    </xf>
    <xf numFmtId="174" fontId="10" fillId="2" borderId="2" xfId="0" applyNumberFormat="1" applyFont="1" applyFill="1" applyBorder="1" applyAlignment="1">
      <alignment horizontal="center" wrapText="1"/>
    </xf>
    <xf numFmtId="49" fontId="45" fillId="2" borderId="2" xfId="0" applyNumberFormat="1" applyFont="1" applyFill="1" applyBorder="1" applyAlignment="1">
      <alignment wrapText="1"/>
    </xf>
    <xf numFmtId="172" fontId="10" fillId="2" borderId="2" xfId="1" applyNumberFormat="1" applyFont="1" applyFill="1" applyBorder="1" applyAlignment="1">
      <alignment horizontal="right"/>
    </xf>
    <xf numFmtId="4" fontId="10" fillId="2" borderId="9" xfId="0" applyNumberFormat="1" applyFont="1" applyFill="1" applyBorder="1" applyAlignment="1">
      <alignment wrapText="1"/>
    </xf>
    <xf numFmtId="4" fontId="43" fillId="2" borderId="2" xfId="0" applyNumberFormat="1" applyFont="1" applyFill="1" applyBorder="1" applyAlignment="1">
      <alignment wrapText="1"/>
    </xf>
    <xf numFmtId="164" fontId="21" fillId="8" borderId="2" xfId="1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 wrapText="1"/>
    </xf>
    <xf numFmtId="0" fontId="25" fillId="2" borderId="6" xfId="0" applyFont="1" applyFill="1" applyBorder="1" applyAlignment="1">
      <alignment horizontal="center" wrapText="1"/>
    </xf>
    <xf numFmtId="164" fontId="23" fillId="2" borderId="2" xfId="1" applyFont="1" applyFill="1" applyBorder="1" applyAlignment="1">
      <alignment horizontal="right"/>
    </xf>
    <xf numFmtId="49" fontId="25" fillId="5" borderId="2" xfId="0" applyNumberFormat="1" applyFont="1" applyFill="1" applyBorder="1" applyAlignment="1">
      <alignment horizontal="right"/>
    </xf>
    <xf numFmtId="49" fontId="21" fillId="2" borderId="2" xfId="0" applyNumberFormat="1" applyFont="1" applyFill="1" applyBorder="1" applyAlignment="1">
      <alignment horizontal="center"/>
    </xf>
    <xf numFmtId="174" fontId="10" fillId="2" borderId="2" xfId="0" applyNumberFormat="1" applyFont="1" applyFill="1" applyBorder="1" applyAlignment="1">
      <alignment horizontal="center" wrapText="1"/>
    </xf>
    <xf numFmtId="49" fontId="21" fillId="2" borderId="2" xfId="0" applyNumberFormat="1" applyFont="1" applyFill="1" applyBorder="1" applyAlignment="1">
      <alignment horizontal="center" vertical="top" wrapText="1"/>
    </xf>
    <xf numFmtId="2" fontId="25" fillId="2" borderId="2" xfId="0" applyNumberFormat="1" applyFont="1" applyFill="1" applyBorder="1" applyAlignment="1">
      <alignment horizontal="center" wrapText="1"/>
    </xf>
    <xf numFmtId="49" fontId="21" fillId="2" borderId="3" xfId="0" applyNumberFormat="1" applyFont="1" applyFill="1" applyBorder="1" applyAlignment="1">
      <alignment horizontal="center" vertical="top" wrapText="1"/>
    </xf>
    <xf numFmtId="49" fontId="21" fillId="2" borderId="4" xfId="0" applyNumberFormat="1" applyFont="1" applyFill="1" applyBorder="1" applyAlignment="1">
      <alignment horizontal="center" vertical="top" wrapText="1"/>
    </xf>
    <xf numFmtId="49" fontId="21" fillId="2" borderId="5" xfId="0" applyNumberFormat="1" applyFont="1" applyFill="1" applyBorder="1" applyAlignment="1">
      <alignment horizontal="center" vertical="top" wrapText="1"/>
    </xf>
    <xf numFmtId="174" fontId="23" fillId="2" borderId="2" xfId="0" applyNumberFormat="1" applyFont="1" applyFill="1" applyBorder="1" applyAlignment="1">
      <alignment horizontal="center" wrapText="1"/>
    </xf>
    <xf numFmtId="49" fontId="23" fillId="2" borderId="2" xfId="0" applyNumberFormat="1" applyFont="1" applyFill="1" applyBorder="1" applyAlignment="1">
      <alignment horizontal="center" wrapText="1"/>
    </xf>
    <xf numFmtId="173" fontId="25" fillId="2" borderId="2" xfId="0" applyNumberFormat="1" applyFont="1" applyFill="1" applyBorder="1" applyAlignment="1">
      <alignment horizontal="center" wrapText="1"/>
    </xf>
    <xf numFmtId="173" fontId="25" fillId="2" borderId="3" xfId="0" applyNumberFormat="1" applyFont="1" applyFill="1" applyBorder="1" applyAlignment="1">
      <alignment horizontal="center" wrapText="1"/>
    </xf>
    <xf numFmtId="173" fontId="25" fillId="2" borderId="4" xfId="0" applyNumberFormat="1" applyFont="1" applyFill="1" applyBorder="1" applyAlignment="1">
      <alignment horizontal="center" wrapText="1"/>
    </xf>
    <xf numFmtId="173" fontId="25" fillId="2" borderId="5" xfId="0" applyNumberFormat="1" applyFont="1" applyFill="1" applyBorder="1" applyAlignment="1">
      <alignment horizontal="center" wrapText="1"/>
    </xf>
    <xf numFmtId="49" fontId="20" fillId="4" borderId="2" xfId="0" applyNumberFormat="1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174" fontId="23" fillId="2" borderId="2" xfId="0" applyNumberFormat="1" applyFont="1" applyFill="1" applyBorder="1" applyAlignment="1">
      <alignment horizontal="center"/>
    </xf>
    <xf numFmtId="0" fontId="13" fillId="2" borderId="0" xfId="0" applyFont="1" applyFill="1" applyAlignment="1">
      <alignment horizontal="center" wrapText="1"/>
    </xf>
  </cellXfs>
  <cellStyles count="465">
    <cellStyle name="20% - Accent1 2" xfId="3"/>
    <cellStyle name="20% - Accent1 2 2" xfId="4"/>
    <cellStyle name="20% - Accent1 2 3" xfId="5"/>
    <cellStyle name="20% - Accent1 3" xfId="6"/>
    <cellStyle name="20% - Accent1 3 2" xfId="7"/>
    <cellStyle name="20% - Accent1 3 3" xfId="8"/>
    <cellStyle name="20% - Accent1 4" xfId="9"/>
    <cellStyle name="20% - Accent1 4 2" xfId="10"/>
    <cellStyle name="20% - Accent1 5" xfId="11"/>
    <cellStyle name="20% - Accent1 6" xfId="12"/>
    <cellStyle name="20% - Accent2 2" xfId="13"/>
    <cellStyle name="20% - Accent2 2 2" xfId="14"/>
    <cellStyle name="20% - Accent2 2 3" xfId="15"/>
    <cellStyle name="20% - Accent2 3" xfId="16"/>
    <cellStyle name="20% - Accent2 3 2" xfId="17"/>
    <cellStyle name="20% - Accent2 3 3" xfId="18"/>
    <cellStyle name="20% - Accent2 4" xfId="19"/>
    <cellStyle name="20% - Accent2 4 2" xfId="20"/>
    <cellStyle name="20% - Accent2 5" xfId="21"/>
    <cellStyle name="20% - Accent2 6" xfId="22"/>
    <cellStyle name="20% - Accent3 2" xfId="23"/>
    <cellStyle name="20% - Accent3 2 2" xfId="24"/>
    <cellStyle name="20% - Accent3 2 3" xfId="25"/>
    <cellStyle name="20% - Accent3 3" xfId="26"/>
    <cellStyle name="20% - Accent3 3 2" xfId="27"/>
    <cellStyle name="20% - Accent3 3 3" xfId="28"/>
    <cellStyle name="20% - Accent3 4" xfId="29"/>
    <cellStyle name="20% - Accent3 4 2" xfId="30"/>
    <cellStyle name="20% - Accent3 5" xfId="31"/>
    <cellStyle name="20% - Accent3 6" xfId="32"/>
    <cellStyle name="20% - Accent4 2" xfId="33"/>
    <cellStyle name="20% - Accent4 2 2" xfId="34"/>
    <cellStyle name="20% - Accent4 2 3" xfId="35"/>
    <cellStyle name="20% - Accent4 3" xfId="36"/>
    <cellStyle name="20% - Accent4 3 2" xfId="37"/>
    <cellStyle name="20% - Accent4 3 3" xfId="38"/>
    <cellStyle name="20% - Accent4 4" xfId="39"/>
    <cellStyle name="20% - Accent4 4 2" xfId="40"/>
    <cellStyle name="20% - Accent4 5" xfId="41"/>
    <cellStyle name="20% - Accent4 6" xfId="42"/>
    <cellStyle name="20% - Accent5 2" xfId="43"/>
    <cellStyle name="20% - Accent5 2 2" xfId="44"/>
    <cellStyle name="20% - Accent5 2 3" xfId="45"/>
    <cellStyle name="20% - Accent5 3" xfId="46"/>
    <cellStyle name="20% - Accent5 3 2" xfId="47"/>
    <cellStyle name="20% - Accent5 3 3" xfId="48"/>
    <cellStyle name="20% - Accent5 4" xfId="49"/>
    <cellStyle name="20% - Accent5 4 2" xfId="50"/>
    <cellStyle name="20% - Accent5 5" xfId="51"/>
    <cellStyle name="20% - Accent5 6" xfId="52"/>
    <cellStyle name="20% - Accent6 2" xfId="53"/>
    <cellStyle name="20% - Accent6 2 2" xfId="54"/>
    <cellStyle name="20% - Accent6 2 3" xfId="55"/>
    <cellStyle name="20% - Accent6 3" xfId="56"/>
    <cellStyle name="20% - Accent6 3 2" xfId="57"/>
    <cellStyle name="20% - Accent6 3 3" xfId="58"/>
    <cellStyle name="20% - Accent6 4" xfId="59"/>
    <cellStyle name="20% - Accent6 4 2" xfId="60"/>
    <cellStyle name="20% - Accent6 5" xfId="61"/>
    <cellStyle name="20% - Accent6 6" xfId="62"/>
    <cellStyle name="40% - Accent1 2" xfId="63"/>
    <cellStyle name="40% - Accent1 2 2" xfId="64"/>
    <cellStyle name="40% - Accent1 2 3" xfId="65"/>
    <cellStyle name="40% - Accent1 3" xfId="66"/>
    <cellStyle name="40% - Accent1 3 2" xfId="67"/>
    <cellStyle name="40% - Accent1 3 3" xfId="68"/>
    <cellStyle name="40% - Accent1 4" xfId="69"/>
    <cellStyle name="40% - Accent1 4 2" xfId="70"/>
    <cellStyle name="40% - Accent1 5" xfId="71"/>
    <cellStyle name="40% - Accent1 6" xfId="72"/>
    <cellStyle name="40% - Accent2 2" xfId="73"/>
    <cellStyle name="40% - Accent2 2 2" xfId="74"/>
    <cellStyle name="40% - Accent2 2 3" xfId="75"/>
    <cellStyle name="40% - Accent2 3" xfId="76"/>
    <cellStyle name="40% - Accent2 3 2" xfId="77"/>
    <cellStyle name="40% - Accent2 3 3" xfId="78"/>
    <cellStyle name="40% - Accent2 4" xfId="79"/>
    <cellStyle name="40% - Accent2 4 2" xfId="80"/>
    <cellStyle name="40% - Accent2 5" xfId="81"/>
    <cellStyle name="40% - Accent2 6" xfId="82"/>
    <cellStyle name="40% - Accent3 2" xfId="83"/>
    <cellStyle name="40% - Accent3 2 2" xfId="84"/>
    <cellStyle name="40% - Accent3 2 3" xfId="85"/>
    <cellStyle name="40% - Accent3 3" xfId="86"/>
    <cellStyle name="40% - Accent3 3 2" xfId="87"/>
    <cellStyle name="40% - Accent3 3 3" xfId="88"/>
    <cellStyle name="40% - Accent3 4" xfId="89"/>
    <cellStyle name="40% - Accent3 4 2" xfId="90"/>
    <cellStyle name="40% - Accent3 5" xfId="91"/>
    <cellStyle name="40% - Accent3 6" xfId="92"/>
    <cellStyle name="40% - Accent4 2" xfId="93"/>
    <cellStyle name="40% - Accent4 2 2" xfId="94"/>
    <cellStyle name="40% - Accent4 2 3" xfId="95"/>
    <cellStyle name="40% - Accent4 3" xfId="96"/>
    <cellStyle name="40% - Accent4 3 2" xfId="97"/>
    <cellStyle name="40% - Accent4 3 3" xfId="98"/>
    <cellStyle name="40% - Accent4 4" xfId="99"/>
    <cellStyle name="40% - Accent4 4 2" xfId="100"/>
    <cellStyle name="40% - Accent4 5" xfId="101"/>
    <cellStyle name="40% - Accent4 6" xfId="102"/>
    <cellStyle name="40% - Accent5 2" xfId="103"/>
    <cellStyle name="40% - Accent5 2 2" xfId="104"/>
    <cellStyle name="40% - Accent5 2 3" xfId="105"/>
    <cellStyle name="40% - Accent5 3" xfId="106"/>
    <cellStyle name="40% - Accent5 3 2" xfId="107"/>
    <cellStyle name="40% - Accent5 3 3" xfId="108"/>
    <cellStyle name="40% - Accent5 4" xfId="109"/>
    <cellStyle name="40% - Accent5 4 2" xfId="110"/>
    <cellStyle name="40% - Accent5 5" xfId="111"/>
    <cellStyle name="40% - Accent5 6" xfId="112"/>
    <cellStyle name="40% - Accent6 2" xfId="113"/>
    <cellStyle name="40% - Accent6 2 2" xfId="114"/>
    <cellStyle name="40% - Accent6 2 3" xfId="115"/>
    <cellStyle name="40% - Accent6 3" xfId="116"/>
    <cellStyle name="40% - Accent6 3 2" xfId="117"/>
    <cellStyle name="40% - Accent6 3 3" xfId="118"/>
    <cellStyle name="40% - Accent6 4" xfId="119"/>
    <cellStyle name="40% - Accent6 4 2" xfId="120"/>
    <cellStyle name="40% - Accent6 5" xfId="121"/>
    <cellStyle name="40% - Accent6 6" xfId="122"/>
    <cellStyle name="60% - Accent1 2" xfId="123"/>
    <cellStyle name="60% - Accent1 2 2" xfId="124"/>
    <cellStyle name="60% - Accent1 2 3" xfId="125"/>
    <cellStyle name="60% - Accent1 3" xfId="126"/>
    <cellStyle name="60% - Accent1 3 2" xfId="127"/>
    <cellStyle name="60% - Accent1 3 3" xfId="128"/>
    <cellStyle name="60% - Accent1 4" xfId="129"/>
    <cellStyle name="60% - Accent1 4 2" xfId="130"/>
    <cellStyle name="60% - Accent1 5" xfId="131"/>
    <cellStyle name="60% - Accent1 6" xfId="132"/>
    <cellStyle name="60% - Accent2 2" xfId="133"/>
    <cellStyle name="60% - Accent2 2 2" xfId="134"/>
    <cellStyle name="60% - Accent2 2 3" xfId="135"/>
    <cellStyle name="60% - Accent2 3" xfId="136"/>
    <cellStyle name="60% - Accent2 3 2" xfId="137"/>
    <cellStyle name="60% - Accent2 3 3" xfId="138"/>
    <cellStyle name="60% - Accent2 4" xfId="139"/>
    <cellStyle name="60% - Accent2 4 2" xfId="140"/>
    <cellStyle name="60% - Accent2 5" xfId="141"/>
    <cellStyle name="60% - Accent2 6" xfId="142"/>
    <cellStyle name="60% - Accent3 2" xfId="143"/>
    <cellStyle name="60% - Accent3 2 2" xfId="144"/>
    <cellStyle name="60% - Accent3 2 3" xfId="145"/>
    <cellStyle name="60% - Accent3 3" xfId="146"/>
    <cellStyle name="60% - Accent3 3 2" xfId="147"/>
    <cellStyle name="60% - Accent3 3 3" xfId="148"/>
    <cellStyle name="60% - Accent3 4" xfId="149"/>
    <cellStyle name="60% - Accent3 4 2" xfId="150"/>
    <cellStyle name="60% - Accent3 5" xfId="151"/>
    <cellStyle name="60% - Accent3 6" xfId="152"/>
    <cellStyle name="60% - Accent4 2" xfId="153"/>
    <cellStyle name="60% - Accent4 2 2" xfId="154"/>
    <cellStyle name="60% - Accent4 2 3" xfId="155"/>
    <cellStyle name="60% - Accent4 3" xfId="156"/>
    <cellStyle name="60% - Accent4 3 2" xfId="157"/>
    <cellStyle name="60% - Accent4 3 3" xfId="158"/>
    <cellStyle name="60% - Accent4 4" xfId="159"/>
    <cellStyle name="60% - Accent4 4 2" xfId="160"/>
    <cellStyle name="60% - Accent4 5" xfId="161"/>
    <cellStyle name="60% - Accent4 6" xfId="162"/>
    <cellStyle name="60% - Accent5 2" xfId="163"/>
    <cellStyle name="60% - Accent5 2 2" xfId="164"/>
    <cellStyle name="60% - Accent5 2 3" xfId="165"/>
    <cellStyle name="60% - Accent5 3" xfId="166"/>
    <cellStyle name="60% - Accent5 3 2" xfId="167"/>
    <cellStyle name="60% - Accent5 3 3" xfId="168"/>
    <cellStyle name="60% - Accent5 4" xfId="169"/>
    <cellStyle name="60% - Accent5 4 2" xfId="170"/>
    <cellStyle name="60% - Accent5 5" xfId="171"/>
    <cellStyle name="60% - Accent5 6" xfId="172"/>
    <cellStyle name="60% - Accent6 2" xfId="173"/>
    <cellStyle name="60% - Accent6 2 2" xfId="174"/>
    <cellStyle name="60% - Accent6 2 3" xfId="175"/>
    <cellStyle name="60% - Accent6 3" xfId="176"/>
    <cellStyle name="60% - Accent6 3 2" xfId="177"/>
    <cellStyle name="60% - Accent6 3 3" xfId="178"/>
    <cellStyle name="60% - Accent6 4" xfId="179"/>
    <cellStyle name="60% - Accent6 4 2" xfId="180"/>
    <cellStyle name="60% - Accent6 5" xfId="181"/>
    <cellStyle name="60% - Accent6 6" xfId="182"/>
    <cellStyle name="Comma" xfId="1" builtinId="3"/>
    <cellStyle name="Comma 10" xfId="183"/>
    <cellStyle name="Comma 10 13" xfId="184"/>
    <cellStyle name="Comma 11" xfId="185"/>
    <cellStyle name="Comma 12" xfId="186"/>
    <cellStyle name="Comma 12 2" xfId="187"/>
    <cellStyle name="Comma 12 3" xfId="188"/>
    <cellStyle name="Comma 13" xfId="189"/>
    <cellStyle name="Comma 13 2" xfId="190"/>
    <cellStyle name="Comma 13 3" xfId="191"/>
    <cellStyle name="Comma 14" xfId="192"/>
    <cellStyle name="Comma 15" xfId="193"/>
    <cellStyle name="Comma 15 2" xfId="194"/>
    <cellStyle name="Comma 15 3" xfId="195"/>
    <cellStyle name="Comma 16" xfId="196"/>
    <cellStyle name="Comma 16 2" xfId="197"/>
    <cellStyle name="Comma 16 3" xfId="198"/>
    <cellStyle name="Comma 17" xfId="199"/>
    <cellStyle name="Comma 18" xfId="200"/>
    <cellStyle name="Comma 2" xfId="201"/>
    <cellStyle name="Comma 2 10" xfId="202"/>
    <cellStyle name="Comma 2 10 2" xfId="203"/>
    <cellStyle name="Comma 2 11" xfId="204"/>
    <cellStyle name="Comma 2 11 2" xfId="205"/>
    <cellStyle name="Comma 2 12" xfId="206"/>
    <cellStyle name="Comma 2 13" xfId="207"/>
    <cellStyle name="Comma 2 2" xfId="208"/>
    <cellStyle name="Comma 2 2 2" xfId="209"/>
    <cellStyle name="Comma 2 2 2 2" xfId="210"/>
    <cellStyle name="Comma 2 2 2 2 2" xfId="211"/>
    <cellStyle name="Comma 2 2 2 2 3" xfId="212"/>
    <cellStyle name="Comma 2 2 2 3" xfId="213"/>
    <cellStyle name="Comma 2 3" xfId="214"/>
    <cellStyle name="Comma 2 3 2" xfId="215"/>
    <cellStyle name="Comma 2 4" xfId="216"/>
    <cellStyle name="Comma 2 4 2" xfId="217"/>
    <cellStyle name="Comma 2 5" xfId="218"/>
    <cellStyle name="Comma 2 5 2" xfId="219"/>
    <cellStyle name="Comma 2 6" xfId="220"/>
    <cellStyle name="Comma 2 6 2" xfId="221"/>
    <cellStyle name="Comma 2 7" xfId="222"/>
    <cellStyle name="Comma 2 7 2" xfId="223"/>
    <cellStyle name="Comma 2 8" xfId="224"/>
    <cellStyle name="Comma 2 8 2" xfId="225"/>
    <cellStyle name="Comma 2 9" xfId="226"/>
    <cellStyle name="Comma 2 9 2" xfId="227"/>
    <cellStyle name="Comma 3" xfId="228"/>
    <cellStyle name="Comma 3 2" xfId="229"/>
    <cellStyle name="Comma 3 2 2" xfId="230"/>
    <cellStyle name="Comma 3 3" xfId="231"/>
    <cellStyle name="Comma 3 4" xfId="232"/>
    <cellStyle name="Comma 3 4 3" xfId="233"/>
    <cellStyle name="Comma 3 4 4" xfId="234"/>
    <cellStyle name="Comma 4" xfId="235"/>
    <cellStyle name="Comma 4 2" xfId="236"/>
    <cellStyle name="Comma 4 3" xfId="237"/>
    <cellStyle name="Comma 5" xfId="238"/>
    <cellStyle name="Comma 6" xfId="239"/>
    <cellStyle name="Comma 7" xfId="240"/>
    <cellStyle name="Comma 8" xfId="241"/>
    <cellStyle name="Comma 8 2" xfId="242"/>
    <cellStyle name="Comma 9" xfId="243"/>
    <cellStyle name="Neutral 2" xfId="244"/>
    <cellStyle name="Normal" xfId="0" builtinId="0"/>
    <cellStyle name="Normal - Style1" xfId="245"/>
    <cellStyle name="Normal 10" xfId="246"/>
    <cellStyle name="Normal 10 2" xfId="247"/>
    <cellStyle name="Normal 10 3" xfId="248"/>
    <cellStyle name="Normal 11" xfId="249"/>
    <cellStyle name="Normal 11 2" xfId="250"/>
    <cellStyle name="Normal 11 3" xfId="251"/>
    <cellStyle name="Normal 12" xfId="252"/>
    <cellStyle name="Normal 12 2" xfId="253"/>
    <cellStyle name="Normal 12 2 2" xfId="254"/>
    <cellStyle name="Normal 12 2 3" xfId="255"/>
    <cellStyle name="Normal 12 3" xfId="256"/>
    <cellStyle name="Normal 12 4" xfId="257"/>
    <cellStyle name="Normal 13" xfId="258"/>
    <cellStyle name="Normal 13 2" xfId="259"/>
    <cellStyle name="Normal 13 3" xfId="260"/>
    <cellStyle name="Normal 14" xfId="261"/>
    <cellStyle name="Normal 14 2" xfId="262"/>
    <cellStyle name="Normal 15" xfId="263"/>
    <cellStyle name="Normal 15 2" xfId="264"/>
    <cellStyle name="Normal 15 3" xfId="265"/>
    <cellStyle name="Normal 16" xfId="266"/>
    <cellStyle name="Normal 16 2" xfId="267"/>
    <cellStyle name="Normal 16 3" xfId="268"/>
    <cellStyle name="Normal 17" xfId="269"/>
    <cellStyle name="Normal 17 2" xfId="270"/>
    <cellStyle name="Normal 17 3" xfId="271"/>
    <cellStyle name="Normal 18" xfId="272"/>
    <cellStyle name="Normal 18 2" xfId="273"/>
    <cellStyle name="Normal 18 3" xfId="274"/>
    <cellStyle name="Normal 19" xfId="275"/>
    <cellStyle name="Normal 19 2" xfId="276"/>
    <cellStyle name="Normal 19 3" xfId="277"/>
    <cellStyle name="Normal 2" xfId="278"/>
    <cellStyle name="Normal 2 2" xfId="279"/>
    <cellStyle name="Normal 2 2 2" xfId="280"/>
    <cellStyle name="Normal 2 3" xfId="281"/>
    <cellStyle name="Normal 2 4" xfId="282"/>
    <cellStyle name="Normal 2 5" xfId="283"/>
    <cellStyle name="Normal 2 6" xfId="284"/>
    <cellStyle name="Normal 20" xfId="285"/>
    <cellStyle name="Normal 20 2" xfId="286"/>
    <cellStyle name="Normal 20 3" xfId="287"/>
    <cellStyle name="Normal 21" xfId="288"/>
    <cellStyle name="Normal 21 2" xfId="289"/>
    <cellStyle name="Normal 21 3" xfId="290"/>
    <cellStyle name="Normal 22" xfId="291"/>
    <cellStyle name="Normal 22 2" xfId="292"/>
    <cellStyle name="Normal 22 3" xfId="293"/>
    <cellStyle name="Normal 23" xfId="294"/>
    <cellStyle name="Normal 23 2" xfId="295"/>
    <cellStyle name="Normal 23 3" xfId="296"/>
    <cellStyle name="Normal 24" xfId="297"/>
    <cellStyle name="Normal 24 2" xfId="298"/>
    <cellStyle name="Normal 24 3" xfId="299"/>
    <cellStyle name="Normal 25" xfId="300"/>
    <cellStyle name="Normal 25 2" xfId="301"/>
    <cellStyle name="Normal 25 3" xfId="302"/>
    <cellStyle name="Normal 26" xfId="303"/>
    <cellStyle name="Normal 26 2" xfId="304"/>
    <cellStyle name="Normal 26 3" xfId="305"/>
    <cellStyle name="Normal 27" xfId="306"/>
    <cellStyle name="Normal 27 2" xfId="307"/>
    <cellStyle name="Normal 27 2 2" xfId="308"/>
    <cellStyle name="Normal 27 3" xfId="309"/>
    <cellStyle name="Normal 28" xfId="310"/>
    <cellStyle name="Normal 28 2" xfId="311"/>
    <cellStyle name="Normal 29" xfId="312"/>
    <cellStyle name="Normal 29 2" xfId="313"/>
    <cellStyle name="Normal 3" xfId="314"/>
    <cellStyle name="Normal 3 2" xfId="315"/>
    <cellStyle name="Normal 3 2 2" xfId="316"/>
    <cellStyle name="Normal 3 2 3" xfId="317"/>
    <cellStyle name="Normal 3 3" xfId="318"/>
    <cellStyle name="Normal 3 4" xfId="319"/>
    <cellStyle name="Normal 30" xfId="320"/>
    <cellStyle name="Normal 30 2" xfId="321"/>
    <cellStyle name="Normal 31" xfId="322"/>
    <cellStyle name="Normal 31 2" xfId="323"/>
    <cellStyle name="Normal 32" xfId="324"/>
    <cellStyle name="Normal 32 2" xfId="325"/>
    <cellStyle name="Normal 33" xfId="326"/>
    <cellStyle name="Normal 33 2" xfId="327"/>
    <cellStyle name="Normal 34" xfId="328"/>
    <cellStyle name="Normal 34 2" xfId="329"/>
    <cellStyle name="Normal 35" xfId="330"/>
    <cellStyle name="Normal 35 2" xfId="331"/>
    <cellStyle name="Normal 36" xfId="332"/>
    <cellStyle name="Normal 36 2" xfId="333"/>
    <cellStyle name="Normal 37" xfId="334"/>
    <cellStyle name="Normal 37 2" xfId="335"/>
    <cellStyle name="Normal 38" xfId="336"/>
    <cellStyle name="Normal 38 2" xfId="337"/>
    <cellStyle name="Normal 39" xfId="338"/>
    <cellStyle name="Normal 39 2" xfId="339"/>
    <cellStyle name="Normal 4" xfId="340"/>
    <cellStyle name="Normal 4 2" xfId="341"/>
    <cellStyle name="Normal 40" xfId="342"/>
    <cellStyle name="Normal 40 2" xfId="343"/>
    <cellStyle name="Normal 41" xfId="344"/>
    <cellStyle name="Normal 41 2" xfId="345"/>
    <cellStyle name="Normal 42" xfId="346"/>
    <cellStyle name="Normal 42 2" xfId="347"/>
    <cellStyle name="Normal 43" xfId="348"/>
    <cellStyle name="Normal 43 2" xfId="349"/>
    <cellStyle name="Normal 44" xfId="350"/>
    <cellStyle name="Normal 44 2" xfId="351"/>
    <cellStyle name="Normal 45" xfId="352"/>
    <cellStyle name="Normal 45 2" xfId="353"/>
    <cellStyle name="Normal 46" xfId="354"/>
    <cellStyle name="Normal 46 2" xfId="355"/>
    <cellStyle name="Normal 47" xfId="356"/>
    <cellStyle name="Normal 47 2" xfId="357"/>
    <cellStyle name="Normal 48" xfId="358"/>
    <cellStyle name="Normal 48 2" xfId="359"/>
    <cellStyle name="Normal 49" xfId="360"/>
    <cellStyle name="Normal 49 2" xfId="361"/>
    <cellStyle name="Normal 5" xfId="362"/>
    <cellStyle name="Normal 50" xfId="363"/>
    <cellStyle name="Normal 50 2" xfId="364"/>
    <cellStyle name="Normal 51" xfId="365"/>
    <cellStyle name="Normal 51 2" xfId="366"/>
    <cellStyle name="Normal 52" xfId="367"/>
    <cellStyle name="Normal 52 2" xfId="368"/>
    <cellStyle name="Normal 53" xfId="369"/>
    <cellStyle name="Normal 53 2" xfId="370"/>
    <cellStyle name="Normal 54" xfId="371"/>
    <cellStyle name="Normal 54 2" xfId="372"/>
    <cellStyle name="Normal 55" xfId="373"/>
    <cellStyle name="Normal 55 2" xfId="374"/>
    <cellStyle name="Normal 56" xfId="375"/>
    <cellStyle name="Normal 56 2" xfId="376"/>
    <cellStyle name="Normal 57" xfId="377"/>
    <cellStyle name="Normal 57 2" xfId="378"/>
    <cellStyle name="Normal 58" xfId="379"/>
    <cellStyle name="Normal 58 2" xfId="380"/>
    <cellStyle name="Normal 59" xfId="381"/>
    <cellStyle name="Normal 59 2" xfId="382"/>
    <cellStyle name="Normal 6" xfId="383"/>
    <cellStyle name="Normal 6 2" xfId="384"/>
    <cellStyle name="Normal 6 3" xfId="385"/>
    <cellStyle name="Normal 60" xfId="386"/>
    <cellStyle name="Normal 60 2" xfId="387"/>
    <cellStyle name="Normal 61" xfId="388"/>
    <cellStyle name="Normal 61 2" xfId="389"/>
    <cellStyle name="Normal 62" xfId="390"/>
    <cellStyle name="Normal 62 2" xfId="391"/>
    <cellStyle name="Normal 63" xfId="392"/>
    <cellStyle name="Normal 63 2" xfId="393"/>
    <cellStyle name="Normal 64" xfId="394"/>
    <cellStyle name="Normal 64 2" xfId="395"/>
    <cellStyle name="Normal 65" xfId="396"/>
    <cellStyle name="Normal 65 2" xfId="397"/>
    <cellStyle name="Normal 66" xfId="398"/>
    <cellStyle name="Normal 66 2" xfId="399"/>
    <cellStyle name="Normal 67" xfId="400"/>
    <cellStyle name="Normal 67 2" xfId="401"/>
    <cellStyle name="Normal 68" xfId="402"/>
    <cellStyle name="Normal 68 2" xfId="403"/>
    <cellStyle name="Normal 69" xfId="404"/>
    <cellStyle name="Normal 69 2" xfId="405"/>
    <cellStyle name="Normal 7" xfId="406"/>
    <cellStyle name="Normal 7 2" xfId="407"/>
    <cellStyle name="Normal 7 3" xfId="408"/>
    <cellStyle name="Normal 70" xfId="409"/>
    <cellStyle name="Normal 71" xfId="410"/>
    <cellStyle name="Normal 72" xfId="411"/>
    <cellStyle name="Normal 73" xfId="412"/>
    <cellStyle name="Normal 74" xfId="413"/>
    <cellStyle name="Normal 75" xfId="414"/>
    <cellStyle name="Normal 8" xfId="415"/>
    <cellStyle name="Normal 8 2" xfId="416"/>
    <cellStyle name="Normal 8 3" xfId="417"/>
    <cellStyle name="Normal 9" xfId="418"/>
    <cellStyle name="Normal 9 2" xfId="419"/>
    <cellStyle name="Normal 9 3" xfId="420"/>
    <cellStyle name="Note 10" xfId="421"/>
    <cellStyle name="Note 10 2" xfId="422"/>
    <cellStyle name="Note 10 3" xfId="423"/>
    <cellStyle name="Note 11" xfId="424"/>
    <cellStyle name="Note 11 2" xfId="425"/>
    <cellStyle name="Note 11 3" xfId="426"/>
    <cellStyle name="Note 12" xfId="427"/>
    <cellStyle name="Note 12 2" xfId="428"/>
    <cellStyle name="Note 12 3" xfId="429"/>
    <cellStyle name="Note 13" xfId="430"/>
    <cellStyle name="Note 13 2" xfId="431"/>
    <cellStyle name="Note 14" xfId="432"/>
    <cellStyle name="Note 14 2" xfId="433"/>
    <cellStyle name="Note 2" xfId="434"/>
    <cellStyle name="Note 2 2" xfId="435"/>
    <cellStyle name="Note 2 3" xfId="436"/>
    <cellStyle name="Note 3" xfId="437"/>
    <cellStyle name="Note 3 2" xfId="438"/>
    <cellStyle name="Note 3 3" xfId="439"/>
    <cellStyle name="Note 4" xfId="440"/>
    <cellStyle name="Note 4 2" xfId="441"/>
    <cellStyle name="Note 4 3" xfId="442"/>
    <cellStyle name="Note 5" xfId="443"/>
    <cellStyle name="Note 5 2" xfId="444"/>
    <cellStyle name="Note 5 3" xfId="445"/>
    <cellStyle name="Note 6" xfId="446"/>
    <cellStyle name="Note 6 2" xfId="447"/>
    <cellStyle name="Note 6 3" xfId="448"/>
    <cellStyle name="Note 7" xfId="449"/>
    <cellStyle name="Note 7 2" xfId="450"/>
    <cellStyle name="Note 7 3" xfId="451"/>
    <cellStyle name="Note 8" xfId="452"/>
    <cellStyle name="Note 8 2" xfId="453"/>
    <cellStyle name="Note 8 3" xfId="454"/>
    <cellStyle name="Note 9" xfId="455"/>
    <cellStyle name="Note 9 2" xfId="456"/>
    <cellStyle name="Note 9 3" xfId="457"/>
    <cellStyle name="Percent" xfId="2" builtinId="5"/>
    <cellStyle name="Percent 2" xfId="458"/>
    <cellStyle name="Percent 2 2" xfId="459"/>
    <cellStyle name="Percent 2 2 2" xfId="460"/>
    <cellStyle name="Percent 3" xfId="461"/>
    <cellStyle name="Percent 4" xfId="462"/>
    <cellStyle name="Title 2" xfId="463"/>
    <cellStyle name="Title 3" xfId="464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804030504040204" pitchFamily="34" charset="0"/>
              <a:ea typeface="Tahoma" panose="020B0804030504040204" pitchFamily="34" charset="0"/>
              <a:cs typeface="Tahoma" panose="020B0804030504040204" pitchFamily="34" charset="0"/>
            </a:endParaRPr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accent3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kern="1200" spc="100" baseline="0">
              <a:solidFill>
                <a:schemeClr val="dk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Tahoma" panose="020B0804030504040204" pitchFamily="34" charset="0"/>
              <a:ea typeface="Tahoma" panose="020B0804030504040204" pitchFamily="34" charset="0"/>
              <a:cs typeface="Tahoma" panose="020B080403050404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43659116963828E-2"/>
          <c:y val="0.127049928301395"/>
          <c:w val="0.94540908679518498"/>
          <c:h val="0.73327195070502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Apr 2026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ap="flat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Comparison'!$B$5:$B$13</c:f>
              <c:numCache>
                <c:formatCode>0.00</c:formatCode>
                <c:ptCount val="9"/>
                <c:pt idx="0">
                  <c:v>235.55133925593</c:v>
                </c:pt>
                <c:pt idx="1">
                  <c:v>5695.4340585764612</c:v>
                </c:pt>
                <c:pt idx="2">
                  <c:v>234.62439952482995</c:v>
                </c:pt>
                <c:pt idx="3">
                  <c:v>1858.7017859926186</c:v>
                </c:pt>
                <c:pt idx="4">
                  <c:v>526.89377204159996</c:v>
                </c:pt>
                <c:pt idx="5">
                  <c:v>144.17948628507881</c:v>
                </c:pt>
                <c:pt idx="6">
                  <c:v>19.528484775740001</c:v>
                </c:pt>
                <c:pt idx="7">
                  <c:v>133.7210214308819</c:v>
                </c:pt>
                <c:pt idx="8">
                  <c:v>30.829078365314142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A-4FE0-B9A2-BD57D09F0414}"/>
            </c:ext>
          </c:extLst>
        </c:ser>
        <c:ser>
          <c:idx val="1"/>
          <c:order val="1"/>
          <c:tx>
            <c:strRef>
              <c:f>'NAV Comparison'!#REF!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3A-4FE0-B9A2-BD57D09F0414}"/>
            </c:ext>
          </c:extLst>
        </c:ser>
        <c:ser>
          <c:idx val="2"/>
          <c:order val="2"/>
          <c:tx>
            <c:strRef>
              <c:f>'NAV Comparison'!$C$4</c:f>
              <c:strCache>
                <c:ptCount val="1"/>
                <c:pt idx="0">
                  <c:v>May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ysClr val="windowText" lastClr="000000"/>
                    </a:solidFill>
                    <a:latin typeface="Tahoma" panose="020B0804030504040204" pitchFamily="34" charset="0"/>
                    <a:ea typeface="Tahoma" panose="020B0804030504040204" pitchFamily="34" charset="0"/>
                    <a:cs typeface="Tahoma" panose="020B08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Comparison'!$C$5:$C$13</c:f>
              <c:numCache>
                <c:formatCode>0.00</c:formatCode>
                <c:ptCount val="9"/>
                <c:pt idx="0">
                  <c:v>262.04603652085001</c:v>
                </c:pt>
                <c:pt idx="1">
                  <c:v>5836.1190802569317</c:v>
                </c:pt>
                <c:pt idx="2">
                  <c:v>233.72032571471999</c:v>
                </c:pt>
                <c:pt idx="3">
                  <c:v>1841.4176133460965</c:v>
                </c:pt>
                <c:pt idx="4">
                  <c:v>527.75099154406996</c:v>
                </c:pt>
                <c:pt idx="5">
                  <c:v>157.21304944591</c:v>
                </c:pt>
                <c:pt idx="6">
                  <c:v>21.33055565894</c:v>
                </c:pt>
                <c:pt idx="7">
                  <c:v>143.95374458200001</c:v>
                </c:pt>
                <c:pt idx="8">
                  <c:v>31.096845296421385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A-4FE0-B9A2-BD57D09F0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400592"/>
        <c:axId val="148111208"/>
      </c:barChart>
      <c:catAx>
        <c:axId val="25140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endParaRPr lang="en-US"/>
          </a:p>
        </c:txPr>
        <c:crossAx val="148111208"/>
        <c:crosses val="autoZero"/>
        <c:auto val="1"/>
        <c:lblAlgn val="ctr"/>
        <c:lblOffset val="100"/>
        <c:noMultiLvlLbl val="0"/>
      </c:catAx>
      <c:valAx>
        <c:axId val="14811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endParaRPr lang="en-US"/>
          </a:p>
        </c:txPr>
        <c:crossAx val="251400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804030504040204" pitchFamily="34" charset="0"/>
              <a:ea typeface="Tahoma" panose="020B0804030504040204" pitchFamily="34" charset="0"/>
              <a:cs typeface="Tahoma" panose="020B080403050404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3b482c2-183c-4022-a574-d904c9107d93}"/>
      </c:ext>
    </c:extLst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804030504040204" pitchFamily="34" charset="0"/>
          <a:ea typeface="Tahoma" panose="020B0804030504040204" pitchFamily="34" charset="0"/>
          <a:cs typeface="Tahoma" panose="020B08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8"/>
          <c:y val="0.16516634114243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May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288-4EED-9E1E-5404F80A2B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288-4EED-9E1E-5404F80A2BEF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288-4EED-9E1E-5404F80A2BEF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288-4EED-9E1E-5404F80A2BEF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288-4EED-9E1E-5404F80A2BEF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288-4EED-9E1E-5404F80A2BEF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7288-4EED-9E1E-5404F80A2BEF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7288-4EED-9E1E-5404F80A2BEF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7288-4EED-9E1E-5404F80A2BEF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88-4EED-9E1E-5404F80A2BEF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88-4EED-9E1E-5404F80A2BEF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288-4EED-9E1E-5404F80A2BEF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288-4EED-9E1E-5404F80A2BEF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288-4EED-9E1E-5404F80A2BEF}"/>
                </c:ext>
              </c:extLst>
            </c:dLbl>
            <c:dLbl>
              <c:idx val="5"/>
              <c:layout>
                <c:manualLayout>
                  <c:x val="2.9649290241234302E-2"/>
                  <c:y val="-0.15207084136351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288-4EED-9E1E-5404F80A2BEF}"/>
                </c:ext>
              </c:extLst>
            </c:dLbl>
            <c:dLbl>
              <c:idx val="6"/>
              <c:layout>
                <c:manualLayout>
                  <c:x val="0.15913713022161299"/>
                  <c:y val="4.05882891525261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288-4EED-9E1E-5404F80A2BEF}"/>
                </c:ext>
              </c:extLst>
            </c:dLbl>
            <c:dLbl>
              <c:idx val="7"/>
              <c:layout>
                <c:manualLayout>
                  <c:x val="0.112169430842536"/>
                  <c:y val="0.1197241205136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288-4EED-9E1E-5404F80A2BEF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9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288-4EED-9E1E-5404F80A2BEF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804030504040204" pitchFamily="34" charset="0"/>
                    <a:ea typeface="Tahoma" panose="020B0804030504040204" pitchFamily="34" charset="0"/>
                    <a:cs typeface="Tahoma" panose="020B08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_-* #,##0.00_-;\-* #,##0.00_-;_-* "-"??_-;_-@_-</c:formatCode>
                <c:ptCount val="9"/>
                <c:pt idx="0">
                  <c:v>21330555658.939999</c:v>
                </c:pt>
                <c:pt idx="1">
                  <c:v>31096845296.421387</c:v>
                </c:pt>
                <c:pt idx="2">
                  <c:v>143953744582</c:v>
                </c:pt>
                <c:pt idx="3" formatCode="#,##0.00">
                  <c:v>262046036520.85001</c:v>
                </c:pt>
                <c:pt idx="4" formatCode="#,##0.00">
                  <c:v>157213049445.91</c:v>
                </c:pt>
                <c:pt idx="5" formatCode="#,##0.00">
                  <c:v>233720325714.72</c:v>
                </c:pt>
                <c:pt idx="6" formatCode="#,##0.00">
                  <c:v>527750991544.07001</c:v>
                </c:pt>
                <c:pt idx="7" formatCode="#,##0.00">
                  <c:v>1841417613346.0964</c:v>
                </c:pt>
                <c:pt idx="8" formatCode="#,##0.00">
                  <c:v>5836119080256.9316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88-4EED-9E1E-5404F80A2BEF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b7fb68a1-5456-4357-bf50-43ada8edac52}"/>
      </c:ext>
    </c:extLst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Unitholders!$A$6:$A$14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Unitholders!$B$6:$B$14</c:f>
              <c:numCache>
                <c:formatCode>_(* #,##0_);_(* \(#,##0\);_(* "-"??_);_(@_)</c:formatCode>
                <c:ptCount val="9"/>
                <c:pt idx="0">
                  <c:v>101141</c:v>
                </c:pt>
                <c:pt idx="1">
                  <c:v>713850</c:v>
                </c:pt>
                <c:pt idx="2">
                  <c:v>61681</c:v>
                </c:pt>
                <c:pt idx="3">
                  <c:v>25866</c:v>
                </c:pt>
                <c:pt idx="4">
                  <c:v>230445</c:v>
                </c:pt>
                <c:pt idx="5">
                  <c:v>93972</c:v>
                </c:pt>
                <c:pt idx="6">
                  <c:v>15792</c:v>
                </c:pt>
                <c:pt idx="7">
                  <c:v>54271</c:v>
                </c:pt>
                <c:pt idx="8" formatCode="_-* #,##0_-;\-* #,##0_-;_-* &quot;-&quot;??_-;_-@_-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E-46CA-971B-EB06B942BC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e927218b-3a5e-4218-a8ec-9c5ee0ca6709}"/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373</xdr:row>
      <xdr:rowOff>119380</xdr:rowOff>
    </xdr:from>
    <xdr:to>
      <xdr:col>8</xdr:col>
      <xdr:colOff>844550</xdr:colOff>
      <xdr:row>373</xdr:row>
      <xdr:rowOff>119380</xdr:rowOff>
    </xdr:to>
    <xdr:cxnSp macro="">
      <xdr:nvCxnSpPr>
        <xdr:cNvPr id="2" name="AutoShape 245"/>
        <xdr:cNvCxnSpPr>
          <a:cxnSpLocks noChangeShapeType="1"/>
        </xdr:cNvCxnSpPr>
      </xdr:nvCxnSpPr>
      <xdr:spPr>
        <a:xfrm>
          <a:off x="14674850" y="67209670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374</xdr:row>
      <xdr:rowOff>106680</xdr:rowOff>
    </xdr:from>
    <xdr:to>
      <xdr:col>8</xdr:col>
      <xdr:colOff>996950</xdr:colOff>
      <xdr:row>374</xdr:row>
      <xdr:rowOff>106680</xdr:rowOff>
    </xdr:to>
    <xdr:cxnSp macro="">
      <xdr:nvCxnSpPr>
        <xdr:cNvPr id="3" name="AutoShape 245"/>
        <xdr:cNvCxnSpPr>
          <a:cxnSpLocks noChangeShapeType="1"/>
        </xdr:cNvCxnSpPr>
      </xdr:nvCxnSpPr>
      <xdr:spPr>
        <a:xfrm>
          <a:off x="14827250" y="67379850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260</xdr:row>
      <xdr:rowOff>127635</xdr:rowOff>
    </xdr:from>
    <xdr:to>
      <xdr:col>10</xdr:col>
      <xdr:colOff>1416050</xdr:colOff>
      <xdr:row>260</xdr:row>
      <xdr:rowOff>127635</xdr:rowOff>
    </xdr:to>
    <xdr:cxnSp macro="">
      <xdr:nvCxnSpPr>
        <xdr:cNvPr id="4" name="AutoShape 159"/>
        <xdr:cNvCxnSpPr>
          <a:cxnSpLocks noChangeShapeType="1"/>
        </xdr:cNvCxnSpPr>
      </xdr:nvCxnSpPr>
      <xdr:spPr>
        <a:xfrm>
          <a:off x="15840075" y="46552485"/>
          <a:ext cx="393573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30480</xdr:colOff>
      <xdr:row>22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54"/>
  <sheetViews>
    <sheetView tabSelected="1" view="pageBreakPreview" zoomScaleNormal="70" zoomScaleSheetLayoutView="100" workbookViewId="0">
      <pane ySplit="2" topLeftCell="A3" activePane="bottomLeft" state="frozen"/>
      <selection pane="bottomLeft" activeCell="A3" sqref="A3:V3"/>
    </sheetView>
  </sheetViews>
  <sheetFormatPr defaultColWidth="9" defaultRowHeight="13.8"/>
  <cols>
    <col min="1" max="1" width="6.6640625" style="37" customWidth="1"/>
    <col min="2" max="2" width="44.6640625" style="37" customWidth="1"/>
    <col min="3" max="3" width="43.6640625" style="38" customWidth="1"/>
    <col min="4" max="4" width="21.5546875" style="39" customWidth="1"/>
    <col min="5" max="6" width="19.33203125" style="39" customWidth="1"/>
    <col min="7" max="7" width="19.6640625" style="39" customWidth="1"/>
    <col min="8" max="8" width="20" style="39" customWidth="1"/>
    <col min="9" max="9" width="22" style="39" customWidth="1"/>
    <col min="10" max="10" width="9" style="39"/>
    <col min="11" max="11" width="24.5546875" style="39" customWidth="1"/>
    <col min="12" max="12" width="9" style="39"/>
    <col min="13" max="13" width="11.5546875" style="39" customWidth="1"/>
    <col min="14" max="14" width="12.33203125" style="39" customWidth="1"/>
    <col min="15" max="15" width="12.5546875" style="39" customWidth="1"/>
    <col min="16" max="17" width="12.33203125" style="39" customWidth="1"/>
    <col min="18" max="18" width="14.44140625" style="39" customWidth="1"/>
    <col min="19" max="19" width="13.33203125" style="39" customWidth="1"/>
    <col min="20" max="20" width="16.44140625" style="39" customWidth="1"/>
    <col min="21" max="22" width="20.33203125" style="39" customWidth="1"/>
    <col min="23" max="16384" width="9" style="39"/>
  </cols>
  <sheetData>
    <row r="1" spans="1:23" ht="40.200000000000003" customHeight="1">
      <c r="A1" s="181" t="s">
        <v>0</v>
      </c>
      <c r="B1" s="181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37"/>
    </row>
    <row r="2" spans="1:23" ht="48" customHeight="1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1" t="s">
        <v>8</v>
      </c>
      <c r="I2" s="156" t="s">
        <v>325</v>
      </c>
      <c r="J2" s="40" t="s">
        <v>9</v>
      </c>
      <c r="K2" s="40" t="s">
        <v>10</v>
      </c>
      <c r="L2" s="40" t="s">
        <v>9</v>
      </c>
      <c r="M2" s="40" t="s">
        <v>11</v>
      </c>
      <c r="N2" s="40" t="s">
        <v>12</v>
      </c>
      <c r="O2" s="40" t="s">
        <v>13</v>
      </c>
      <c r="P2" s="40" t="s">
        <v>14</v>
      </c>
      <c r="Q2" s="40" t="s">
        <v>15</v>
      </c>
      <c r="R2" s="40" t="s">
        <v>16</v>
      </c>
      <c r="S2" s="40" t="s">
        <v>17</v>
      </c>
      <c r="T2" s="40" t="s">
        <v>18</v>
      </c>
      <c r="U2" s="40" t="s">
        <v>19</v>
      </c>
      <c r="V2" s="40" t="s">
        <v>20</v>
      </c>
    </row>
    <row r="3" spans="1:23" ht="6" customHeight="1">
      <c r="A3" s="170" t="s">
        <v>21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</row>
    <row r="4" spans="1:23" ht="16.5" customHeight="1">
      <c r="A4" s="170" t="s">
        <v>22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</row>
    <row r="5" spans="1:23" ht="15" customHeight="1">
      <c r="A5" s="42">
        <v>1</v>
      </c>
      <c r="B5" s="43" t="s">
        <v>23</v>
      </c>
      <c r="C5" s="44" t="s">
        <v>24</v>
      </c>
      <c r="D5" s="45">
        <v>15358171054.35</v>
      </c>
      <c r="E5" s="45">
        <v>3119876.51</v>
      </c>
      <c r="F5" s="45">
        <v>4720060564.6800003</v>
      </c>
      <c r="G5" s="45">
        <v>25065639.489999998</v>
      </c>
      <c r="H5" s="46">
        <f>(E5+F5)-G5</f>
        <v>4698114801.7000008</v>
      </c>
      <c r="I5" s="47">
        <v>13510518722.9</v>
      </c>
      <c r="J5" s="48">
        <f t="shared" ref="J5:J24" si="0">(I5/$I$25)</f>
        <v>5.7357002365503951E-2</v>
      </c>
      <c r="K5" s="47">
        <v>15450534781.67</v>
      </c>
      <c r="L5" s="48">
        <f t="shared" ref="L5" si="1">(K5/$K$25)</f>
        <v>5.896114662448123E-2</v>
      </c>
      <c r="M5" s="48">
        <f t="shared" ref="M5:M25" si="2">((K5-I5)/I5)</f>
        <v>0.14359301064301258</v>
      </c>
      <c r="N5" s="49">
        <f t="shared" ref="N5" si="3">(G5/K5)</f>
        <v>1.6223153336890992E-3</v>
      </c>
      <c r="O5" s="50">
        <f t="shared" ref="O5" si="4">H5/K5</f>
        <v>0.30407457528743198</v>
      </c>
      <c r="P5" s="51">
        <f t="shared" ref="P5" si="5">K5/V5</f>
        <v>930.51025756894751</v>
      </c>
      <c r="Q5" s="51">
        <f t="shared" ref="Q5" si="6">H5/V5</f>
        <v>282.94451137087668</v>
      </c>
      <c r="R5" s="45">
        <v>930.51</v>
      </c>
      <c r="S5" s="45">
        <v>937.92</v>
      </c>
      <c r="T5" s="45">
        <v>1722</v>
      </c>
      <c r="U5" s="45">
        <v>14666706.300000001</v>
      </c>
      <c r="V5" s="45">
        <v>16604368.039999999</v>
      </c>
    </row>
    <row r="6" spans="1:23">
      <c r="A6" s="42">
        <v>2</v>
      </c>
      <c r="B6" s="43" t="s">
        <v>25</v>
      </c>
      <c r="C6" s="44" t="s">
        <v>26</v>
      </c>
      <c r="D6" s="45">
        <v>2626271967.04</v>
      </c>
      <c r="E6" s="45">
        <v>3145268.51</v>
      </c>
      <c r="F6" s="45">
        <v>824596001.79999995</v>
      </c>
      <c r="G6" s="45">
        <v>3347309.61</v>
      </c>
      <c r="H6" s="46">
        <f t="shared" ref="H6:H24" si="7">(E6+F6)-G6</f>
        <v>824393960.69999993</v>
      </c>
      <c r="I6" s="47">
        <v>2331752370.1399999</v>
      </c>
      <c r="J6" s="48">
        <f t="shared" si="0"/>
        <v>9.8991259294285601E-3</v>
      </c>
      <c r="K6" s="47">
        <v>2667810797.4299998</v>
      </c>
      <c r="L6" s="48">
        <f t="shared" ref="L6:L24" si="8">(K6/$K$25)</f>
        <v>1.0180695090260341E-2</v>
      </c>
      <c r="M6" s="48">
        <f t="shared" ref="M6:M24" si="9">((K6-I6)/I6)</f>
        <v>0.14412269141161968</v>
      </c>
      <c r="N6" s="49">
        <f t="shared" ref="N6:N24" si="10">(G6/K6)</f>
        <v>1.2547027747337204E-3</v>
      </c>
      <c r="O6" s="50">
        <f t="shared" ref="O6:O24" si="11">H6/K6</f>
        <v>0.30901515260908641</v>
      </c>
      <c r="P6" s="51">
        <f t="shared" ref="P6:P24" si="12">K6/V6</f>
        <v>637.75469503218881</v>
      </c>
      <c r="Q6" s="51">
        <f t="shared" ref="Q6:Q24" si="13">H6/V6</f>
        <v>197.07586441253318</v>
      </c>
      <c r="R6" s="45">
        <v>931.51</v>
      </c>
      <c r="S6" s="45">
        <v>641.48</v>
      </c>
      <c r="T6" s="45">
        <v>625</v>
      </c>
      <c r="U6" s="45">
        <v>3758831.36</v>
      </c>
      <c r="V6" s="45">
        <v>4183130</v>
      </c>
    </row>
    <row r="7" spans="1:23">
      <c r="A7" s="42">
        <v>3</v>
      </c>
      <c r="B7" s="43" t="s">
        <v>27</v>
      </c>
      <c r="C7" s="52" t="s">
        <v>28</v>
      </c>
      <c r="D7" s="45">
        <v>14051044499</v>
      </c>
      <c r="E7" s="45">
        <v>294056572</v>
      </c>
      <c r="F7" s="45">
        <v>2135992827</v>
      </c>
      <c r="G7" s="45">
        <v>60781489</v>
      </c>
      <c r="H7" s="46">
        <f t="shared" si="7"/>
        <v>2369267910</v>
      </c>
      <c r="I7" s="47">
        <v>18230982660</v>
      </c>
      <c r="J7" s="48">
        <f t="shared" si="0"/>
        <v>7.7397066463679789E-2</v>
      </c>
      <c r="K7" s="47">
        <v>18230982660</v>
      </c>
      <c r="L7" s="48">
        <f t="shared" si="8"/>
        <v>6.9571678709780566E-2</v>
      </c>
      <c r="M7" s="48">
        <f t="shared" si="9"/>
        <v>0</v>
      </c>
      <c r="N7" s="49">
        <f t="shared" si="10"/>
        <v>3.333966694694887E-3</v>
      </c>
      <c r="O7" s="50">
        <f t="shared" si="11"/>
        <v>0.12995832173096916</v>
      </c>
      <c r="P7" s="51">
        <f t="shared" si="12"/>
        <v>78.088885384763486</v>
      </c>
      <c r="Q7" s="51">
        <f t="shared" si="13"/>
        <v>10.14830049044587</v>
      </c>
      <c r="R7" s="45">
        <v>932.51</v>
      </c>
      <c r="S7" s="45">
        <v>80.0411</v>
      </c>
      <c r="T7" s="45">
        <v>11145</v>
      </c>
      <c r="U7" s="45">
        <v>196870244</v>
      </c>
      <c r="V7" s="45">
        <v>233464501</v>
      </c>
    </row>
    <row r="8" spans="1:23">
      <c r="A8" s="53">
        <v>4</v>
      </c>
      <c r="B8" s="54" t="s">
        <v>29</v>
      </c>
      <c r="C8" s="54" t="s">
        <v>30</v>
      </c>
      <c r="D8" s="45">
        <v>2639408204.4499998</v>
      </c>
      <c r="E8" s="45">
        <v>25404059.399999999</v>
      </c>
      <c r="F8" s="45">
        <v>0</v>
      </c>
      <c r="G8" s="45">
        <v>5318224.84</v>
      </c>
      <c r="H8" s="46">
        <f t="shared" si="7"/>
        <v>20085834.559999999</v>
      </c>
      <c r="I8" s="47">
        <v>3283501271.5</v>
      </c>
      <c r="J8" s="48">
        <f t="shared" si="0"/>
        <v>1.3939641701346591E-2</v>
      </c>
      <c r="K8" s="47">
        <v>3249787710.6100001</v>
      </c>
      <c r="L8" s="48">
        <f t="shared" si="8"/>
        <v>1.2401590780600977E-2</v>
      </c>
      <c r="M8" s="48">
        <f t="shared" si="9"/>
        <v>-1.0267564438797528E-2</v>
      </c>
      <c r="N8" s="49">
        <f t="shared" si="10"/>
        <v>1.6364837686587671E-3</v>
      </c>
      <c r="O8" s="50">
        <f t="shared" si="11"/>
        <v>6.1806605072765803E-3</v>
      </c>
      <c r="P8" s="51">
        <f t="shared" si="12"/>
        <v>382.14521601933023</v>
      </c>
      <c r="Q8" s="51">
        <f t="shared" si="13"/>
        <v>2.3619098446953521</v>
      </c>
      <c r="R8" s="45">
        <v>933.51</v>
      </c>
      <c r="S8" s="45">
        <v>384.05590000000001</v>
      </c>
      <c r="T8" s="45">
        <v>2678</v>
      </c>
      <c r="U8" s="45">
        <v>8699431.8599999994</v>
      </c>
      <c r="V8" s="45">
        <v>8504064.8800000008</v>
      </c>
    </row>
    <row r="9" spans="1:23">
      <c r="A9" s="42">
        <v>5</v>
      </c>
      <c r="B9" s="43" t="s">
        <v>31</v>
      </c>
      <c r="C9" s="52" t="s">
        <v>32</v>
      </c>
      <c r="D9" s="45">
        <v>12303589195.190001</v>
      </c>
      <c r="E9" s="45">
        <v>248064098.46000001</v>
      </c>
      <c r="F9" s="45">
        <v>567116832.13999999</v>
      </c>
      <c r="G9" s="45">
        <v>14979727.26</v>
      </c>
      <c r="H9" s="46">
        <f t="shared" si="7"/>
        <v>800201203.34000003</v>
      </c>
      <c r="I9" s="47">
        <v>11417750467.16</v>
      </c>
      <c r="J9" s="48">
        <f t="shared" si="0"/>
        <v>4.8472449798956339E-2</v>
      </c>
      <c r="K9" s="47">
        <v>12549062952.27</v>
      </c>
      <c r="L9" s="48">
        <f t="shared" si="8"/>
        <v>4.7888772213013492E-2</v>
      </c>
      <c r="M9" s="48">
        <f t="shared" si="9"/>
        <v>9.9083658235823949E-2</v>
      </c>
      <c r="N9" s="49">
        <f t="shared" si="10"/>
        <v>1.1936928930052356E-3</v>
      </c>
      <c r="O9" s="50">
        <f t="shared" si="11"/>
        <v>6.376581314346276E-2</v>
      </c>
      <c r="P9" s="51">
        <f t="shared" si="12"/>
        <v>3.0537938586068085</v>
      </c>
      <c r="Q9" s="51">
        <f t="shared" si="13"/>
        <v>0.1947276485665759</v>
      </c>
      <c r="R9" s="45">
        <v>934.51</v>
      </c>
      <c r="S9" s="45">
        <v>3.0184000000000002</v>
      </c>
      <c r="T9" s="45">
        <v>2643</v>
      </c>
      <c r="U9" s="45">
        <v>3631239793.75</v>
      </c>
      <c r="V9" s="45">
        <v>4109335316.4299998</v>
      </c>
    </row>
    <row r="10" spans="1:23">
      <c r="A10" s="42">
        <v>6</v>
      </c>
      <c r="B10" s="55" t="s">
        <v>33</v>
      </c>
      <c r="C10" s="56" t="s">
        <v>34</v>
      </c>
      <c r="D10" s="45">
        <v>683211438.09000003</v>
      </c>
      <c r="E10" s="45">
        <v>2523839.9</v>
      </c>
      <c r="F10" s="57">
        <v>263159797.31</v>
      </c>
      <c r="G10" s="45">
        <v>1260772</v>
      </c>
      <c r="H10" s="46">
        <f t="shared" si="7"/>
        <v>264422865.21000001</v>
      </c>
      <c r="I10" s="57">
        <v>768620485.19000006</v>
      </c>
      <c r="J10" s="48">
        <f t="shared" si="0"/>
        <v>3.2630699006762284E-3</v>
      </c>
      <c r="K10" s="57">
        <v>778149847.47000003</v>
      </c>
      <c r="L10" s="48">
        <f t="shared" si="8"/>
        <v>2.9695158064643561E-3</v>
      </c>
      <c r="M10" s="48">
        <f t="shared" si="9"/>
        <v>1.2398007161680514E-2</v>
      </c>
      <c r="N10" s="49">
        <f t="shared" si="10"/>
        <v>1.6202174993661571E-3</v>
      </c>
      <c r="O10" s="50">
        <f t="shared" si="11"/>
        <v>0.33980969869713212</v>
      </c>
      <c r="P10" s="51">
        <f t="shared" si="12"/>
        <v>324.13692532379059</v>
      </c>
      <c r="Q10" s="51">
        <f t="shared" si="13"/>
        <v>110.14487093089208</v>
      </c>
      <c r="R10" s="45">
        <v>935.51</v>
      </c>
      <c r="S10" s="45">
        <v>324.14</v>
      </c>
      <c r="T10" s="45">
        <v>196</v>
      </c>
      <c r="U10" s="45">
        <v>2283756.0499999998</v>
      </c>
      <c r="V10" s="45">
        <v>2400682.5099999998</v>
      </c>
    </row>
    <row r="11" spans="1:23">
      <c r="A11" s="53">
        <v>7</v>
      </c>
      <c r="B11" s="44" t="s">
        <v>35</v>
      </c>
      <c r="C11" s="44" t="s">
        <v>308</v>
      </c>
      <c r="D11" s="45">
        <v>4347752637.5200005</v>
      </c>
      <c r="E11" s="45">
        <v>30285847.800000001</v>
      </c>
      <c r="F11" s="45">
        <v>0</v>
      </c>
      <c r="G11" s="45">
        <v>7525770.29</v>
      </c>
      <c r="H11" s="46">
        <f t="shared" si="7"/>
        <v>22760077.510000002</v>
      </c>
      <c r="I11" s="47">
        <v>4231332347.0300002</v>
      </c>
      <c r="J11" s="48">
        <f t="shared" si="0"/>
        <v>1.7963524896084736E-2</v>
      </c>
      <c r="K11" s="47">
        <v>4323251775.8100004</v>
      </c>
      <c r="L11" s="48">
        <f t="shared" si="8"/>
        <v>1.649806207034929E-2</v>
      </c>
      <c r="M11" s="48">
        <f t="shared" si="9"/>
        <v>2.1723519034026965E-2</v>
      </c>
      <c r="N11" s="49">
        <f t="shared" si="10"/>
        <v>1.7407661362933179E-3</v>
      </c>
      <c r="O11" s="50">
        <f t="shared" si="11"/>
        <v>5.2645736797819727E-3</v>
      </c>
      <c r="P11" s="51">
        <f t="shared" si="12"/>
        <v>8.4927578567473514</v>
      </c>
      <c r="Q11" s="51">
        <f t="shared" si="13"/>
        <v>4.4710749481393662E-2</v>
      </c>
      <c r="R11" s="45">
        <v>936.51</v>
      </c>
      <c r="S11" s="45">
        <v>8.5500000000000007</v>
      </c>
      <c r="T11" s="45">
        <v>3817</v>
      </c>
      <c r="U11" s="45">
        <v>504556197</v>
      </c>
      <c r="V11" s="45">
        <v>509051576.5</v>
      </c>
    </row>
    <row r="12" spans="1:23">
      <c r="A12" s="42">
        <v>8</v>
      </c>
      <c r="B12" s="43" t="s">
        <v>36</v>
      </c>
      <c r="C12" s="159" t="s">
        <v>328</v>
      </c>
      <c r="D12" s="45">
        <v>6837213798.4499998</v>
      </c>
      <c r="E12" s="45">
        <v>15685096.380000001</v>
      </c>
      <c r="F12" s="45">
        <v>83131776.450000003</v>
      </c>
      <c r="G12" s="45">
        <v>11148836.68</v>
      </c>
      <c r="H12" s="46">
        <f t="shared" si="7"/>
        <v>87668036.150000006</v>
      </c>
      <c r="I12" s="47">
        <v>6229828383.71</v>
      </c>
      <c r="J12" s="48">
        <f t="shared" si="0"/>
        <v>2.6447858048224467E-2</v>
      </c>
      <c r="K12" s="47">
        <v>6755316954.3599997</v>
      </c>
      <c r="L12" s="48">
        <f t="shared" si="8"/>
        <v>2.5779122798609871E-2</v>
      </c>
      <c r="M12" s="48">
        <f t="shared" si="9"/>
        <v>8.4350408756695097E-2</v>
      </c>
      <c r="N12" s="49">
        <f t="shared" si="10"/>
        <v>1.6503795092552016E-3</v>
      </c>
      <c r="O12" s="50">
        <f t="shared" si="11"/>
        <v>1.2977634764186383E-2</v>
      </c>
      <c r="P12" s="51">
        <f t="shared" si="12"/>
        <v>645.27349397589319</v>
      </c>
      <c r="Q12" s="51">
        <f t="shared" si="13"/>
        <v>8.3741237278295646</v>
      </c>
      <c r="R12" s="45">
        <v>937.51</v>
      </c>
      <c r="S12" s="45">
        <v>654.41</v>
      </c>
      <c r="T12" s="45">
        <v>2801</v>
      </c>
      <c r="U12" s="45">
        <v>10021515.189999999</v>
      </c>
      <c r="V12" s="45">
        <v>10468920.57</v>
      </c>
    </row>
    <row r="13" spans="1:23">
      <c r="A13" s="53">
        <v>9</v>
      </c>
      <c r="B13" s="44" t="s">
        <v>37</v>
      </c>
      <c r="C13" s="52" t="s">
        <v>38</v>
      </c>
      <c r="D13" s="45">
        <v>674253959.01999998</v>
      </c>
      <c r="E13" s="45">
        <v>19736458.809999999</v>
      </c>
      <c r="F13" s="45">
        <v>181909234.31</v>
      </c>
      <c r="G13" s="45">
        <v>1942410.08</v>
      </c>
      <c r="H13" s="46">
        <f t="shared" si="7"/>
        <v>199703283.03999999</v>
      </c>
      <c r="I13" s="47">
        <v>648724387.74000001</v>
      </c>
      <c r="J13" s="48">
        <f t="shared" si="0"/>
        <v>2.7540679233207478E-3</v>
      </c>
      <c r="K13" s="47">
        <v>645587742.77999997</v>
      </c>
      <c r="L13" s="48">
        <f t="shared" si="8"/>
        <v>2.4636424627953991E-3</v>
      </c>
      <c r="M13" s="48">
        <f t="shared" si="9"/>
        <v>-4.8350964127113457E-3</v>
      </c>
      <c r="N13" s="49">
        <f t="shared" si="10"/>
        <v>3.0087468384013675E-3</v>
      </c>
      <c r="O13" s="50">
        <f t="shared" si="11"/>
        <v>0.30933561746393601</v>
      </c>
      <c r="P13" s="51">
        <f t="shared" si="12"/>
        <v>322.47542690593036</v>
      </c>
      <c r="Q13" s="51">
        <f t="shared" si="13"/>
        <v>99.753135298892346</v>
      </c>
      <c r="R13" s="45">
        <v>938.51</v>
      </c>
      <c r="S13" s="45">
        <v>334.1</v>
      </c>
      <c r="T13" s="45">
        <v>2475</v>
      </c>
      <c r="U13" s="45">
        <v>2001975</v>
      </c>
      <c r="V13" s="45">
        <v>2001975</v>
      </c>
    </row>
    <row r="14" spans="1:23">
      <c r="A14" s="53">
        <v>10</v>
      </c>
      <c r="B14" s="44" t="s">
        <v>39</v>
      </c>
      <c r="C14" s="44" t="s">
        <v>40</v>
      </c>
      <c r="D14" s="45">
        <v>148599033.74000001</v>
      </c>
      <c r="E14" s="45">
        <v>1218079.1100000001</v>
      </c>
      <c r="F14" s="45">
        <v>47397261.869999997</v>
      </c>
      <c r="G14" s="45">
        <v>5006202.04</v>
      </c>
      <c r="H14" s="46">
        <f t="shared" si="7"/>
        <v>43609138.939999998</v>
      </c>
      <c r="I14" s="47">
        <v>147579860.69</v>
      </c>
      <c r="J14" s="48">
        <f t="shared" si="0"/>
        <v>6.2652949100685141E-4</v>
      </c>
      <c r="K14" s="47">
        <v>158039407.96000001</v>
      </c>
      <c r="L14" s="48">
        <f t="shared" si="8"/>
        <v>6.0309787569492741E-4</v>
      </c>
      <c r="M14" s="48">
        <f t="shared" si="9"/>
        <v>7.0873811786358112E-2</v>
      </c>
      <c r="N14" s="49">
        <f t="shared" si="10"/>
        <v>3.167692226021928E-2</v>
      </c>
      <c r="O14" s="50">
        <f t="shared" si="11"/>
        <v>0.27593838462769699</v>
      </c>
      <c r="P14" s="51">
        <f t="shared" si="12"/>
        <v>529.70268652842446</v>
      </c>
      <c r="Q14" s="51">
        <f t="shared" si="13"/>
        <v>146.16530365360478</v>
      </c>
      <c r="R14" s="45">
        <v>939.51</v>
      </c>
      <c r="S14" s="45">
        <v>537.52</v>
      </c>
      <c r="T14" s="45">
        <v>43</v>
      </c>
      <c r="U14" s="45">
        <v>283903.98</v>
      </c>
      <c r="V14" s="45">
        <v>298354.93</v>
      </c>
      <c r="W14" s="35"/>
    </row>
    <row r="15" spans="1:23">
      <c r="A15" s="53">
        <v>11</v>
      </c>
      <c r="B15" s="52" t="s">
        <v>41</v>
      </c>
      <c r="C15" s="52" t="s">
        <v>42</v>
      </c>
      <c r="D15" s="45">
        <v>24943890601.790001</v>
      </c>
      <c r="E15" s="45">
        <v>79997682.950000003</v>
      </c>
      <c r="F15" s="45">
        <v>206699201.36000001</v>
      </c>
      <c r="G15" s="45">
        <v>40968685.850000001</v>
      </c>
      <c r="H15" s="46">
        <f t="shared" si="7"/>
        <v>245728198.46000001</v>
      </c>
      <c r="I15" s="47">
        <v>20543400462.779999</v>
      </c>
      <c r="J15" s="48">
        <f t="shared" si="0"/>
        <v>8.7214110213397228E-2</v>
      </c>
      <c r="K15" s="47">
        <v>24295875070.889999</v>
      </c>
      <c r="L15" s="48">
        <f t="shared" si="8"/>
        <v>9.2716056283327408E-2</v>
      </c>
      <c r="M15" s="48">
        <f t="shared" si="9"/>
        <v>0.18266083139004358</v>
      </c>
      <c r="N15" s="49">
        <f t="shared" si="10"/>
        <v>1.686240389797133E-3</v>
      </c>
      <c r="O15" s="50">
        <f t="shared" si="11"/>
        <v>1.0113988392804103E-2</v>
      </c>
      <c r="P15" s="51">
        <f t="shared" si="12"/>
        <v>6.033713395359225</v>
      </c>
      <c r="Q15" s="51">
        <f t="shared" si="13"/>
        <v>6.1024907246169831E-2</v>
      </c>
      <c r="R15" s="45">
        <v>940.51</v>
      </c>
      <c r="S15" s="45">
        <v>6.09</v>
      </c>
      <c r="T15" s="45">
        <v>11444</v>
      </c>
      <c r="U15" s="45">
        <v>3412659249.04</v>
      </c>
      <c r="V15" s="45">
        <v>4026686963.5500002</v>
      </c>
    </row>
    <row r="16" spans="1:23">
      <c r="A16" s="42">
        <v>12</v>
      </c>
      <c r="B16" s="55" t="s">
        <v>43</v>
      </c>
      <c r="C16" s="56" t="s">
        <v>44</v>
      </c>
      <c r="D16" s="57">
        <v>395570584.79000002</v>
      </c>
      <c r="E16" s="45">
        <v>89991135.890000001</v>
      </c>
      <c r="F16" s="45">
        <v>0</v>
      </c>
      <c r="G16" s="45">
        <v>1607362.82</v>
      </c>
      <c r="H16" s="46">
        <f t="shared" si="7"/>
        <v>88383773.070000008</v>
      </c>
      <c r="I16" s="57">
        <v>565730861.36000001</v>
      </c>
      <c r="J16" s="48">
        <f t="shared" si="0"/>
        <v>2.4017306084824471E-3</v>
      </c>
      <c r="K16" s="57">
        <v>557148557.36000001</v>
      </c>
      <c r="L16" s="48">
        <f t="shared" si="8"/>
        <v>2.1261476218346459E-3</v>
      </c>
      <c r="M16" s="48">
        <f t="shared" si="9"/>
        <v>-1.5170294898475926E-2</v>
      </c>
      <c r="N16" s="49">
        <f t="shared" si="10"/>
        <v>2.8849806730476858E-3</v>
      </c>
      <c r="O16" s="50">
        <f t="shared" si="11"/>
        <v>0.15863591837839233</v>
      </c>
      <c r="P16" s="51">
        <f t="shared" si="12"/>
        <v>47.355525737367778</v>
      </c>
      <c r="Q16" s="51">
        <f t="shared" si="13"/>
        <v>7.5122873156389325</v>
      </c>
      <c r="R16" s="45">
        <v>941.51</v>
      </c>
      <c r="S16" s="45">
        <v>47.240208000000003</v>
      </c>
      <c r="T16" s="45">
        <v>117</v>
      </c>
      <c r="U16" s="57">
        <v>12048242</v>
      </c>
      <c r="V16" s="57">
        <v>11765228</v>
      </c>
    </row>
    <row r="17" spans="1:23">
      <c r="A17" s="42">
        <v>13</v>
      </c>
      <c r="B17" s="43" t="s">
        <v>45</v>
      </c>
      <c r="C17" s="44" t="s">
        <v>46</v>
      </c>
      <c r="D17" s="45">
        <v>10755594413.809999</v>
      </c>
      <c r="E17" s="45">
        <v>44363271.810000002</v>
      </c>
      <c r="F17" s="45">
        <v>830196632.29999995</v>
      </c>
      <c r="G17" s="45">
        <v>15431170.59</v>
      </c>
      <c r="H17" s="46">
        <f t="shared" si="7"/>
        <v>859128733.51999986</v>
      </c>
      <c r="I17" s="47">
        <v>9978281026.75</v>
      </c>
      <c r="J17" s="48">
        <f t="shared" si="0"/>
        <v>4.2361385243105967E-2</v>
      </c>
      <c r="K17" s="47">
        <v>11441420618.27</v>
      </c>
      <c r="L17" s="48">
        <f t="shared" si="8"/>
        <v>4.3661872433470868E-2</v>
      </c>
      <c r="M17" s="48">
        <f t="shared" si="9"/>
        <v>0.14663242973389734</v>
      </c>
      <c r="N17" s="49">
        <f t="shared" si="10"/>
        <v>1.3487110652464825E-3</v>
      </c>
      <c r="O17" s="50">
        <f t="shared" si="11"/>
        <v>7.5089340929230197E-2</v>
      </c>
      <c r="P17" s="51">
        <f t="shared" si="12"/>
        <v>48.47991560733837</v>
      </c>
      <c r="Q17" s="51">
        <f t="shared" si="13"/>
        <v>3.6403249112597393</v>
      </c>
      <c r="R17" s="45">
        <v>942.51</v>
      </c>
      <c r="S17" s="45">
        <v>49.28</v>
      </c>
      <c r="T17" s="45">
        <v>2270</v>
      </c>
      <c r="U17" s="45">
        <v>195906578.03999999</v>
      </c>
      <c r="V17" s="45">
        <v>236003311.37</v>
      </c>
    </row>
    <row r="18" spans="1:23">
      <c r="A18" s="53">
        <v>14</v>
      </c>
      <c r="B18" s="54" t="s">
        <v>47</v>
      </c>
      <c r="C18" s="54" t="s">
        <v>48</v>
      </c>
      <c r="D18" s="45">
        <v>340918300.24000001</v>
      </c>
      <c r="E18" s="45">
        <v>3456838.27</v>
      </c>
      <c r="F18" s="45">
        <v>153482327.31999999</v>
      </c>
      <c r="G18" s="45">
        <v>566802.53</v>
      </c>
      <c r="H18" s="46">
        <f t="shared" si="7"/>
        <v>156372363.06</v>
      </c>
      <c r="I18" s="47">
        <v>323476867.83999997</v>
      </c>
      <c r="J18" s="48">
        <f t="shared" si="0"/>
        <v>1.3732754348237332E-3</v>
      </c>
      <c r="K18" s="47">
        <v>347110844.19</v>
      </c>
      <c r="L18" s="48">
        <f t="shared" si="8"/>
        <v>1.3246177992178169E-3</v>
      </c>
      <c r="M18" s="48">
        <f t="shared" si="9"/>
        <v>7.3062338298916632E-2</v>
      </c>
      <c r="N18" s="49">
        <f t="shared" si="10"/>
        <v>1.6329150744992173E-3</v>
      </c>
      <c r="O18" s="50">
        <f t="shared" si="11"/>
        <v>0.45049691093605126</v>
      </c>
      <c r="P18" s="51">
        <f t="shared" si="12"/>
        <v>2.5753126670482969</v>
      </c>
      <c r="Q18" s="51">
        <f t="shared" si="13"/>
        <v>1.1601704011997414</v>
      </c>
      <c r="R18" s="45">
        <v>943.51</v>
      </c>
      <c r="S18" s="45">
        <v>3.45</v>
      </c>
      <c r="T18" s="45">
        <v>44</v>
      </c>
      <c r="U18" s="45">
        <v>108113998.09999999</v>
      </c>
      <c r="V18" s="45">
        <v>134783961.81999999</v>
      </c>
    </row>
    <row r="19" spans="1:23">
      <c r="A19" s="53">
        <v>15</v>
      </c>
      <c r="B19" s="44" t="s">
        <v>49</v>
      </c>
      <c r="C19" s="44" t="s">
        <v>50</v>
      </c>
      <c r="D19" s="45">
        <v>25837638943.66</v>
      </c>
      <c r="E19" s="45">
        <v>19410538.98</v>
      </c>
      <c r="F19" s="45">
        <v>348797735.26999998</v>
      </c>
      <c r="G19" s="45">
        <v>42306556.920000002</v>
      </c>
      <c r="H19" s="46">
        <f t="shared" si="7"/>
        <v>325901717.32999998</v>
      </c>
      <c r="I19" s="47">
        <v>23105730605.580002</v>
      </c>
      <c r="J19" s="48">
        <f t="shared" si="0"/>
        <v>9.8092121567074961E-2</v>
      </c>
      <c r="K19" s="47">
        <v>25762550082.68</v>
      </c>
      <c r="L19" s="48">
        <f t="shared" si="8"/>
        <v>9.8313069049720855E-2</v>
      </c>
      <c r="M19" s="48">
        <f t="shared" si="9"/>
        <v>0.11498530483422066</v>
      </c>
      <c r="N19" s="49">
        <f t="shared" si="10"/>
        <v>1.642172719091284E-3</v>
      </c>
      <c r="O19" s="50">
        <f t="shared" si="11"/>
        <v>1.2650211888344922E-2</v>
      </c>
      <c r="P19" s="51">
        <f t="shared" si="12"/>
        <v>78.439043396096793</v>
      </c>
      <c r="Q19" s="51">
        <f t="shared" si="13"/>
        <v>0.99227051927970689</v>
      </c>
      <c r="R19" s="45">
        <v>944.51</v>
      </c>
      <c r="S19" s="45">
        <v>78.667699999999996</v>
      </c>
      <c r="T19" s="45">
        <v>17166</v>
      </c>
      <c r="U19" s="45">
        <v>290248267</v>
      </c>
      <c r="V19" s="45">
        <v>328440391</v>
      </c>
    </row>
    <row r="20" spans="1:23">
      <c r="A20" s="53">
        <v>16</v>
      </c>
      <c r="B20" s="52" t="s">
        <v>51</v>
      </c>
      <c r="C20" s="44" t="s">
        <v>52</v>
      </c>
      <c r="D20" s="45">
        <v>5227295918.2600002</v>
      </c>
      <c r="E20" s="45">
        <v>49044694.850000001</v>
      </c>
      <c r="F20" s="45">
        <v>31408404.989999998</v>
      </c>
      <c r="G20" s="45">
        <v>12829389.470000001</v>
      </c>
      <c r="H20" s="46">
        <f t="shared" si="7"/>
        <v>67623710.370000005</v>
      </c>
      <c r="I20" s="47">
        <v>5024383761.1400003</v>
      </c>
      <c r="J20" s="48">
        <f t="shared" si="0"/>
        <v>2.1330312860929793E-2</v>
      </c>
      <c r="K20" s="47">
        <v>3566018924.3200002</v>
      </c>
      <c r="L20" s="48">
        <f t="shared" si="8"/>
        <v>1.360836810075647E-2</v>
      </c>
      <c r="M20" s="48">
        <f t="shared" si="9"/>
        <v>-0.29025745368007211</v>
      </c>
      <c r="N20" s="49">
        <f t="shared" si="10"/>
        <v>3.597678459445198E-3</v>
      </c>
      <c r="O20" s="50">
        <f t="shared" si="11"/>
        <v>1.8963362731703699E-2</v>
      </c>
      <c r="P20" s="51">
        <f t="shared" si="12"/>
        <v>12440.782917828159</v>
      </c>
      <c r="Q20" s="51">
        <f t="shared" si="13"/>
        <v>235.91907913715852</v>
      </c>
      <c r="R20" s="45">
        <v>945.51</v>
      </c>
      <c r="S20" s="45">
        <v>18395.89</v>
      </c>
      <c r="T20" s="45">
        <v>80</v>
      </c>
      <c r="U20" s="45">
        <v>278687.09999999998</v>
      </c>
      <c r="V20" s="45">
        <v>286639.43</v>
      </c>
    </row>
    <row r="21" spans="1:23">
      <c r="A21" s="53">
        <v>17</v>
      </c>
      <c r="B21" s="44" t="s">
        <v>53</v>
      </c>
      <c r="C21" s="44" t="s">
        <v>52</v>
      </c>
      <c r="D21" s="45">
        <v>75415047240.539993</v>
      </c>
      <c r="E21" s="45">
        <v>545255649.71000004</v>
      </c>
      <c r="F21" s="45">
        <v>587267427.91999996</v>
      </c>
      <c r="G21" s="45">
        <v>252619558.37</v>
      </c>
      <c r="H21" s="46">
        <f t="shared" si="7"/>
        <v>879903519.26000011</v>
      </c>
      <c r="I21" s="47">
        <v>68999453386.580002</v>
      </c>
      <c r="J21" s="48">
        <f t="shared" si="0"/>
        <v>0.29292745099449885</v>
      </c>
      <c r="K21" s="47">
        <v>77321217265.649994</v>
      </c>
      <c r="L21" s="48">
        <f t="shared" si="8"/>
        <v>0.29506730302901507</v>
      </c>
      <c r="M21" s="48">
        <f t="shared" si="9"/>
        <v>0.12060622904425106</v>
      </c>
      <c r="N21" s="49">
        <f t="shared" si="10"/>
        <v>3.2671440945126768E-3</v>
      </c>
      <c r="O21" s="50">
        <f t="shared" si="11"/>
        <v>1.137984566690077E-2</v>
      </c>
      <c r="P21" s="51">
        <f t="shared" si="12"/>
        <v>65119.040242023751</v>
      </c>
      <c r="Q21" s="51">
        <f t="shared" si="13"/>
        <v>741.04462793093091</v>
      </c>
      <c r="R21" s="45">
        <v>946.51</v>
      </c>
      <c r="S21" s="45">
        <v>65440.2</v>
      </c>
      <c r="T21" s="45">
        <v>31783</v>
      </c>
      <c r="U21" s="45">
        <v>1059961.24</v>
      </c>
      <c r="V21" s="45">
        <v>1187382.6299999999</v>
      </c>
    </row>
    <row r="22" spans="1:23">
      <c r="A22" s="158">
        <v>18</v>
      </c>
      <c r="B22" s="44" t="s">
        <v>54</v>
      </c>
      <c r="C22" s="44" t="s">
        <v>55</v>
      </c>
      <c r="D22" s="45">
        <v>14952438900.73</v>
      </c>
      <c r="E22" s="45">
        <v>76121951</v>
      </c>
      <c r="F22" s="45">
        <v>-1860426.4500017166</v>
      </c>
      <c r="G22" s="45">
        <v>29602403.600000001</v>
      </c>
      <c r="H22" s="46">
        <f t="shared" ref="H22" si="14">(E22+F22)-G22</f>
        <v>44659120.949998282</v>
      </c>
      <c r="I22" s="47">
        <v>16786446303.41</v>
      </c>
      <c r="J22" s="48">
        <f t="shared" si="0"/>
        <v>7.1264491029580934E-2</v>
      </c>
      <c r="K22" s="47">
        <v>18891089162.119999</v>
      </c>
      <c r="L22" s="48">
        <f t="shared" si="8"/>
        <v>7.2090726549176046E-2</v>
      </c>
      <c r="M22" s="48">
        <f t="shared" si="9"/>
        <v>0.1253775111580622</v>
      </c>
      <c r="N22" s="49">
        <f t="shared" si="10"/>
        <v>1.567003540450071E-3</v>
      </c>
      <c r="O22" s="50">
        <f t="shared" si="11"/>
        <v>2.3640310289545284E-3</v>
      </c>
      <c r="P22" s="51">
        <f t="shared" si="12"/>
        <v>2.8859627594201256</v>
      </c>
      <c r="Q22" s="51">
        <f t="shared" si="13"/>
        <v>6.8225055116764091E-3</v>
      </c>
      <c r="R22" s="45">
        <v>947.51</v>
      </c>
      <c r="S22" s="45">
        <v>2.91</v>
      </c>
      <c r="T22" s="45">
        <v>4656</v>
      </c>
      <c r="U22" s="45">
        <v>5924009567.1800003</v>
      </c>
      <c r="V22" s="45">
        <v>6545853407.3100004</v>
      </c>
    </row>
    <row r="23" spans="1:23">
      <c r="A23" s="53">
        <v>19</v>
      </c>
      <c r="B23" s="58" t="s">
        <v>56</v>
      </c>
      <c r="C23" s="58" t="s">
        <v>57</v>
      </c>
      <c r="D23" s="45">
        <v>12544113563.469999</v>
      </c>
      <c r="E23" s="45">
        <v>368643667.30000001</v>
      </c>
      <c r="F23" s="45">
        <v>313148672.24000001</v>
      </c>
      <c r="G23" s="45">
        <v>25698444.039999999</v>
      </c>
      <c r="H23" s="46">
        <f t="shared" si="7"/>
        <v>656093895.5</v>
      </c>
      <c r="I23" s="47">
        <v>8694175270.4300003</v>
      </c>
      <c r="J23" s="48">
        <f t="shared" si="0"/>
        <v>3.6909895303051755E-2</v>
      </c>
      <c r="K23" s="47">
        <v>11786579782.01</v>
      </c>
      <c r="L23" s="48">
        <f t="shared" si="8"/>
        <v>4.4979042379342332E-2</v>
      </c>
      <c r="M23" s="48">
        <f t="shared" si="9"/>
        <v>0.35568693008728064</v>
      </c>
      <c r="N23" s="49">
        <f t="shared" si="10"/>
        <v>2.1803139261165352E-3</v>
      </c>
      <c r="O23" s="50">
        <f t="shared" si="11"/>
        <v>5.5664485171635969E-2</v>
      </c>
      <c r="P23" s="51">
        <f t="shared" si="12"/>
        <v>1.908533509543594</v>
      </c>
      <c r="Q23" s="51">
        <f t="shared" si="13"/>
        <v>0.10623753524155975</v>
      </c>
      <c r="R23" s="45">
        <v>948.51</v>
      </c>
      <c r="S23" s="45">
        <v>2.1467000000000001</v>
      </c>
      <c r="T23" s="45">
        <v>5273</v>
      </c>
      <c r="U23" s="45">
        <v>4225196096</v>
      </c>
      <c r="V23" s="45">
        <v>6175725877</v>
      </c>
    </row>
    <row r="24" spans="1:23">
      <c r="A24" s="53">
        <v>20</v>
      </c>
      <c r="B24" s="56" t="s">
        <v>58</v>
      </c>
      <c r="C24" s="56" t="s">
        <v>59</v>
      </c>
      <c r="D24" s="45">
        <v>22095266624</v>
      </c>
      <c r="E24" s="45">
        <v>77156594</v>
      </c>
      <c r="F24" s="45">
        <v>217964387.02000001</v>
      </c>
      <c r="G24" s="45">
        <v>45901418.600000001</v>
      </c>
      <c r="H24" s="46">
        <f t="shared" si="7"/>
        <v>249219562.41999999</v>
      </c>
      <c r="I24" s="47">
        <v>20729669754</v>
      </c>
      <c r="J24" s="48">
        <f t="shared" si="0"/>
        <v>8.800489022682613E-2</v>
      </c>
      <c r="K24" s="47">
        <v>23268501583</v>
      </c>
      <c r="L24" s="48">
        <f t="shared" si="8"/>
        <v>8.8795472322088009E-2</v>
      </c>
      <c r="M24" s="48">
        <f t="shared" si="9"/>
        <v>0.12247333696717994</v>
      </c>
      <c r="N24" s="49">
        <f t="shared" si="10"/>
        <v>1.9726847659814776E-3</v>
      </c>
      <c r="O24" s="50">
        <f t="shared" si="11"/>
        <v>1.0710597823887386E-2</v>
      </c>
      <c r="P24" s="51">
        <f t="shared" si="12"/>
        <v>364.1959747038573</v>
      </c>
      <c r="Q24" s="51">
        <f t="shared" si="13"/>
        <v>3.9007566141316792</v>
      </c>
      <c r="R24" s="45">
        <v>949.51</v>
      </c>
      <c r="S24" s="45">
        <v>366.53</v>
      </c>
      <c r="T24" s="45">
        <v>163</v>
      </c>
      <c r="U24" s="45">
        <v>57888707</v>
      </c>
      <c r="V24" s="45">
        <v>63890057</v>
      </c>
    </row>
    <row r="25" spans="1:23">
      <c r="A25" s="166" t="s">
        <v>60</v>
      </c>
      <c r="B25" s="166"/>
      <c r="C25" s="166"/>
      <c r="D25" s="166"/>
      <c r="E25" s="166"/>
      <c r="F25" s="166"/>
      <c r="G25" s="166"/>
      <c r="H25" s="166"/>
      <c r="I25" s="60">
        <f>SUM(I5:I24)</f>
        <v>235551339255.92999</v>
      </c>
      <c r="J25" s="61">
        <f>(I25/$I$247)</f>
        <v>2.6527654650800186E-2</v>
      </c>
      <c r="K25" s="60">
        <f>SUM(K5:K24)</f>
        <v>262046036520.85001</v>
      </c>
      <c r="L25" s="61">
        <f>(K25/$K$247)</f>
        <v>2.8940498792074394E-2</v>
      </c>
      <c r="M25" s="61">
        <f t="shared" si="2"/>
        <v>0.11247950170273978</v>
      </c>
      <c r="N25" s="49"/>
      <c r="O25" s="49"/>
      <c r="P25" s="62"/>
      <c r="Q25" s="62"/>
      <c r="R25" s="63"/>
      <c r="S25" s="63"/>
      <c r="T25" s="63">
        <f>SUM(T5:T24)</f>
        <v>101141</v>
      </c>
      <c r="U25" s="63"/>
      <c r="V25" s="63"/>
    </row>
    <row r="26" spans="1:23" ht="6" customHeight="1">
      <c r="A26" s="183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37"/>
    </row>
    <row r="27" spans="1:23">
      <c r="A27" s="170" t="s">
        <v>61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</row>
    <row r="28" spans="1:23" ht="13.2" customHeight="1">
      <c r="A28" s="53">
        <v>21</v>
      </c>
      <c r="B28" s="44" t="s">
        <v>62</v>
      </c>
      <c r="C28" s="44" t="s">
        <v>24</v>
      </c>
      <c r="D28" s="45">
        <v>6091707679.6599998</v>
      </c>
      <c r="E28" s="45">
        <v>89488155.489999995</v>
      </c>
      <c r="F28" s="45">
        <v>0</v>
      </c>
      <c r="G28" s="45">
        <v>11478496.210000001</v>
      </c>
      <c r="H28" s="46">
        <f>(E28+F28)-G28</f>
        <v>78009659.280000001</v>
      </c>
      <c r="I28" s="64">
        <v>6126386529.7299995</v>
      </c>
      <c r="J28" s="48">
        <f>(I28/$I$75)</f>
        <v>1.0756663086116483E-3</v>
      </c>
      <c r="K28" s="64">
        <v>5892343612.2399998</v>
      </c>
      <c r="L28" s="48">
        <f>(K28/$K$75)</f>
        <v>1.0096338904689711E-3</v>
      </c>
      <c r="M28" s="48">
        <f t="shared" ref="M28:M75" si="15">((K28-I28)/I28)</f>
        <v>-3.8202440599240876E-2</v>
      </c>
      <c r="N28" s="49">
        <f t="shared" ref="N28" si="16">(G28/K28)</f>
        <v>1.948035784294053E-3</v>
      </c>
      <c r="O28" s="50">
        <f t="shared" ref="O28" si="17">H28/K28</f>
        <v>1.323915650776929E-2</v>
      </c>
      <c r="P28" s="65">
        <f t="shared" ref="P28" si="18">K28/V28</f>
        <v>100.26044777734086</v>
      </c>
      <c r="Q28" s="65">
        <f t="shared" ref="Q28" si="19">H28/V28</f>
        <v>1.3273637596632453</v>
      </c>
      <c r="R28" s="45">
        <v>100</v>
      </c>
      <c r="S28" s="45">
        <v>100</v>
      </c>
      <c r="T28" s="45">
        <v>924</v>
      </c>
      <c r="U28" s="66">
        <v>61075850</v>
      </c>
      <c r="V28" s="66">
        <v>58770370</v>
      </c>
    </row>
    <row r="29" spans="1:23" ht="15" customHeight="1">
      <c r="A29" s="53">
        <v>22</v>
      </c>
      <c r="B29" s="44" t="s">
        <v>63</v>
      </c>
      <c r="C29" s="44" t="s">
        <v>64</v>
      </c>
      <c r="D29" s="45">
        <v>38214567632.080002</v>
      </c>
      <c r="E29" s="45">
        <v>719907858.16999996</v>
      </c>
      <c r="F29" s="45">
        <v>0</v>
      </c>
      <c r="G29" s="45">
        <v>67140680.840000004</v>
      </c>
      <c r="H29" s="46">
        <f t="shared" ref="H29:H74" si="20">(E29+F29)-G29</f>
        <v>652767177.32999992</v>
      </c>
      <c r="I29" s="64">
        <v>40162857195.43</v>
      </c>
      <c r="J29" s="48">
        <f t="shared" ref="J29:J74" si="21">(I29/$I$75)</f>
        <v>7.0517640591327398E-3</v>
      </c>
      <c r="K29" s="64">
        <v>40910524892.449997</v>
      </c>
      <c r="L29" s="48">
        <f t="shared" ref="L29:L74" si="22">(K29/$K$75)</f>
        <v>7.0098852216444038E-3</v>
      </c>
      <c r="M29" s="48">
        <f t="shared" ref="M29:M74" si="23">((K29-I29)/I29)</f>
        <v>1.8615899097563986E-2</v>
      </c>
      <c r="N29" s="49">
        <f t="shared" ref="N29:N74" si="24">(G29/K29)</f>
        <v>1.6411591153256203E-3</v>
      </c>
      <c r="O29" s="50">
        <f t="shared" ref="O29:O74" si="25">H29/K29</f>
        <v>1.5955971697895952E-2</v>
      </c>
      <c r="P29" s="65">
        <f t="shared" ref="P29:P74" si="26">K29/V29</f>
        <v>102.85651592207327</v>
      </c>
      <c r="Q29" s="65">
        <f t="shared" ref="Q29:Q74" si="27">H29/V29</f>
        <v>1.6411756569967852</v>
      </c>
      <c r="R29" s="45">
        <v>100</v>
      </c>
      <c r="S29" s="45">
        <v>100</v>
      </c>
      <c r="T29" s="45">
        <v>4982</v>
      </c>
      <c r="U29" s="66">
        <v>404432644.79000002</v>
      </c>
      <c r="V29" s="66">
        <v>397743638.56</v>
      </c>
    </row>
    <row r="30" spans="1:23" ht="15" customHeight="1">
      <c r="A30" s="151">
        <v>23</v>
      </c>
      <c r="B30" s="44" t="s">
        <v>65</v>
      </c>
      <c r="C30" s="44" t="s">
        <v>66</v>
      </c>
      <c r="D30" s="45">
        <v>1232524240.3900001</v>
      </c>
      <c r="E30" s="45">
        <v>28073290.449999999</v>
      </c>
      <c r="F30" s="45">
        <v>0</v>
      </c>
      <c r="G30" s="45">
        <v>3162294.7</v>
      </c>
      <c r="H30" s="46">
        <f t="shared" si="20"/>
        <v>24910995.75</v>
      </c>
      <c r="I30" s="64">
        <v>1846329326.45</v>
      </c>
      <c r="J30" s="48">
        <f t="shared" si="21"/>
        <v>3.2417710528483915E-4</v>
      </c>
      <c r="K30" s="64">
        <v>1698506835.0999999</v>
      </c>
      <c r="L30" s="48">
        <f t="shared" si="22"/>
        <v>2.9103361527455743E-4</v>
      </c>
      <c r="M30" s="48">
        <f t="shared" si="23"/>
        <v>-8.006290602241771E-2</v>
      </c>
      <c r="N30" s="49">
        <f t="shared" si="24"/>
        <v>1.8618086395948E-3</v>
      </c>
      <c r="O30" s="50">
        <f t="shared" si="25"/>
        <v>1.4666408892333577E-2</v>
      </c>
      <c r="P30" s="65">
        <f t="shared" si="26"/>
        <v>0.99591240208822041</v>
      </c>
      <c r="Q30" s="65">
        <f t="shared" si="27"/>
        <v>1.460645850997197E-2</v>
      </c>
      <c r="R30" s="45">
        <v>1</v>
      </c>
      <c r="S30" s="45">
        <v>1</v>
      </c>
      <c r="T30" s="45">
        <v>196</v>
      </c>
      <c r="U30" s="66">
        <v>1853181243</v>
      </c>
      <c r="V30" s="66">
        <v>1705478144</v>
      </c>
    </row>
    <row r="31" spans="1:23">
      <c r="A31" s="151">
        <v>24</v>
      </c>
      <c r="B31" s="43" t="s">
        <v>67</v>
      </c>
      <c r="C31" s="44" t="s">
        <v>26</v>
      </c>
      <c r="D31" s="45">
        <v>3552681931.3600001</v>
      </c>
      <c r="E31" s="45">
        <v>50128963.990000002</v>
      </c>
      <c r="F31" s="45">
        <v>0</v>
      </c>
      <c r="G31" s="45">
        <v>4573130.57</v>
      </c>
      <c r="H31" s="46">
        <f t="shared" si="20"/>
        <v>45555833.420000002</v>
      </c>
      <c r="I31" s="64">
        <v>3374218001.7600002</v>
      </c>
      <c r="J31" s="48">
        <f t="shared" si="21"/>
        <v>5.924426421334716E-4</v>
      </c>
      <c r="K31" s="64">
        <v>3612153005.73</v>
      </c>
      <c r="L31" s="48">
        <f t="shared" si="22"/>
        <v>6.1893065512483975E-4</v>
      </c>
      <c r="M31" s="48">
        <f t="shared" si="23"/>
        <v>7.0515599124268885E-2</v>
      </c>
      <c r="N31" s="49">
        <f t="shared" si="24"/>
        <v>1.2660401048199205E-3</v>
      </c>
      <c r="O31" s="50">
        <f t="shared" si="25"/>
        <v>1.2611822740546775E-2</v>
      </c>
      <c r="P31" s="65">
        <f t="shared" si="26"/>
        <v>127.37840943374221</v>
      </c>
      <c r="Q31" s="65">
        <f t="shared" si="27"/>
        <v>1.606473920751148</v>
      </c>
      <c r="R31" s="45">
        <v>100</v>
      </c>
      <c r="S31" s="45">
        <v>100</v>
      </c>
      <c r="T31" s="45">
        <v>1971</v>
      </c>
      <c r="U31" s="66">
        <v>26880322.670000002</v>
      </c>
      <c r="V31" s="66">
        <v>28357655.129999999</v>
      </c>
    </row>
    <row r="32" spans="1:23">
      <c r="A32" s="151">
        <v>25</v>
      </c>
      <c r="B32" s="43" t="s">
        <v>68</v>
      </c>
      <c r="C32" s="44" t="s">
        <v>69</v>
      </c>
      <c r="D32" s="45">
        <v>480388432.38</v>
      </c>
      <c r="E32" s="45">
        <v>33192627.109999999</v>
      </c>
      <c r="F32" s="45">
        <v>0</v>
      </c>
      <c r="G32" s="45">
        <v>3341618.18</v>
      </c>
      <c r="H32" s="46">
        <f t="shared" si="20"/>
        <v>29851008.93</v>
      </c>
      <c r="I32" s="64">
        <v>1846329326.45</v>
      </c>
      <c r="J32" s="48">
        <f t="shared" si="21"/>
        <v>3.2417710528483915E-4</v>
      </c>
      <c r="K32" s="64">
        <v>1380669724.23</v>
      </c>
      <c r="L32" s="48">
        <f t="shared" si="22"/>
        <v>2.3657326131344407E-4</v>
      </c>
      <c r="M32" s="48">
        <f t="shared" si="23"/>
        <v>-0.25220831167500302</v>
      </c>
      <c r="N32" s="49">
        <f t="shared" si="24"/>
        <v>2.4202878656324717E-3</v>
      </c>
      <c r="O32" s="50">
        <f t="shared" si="25"/>
        <v>2.1620673218316507E-2</v>
      </c>
      <c r="P32" s="65">
        <f t="shared" si="26"/>
        <v>100.00000001665857</v>
      </c>
      <c r="Q32" s="65">
        <f t="shared" si="27"/>
        <v>2.1620673221918207</v>
      </c>
      <c r="R32" s="45">
        <v>1</v>
      </c>
      <c r="S32" s="45">
        <v>1</v>
      </c>
      <c r="T32" s="45">
        <v>161</v>
      </c>
      <c r="U32" s="66">
        <v>9551977.2599999998</v>
      </c>
      <c r="V32" s="66">
        <v>13806697.24</v>
      </c>
    </row>
    <row r="33" spans="1:22">
      <c r="A33" s="151">
        <v>26</v>
      </c>
      <c r="B33" s="43" t="s">
        <v>70</v>
      </c>
      <c r="C33" s="52" t="s">
        <v>71</v>
      </c>
      <c r="D33" s="45">
        <v>152219894236</v>
      </c>
      <c r="E33" s="45">
        <v>6055222727</v>
      </c>
      <c r="F33" s="45">
        <v>0</v>
      </c>
      <c r="G33" s="45">
        <v>6055222727</v>
      </c>
      <c r="H33" s="46">
        <f t="shared" si="20"/>
        <v>0</v>
      </c>
      <c r="I33" s="64">
        <v>405313077838</v>
      </c>
      <c r="J33" s="48">
        <f t="shared" si="21"/>
        <v>7.1164563344853396E-2</v>
      </c>
      <c r="K33" s="64">
        <v>405313077838</v>
      </c>
      <c r="L33" s="48">
        <f t="shared" si="22"/>
        <v>6.9449076049379777E-2</v>
      </c>
      <c r="M33" s="48">
        <f t="shared" si="23"/>
        <v>0</v>
      </c>
      <c r="N33" s="49">
        <f t="shared" si="24"/>
        <v>1.4939618428547767E-2</v>
      </c>
      <c r="O33" s="50">
        <f t="shared" si="25"/>
        <v>0</v>
      </c>
      <c r="P33" s="65">
        <f t="shared" si="26"/>
        <v>1</v>
      </c>
      <c r="Q33" s="65">
        <f t="shared" si="27"/>
        <v>0</v>
      </c>
      <c r="R33" s="45">
        <v>1</v>
      </c>
      <c r="S33" s="45">
        <v>1</v>
      </c>
      <c r="T33" s="45">
        <v>84170</v>
      </c>
      <c r="U33" s="66">
        <v>390223685451</v>
      </c>
      <c r="V33" s="66">
        <v>405313077838</v>
      </c>
    </row>
    <row r="34" spans="1:22">
      <c r="A34" s="151">
        <v>27</v>
      </c>
      <c r="B34" s="43" t="s">
        <v>72</v>
      </c>
      <c r="C34" s="52" t="s">
        <v>73</v>
      </c>
      <c r="D34" s="45">
        <v>1261697968.3599999</v>
      </c>
      <c r="E34" s="45">
        <v>39632925.380000003</v>
      </c>
      <c r="F34" s="45">
        <v>0</v>
      </c>
      <c r="G34" s="45">
        <v>4859462.5999999996</v>
      </c>
      <c r="H34" s="46">
        <f t="shared" si="20"/>
        <v>34773462.780000001</v>
      </c>
      <c r="I34" s="64">
        <v>2367855819.5599999</v>
      </c>
      <c r="J34" s="48">
        <f t="shared" si="21"/>
        <v>4.1574633209814232E-4</v>
      </c>
      <c r="K34" s="64">
        <v>2146337845.7</v>
      </c>
      <c r="L34" s="48">
        <f t="shared" si="22"/>
        <v>3.6776800064975866E-4</v>
      </c>
      <c r="M34" s="48">
        <f t="shared" si="23"/>
        <v>-9.3552137773812105E-2</v>
      </c>
      <c r="N34" s="49">
        <f t="shared" si="24"/>
        <v>2.2640716184246143E-3</v>
      </c>
      <c r="O34" s="50">
        <f t="shared" si="25"/>
        <v>1.6201299739305064E-2</v>
      </c>
      <c r="P34" s="65">
        <f t="shared" si="26"/>
        <v>0.95744918484261499</v>
      </c>
      <c r="Q34" s="65">
        <f t="shared" si="27"/>
        <v>1.5511921228788503E-2</v>
      </c>
      <c r="R34" s="45">
        <v>1</v>
      </c>
      <c r="S34" s="45">
        <v>1</v>
      </c>
      <c r="T34" s="45">
        <v>418</v>
      </c>
      <c r="U34" s="66">
        <v>2450259460</v>
      </c>
      <c r="V34" s="66">
        <v>2241725075</v>
      </c>
    </row>
    <row r="35" spans="1:22" ht="15" customHeight="1">
      <c r="A35" s="151">
        <v>28</v>
      </c>
      <c r="B35" s="44" t="s">
        <v>74</v>
      </c>
      <c r="C35" s="44" t="s">
        <v>30</v>
      </c>
      <c r="D35" s="45">
        <v>48876410368.760002</v>
      </c>
      <c r="E35" s="45">
        <v>2512079947.6700001</v>
      </c>
      <c r="F35" s="45">
        <v>0</v>
      </c>
      <c r="G35" s="45">
        <v>237986742.25999999</v>
      </c>
      <c r="H35" s="46">
        <f t="shared" si="20"/>
        <v>2274093205.4099998</v>
      </c>
      <c r="I35" s="64">
        <v>172769901135.07001</v>
      </c>
      <c r="J35" s="48">
        <f t="shared" si="21"/>
        <v>3.0334808437454334E-2</v>
      </c>
      <c r="K35" s="64">
        <v>172769901135.07001</v>
      </c>
      <c r="L35" s="48">
        <f t="shared" si="22"/>
        <v>2.960355996153936E-2</v>
      </c>
      <c r="M35" s="48">
        <f t="shared" si="23"/>
        <v>0</v>
      </c>
      <c r="N35" s="49">
        <f t="shared" si="24"/>
        <v>1.3774780253763301E-3</v>
      </c>
      <c r="O35" s="50">
        <f t="shared" si="25"/>
        <v>1.31625543018175E-2</v>
      </c>
      <c r="P35" s="65">
        <f t="shared" si="26"/>
        <v>1.0261517055918481</v>
      </c>
      <c r="Q35" s="65">
        <f t="shared" si="27"/>
        <v>1.3506777546755345E-2</v>
      </c>
      <c r="R35" s="45">
        <v>1</v>
      </c>
      <c r="S35" s="45">
        <v>1</v>
      </c>
      <c r="T35" s="45">
        <v>40594</v>
      </c>
      <c r="U35" s="66">
        <v>171856119552.54999</v>
      </c>
      <c r="V35" s="66">
        <v>168366821585.53</v>
      </c>
    </row>
    <row r="36" spans="1:22" ht="15" customHeight="1">
      <c r="A36" s="158">
        <v>29</v>
      </c>
      <c r="B36" s="43" t="s">
        <v>75</v>
      </c>
      <c r="C36" s="44" t="s">
        <v>32</v>
      </c>
      <c r="D36" s="45">
        <v>29088225169.23</v>
      </c>
      <c r="E36" s="45">
        <v>417610750.89999998</v>
      </c>
      <c r="F36" s="45">
        <v>0</v>
      </c>
      <c r="G36" s="45">
        <v>36282431.130000003</v>
      </c>
      <c r="H36" s="46">
        <f t="shared" si="20"/>
        <v>381328319.76999998</v>
      </c>
      <c r="I36" s="64">
        <v>27010533722.360001</v>
      </c>
      <c r="J36" s="48">
        <f t="shared" si="21"/>
        <v>4.7424890613361114E-3</v>
      </c>
      <c r="K36" s="64">
        <v>28576467930.360001</v>
      </c>
      <c r="L36" s="48">
        <f t="shared" si="22"/>
        <v>4.8964847251029599E-3</v>
      </c>
      <c r="M36" s="48">
        <f t="shared" si="23"/>
        <v>5.7974945037967913E-2</v>
      </c>
      <c r="N36" s="49">
        <f t="shared" si="24"/>
        <v>1.2696611498110686E-3</v>
      </c>
      <c r="O36" s="50">
        <f t="shared" si="25"/>
        <v>1.3344137585487671E-2</v>
      </c>
      <c r="P36" s="65">
        <f t="shared" si="26"/>
        <v>1</v>
      </c>
      <c r="Q36" s="65">
        <f t="shared" si="27"/>
        <v>1.3344137585487671E-2</v>
      </c>
      <c r="R36" s="45">
        <v>1</v>
      </c>
      <c r="S36" s="45">
        <v>1</v>
      </c>
      <c r="T36" s="45">
        <v>1947</v>
      </c>
      <c r="U36" s="66">
        <v>27010533722.360001</v>
      </c>
      <c r="V36" s="66">
        <v>28576467930.360001</v>
      </c>
    </row>
    <row r="37" spans="1:22">
      <c r="A37" s="151">
        <v>30</v>
      </c>
      <c r="B37" s="52" t="s">
        <v>76</v>
      </c>
      <c r="C37" s="52" t="s">
        <v>50</v>
      </c>
      <c r="D37" s="67">
        <v>40772354990.639999</v>
      </c>
      <c r="E37" s="67">
        <v>581735178.57000005</v>
      </c>
      <c r="F37" s="45">
        <v>0</v>
      </c>
      <c r="G37" s="67">
        <v>68347577.069999993</v>
      </c>
      <c r="H37" s="46">
        <f t="shared" si="20"/>
        <v>513387601.50000006</v>
      </c>
      <c r="I37" s="64">
        <v>39913422863.870003</v>
      </c>
      <c r="J37" s="48">
        <f t="shared" si="21"/>
        <v>7.0079685680438063E-3</v>
      </c>
      <c r="K37" s="68">
        <v>39645317401.519997</v>
      </c>
      <c r="L37" s="48">
        <f t="shared" si="22"/>
        <v>6.7930960380223485E-3</v>
      </c>
      <c r="M37" s="48">
        <f t="shared" si="23"/>
        <v>-6.7171754039841479E-3</v>
      </c>
      <c r="N37" s="49">
        <f t="shared" si="24"/>
        <v>1.723976034238524E-3</v>
      </c>
      <c r="O37" s="50">
        <f t="shared" si="25"/>
        <v>1.2949514221326851E-2</v>
      </c>
      <c r="P37" s="65">
        <f t="shared" si="26"/>
        <v>100.00029146659521</v>
      </c>
      <c r="Q37" s="65">
        <f t="shared" si="27"/>
        <v>1.2949551964835049</v>
      </c>
      <c r="R37" s="45">
        <v>100</v>
      </c>
      <c r="S37" s="45">
        <v>100</v>
      </c>
      <c r="T37" s="67">
        <v>10728</v>
      </c>
      <c r="U37" s="69">
        <v>399132853.98000002</v>
      </c>
      <c r="V37" s="69">
        <v>396452018.49000001</v>
      </c>
    </row>
    <row r="38" spans="1:22">
      <c r="A38" s="151">
        <v>31</v>
      </c>
      <c r="B38" s="70" t="s">
        <v>77</v>
      </c>
      <c r="C38" s="70" t="s">
        <v>78</v>
      </c>
      <c r="D38" s="45">
        <v>3422406302.8800001</v>
      </c>
      <c r="E38" s="45">
        <v>101825959.84999999</v>
      </c>
      <c r="F38" s="45">
        <v>0</v>
      </c>
      <c r="G38" s="45">
        <v>4836380.17</v>
      </c>
      <c r="H38" s="46">
        <f t="shared" si="20"/>
        <v>96989579.679999992</v>
      </c>
      <c r="I38" s="64">
        <v>3832831702.1199999</v>
      </c>
      <c r="J38" s="48">
        <f t="shared" si="21"/>
        <v>6.7296568842691387E-4</v>
      </c>
      <c r="K38" s="64">
        <v>3295586726.8299999</v>
      </c>
      <c r="L38" s="48">
        <f t="shared" si="22"/>
        <v>5.6468805408352188E-4</v>
      </c>
      <c r="M38" s="48">
        <f t="shared" si="23"/>
        <v>-0.1401692057057557</v>
      </c>
      <c r="N38" s="49">
        <f t="shared" si="24"/>
        <v>1.4675323609681114E-3</v>
      </c>
      <c r="O38" s="50">
        <f t="shared" si="25"/>
        <v>2.9430140281361535E-2</v>
      </c>
      <c r="P38" s="65">
        <f t="shared" si="26"/>
        <v>0.99862595700379231</v>
      </c>
      <c r="Q38" s="65">
        <f t="shared" si="27"/>
        <v>2.938970200323052E-2</v>
      </c>
      <c r="R38" s="45">
        <v>1</v>
      </c>
      <c r="S38" s="45">
        <v>1</v>
      </c>
      <c r="T38" s="45">
        <v>766</v>
      </c>
      <c r="U38" s="66">
        <v>3827094376.5799999</v>
      </c>
      <c r="V38" s="66">
        <v>3300121235.3000002</v>
      </c>
    </row>
    <row r="39" spans="1:22">
      <c r="A39" s="151">
        <v>32</v>
      </c>
      <c r="B39" s="44" t="s">
        <v>79</v>
      </c>
      <c r="C39" s="44" t="s">
        <v>80</v>
      </c>
      <c r="D39" s="45">
        <v>105074844084.84</v>
      </c>
      <c r="E39" s="45">
        <v>1540345179.2</v>
      </c>
      <c r="F39" s="45">
        <v>0</v>
      </c>
      <c r="G39" s="45">
        <v>166324351.34999999</v>
      </c>
      <c r="H39" s="46">
        <f t="shared" si="20"/>
        <v>1374020827.8500001</v>
      </c>
      <c r="I39" s="64">
        <v>97973286407.020004</v>
      </c>
      <c r="J39" s="48">
        <f t="shared" si="21"/>
        <v>1.7202075451911707E-2</v>
      </c>
      <c r="K39" s="64">
        <v>102007743080.64</v>
      </c>
      <c r="L39" s="48">
        <f t="shared" si="22"/>
        <v>1.747869460472852E-2</v>
      </c>
      <c r="M39" s="48">
        <f t="shared" si="23"/>
        <v>4.1179150170172485E-2</v>
      </c>
      <c r="N39" s="49">
        <f t="shared" si="24"/>
        <v>1.6305071196263592E-3</v>
      </c>
      <c r="O39" s="50">
        <f t="shared" si="25"/>
        <v>1.3469769905249231E-2</v>
      </c>
      <c r="P39" s="65">
        <f t="shared" si="26"/>
        <v>99.999999999647088</v>
      </c>
      <c r="Q39" s="65">
        <f t="shared" si="27"/>
        <v>1.3469769905201694</v>
      </c>
      <c r="R39" s="45">
        <v>100</v>
      </c>
      <c r="S39" s="45">
        <v>100</v>
      </c>
      <c r="T39" s="45">
        <v>6276</v>
      </c>
      <c r="U39" s="66">
        <v>979732864.07000005</v>
      </c>
      <c r="V39" s="66">
        <v>1020077430.8099999</v>
      </c>
    </row>
    <row r="40" spans="1:22">
      <c r="A40" s="151">
        <v>33</v>
      </c>
      <c r="B40" s="43" t="s">
        <v>81</v>
      </c>
      <c r="C40" s="44" t="s">
        <v>82</v>
      </c>
      <c r="D40" s="45">
        <v>16939120298.65</v>
      </c>
      <c r="E40" s="45">
        <v>634700188.53999996</v>
      </c>
      <c r="F40" s="45">
        <v>0</v>
      </c>
      <c r="G40" s="45">
        <v>57810336.060000002</v>
      </c>
      <c r="H40" s="46">
        <f t="shared" si="20"/>
        <v>576889852.48000002</v>
      </c>
      <c r="I40" s="64">
        <v>42631190600</v>
      </c>
      <c r="J40" s="48">
        <f t="shared" si="21"/>
        <v>7.4851521695355047E-3</v>
      </c>
      <c r="K40" s="64">
        <v>43632368800</v>
      </c>
      <c r="L40" s="48">
        <f t="shared" si="22"/>
        <v>7.4762643119473688E-3</v>
      </c>
      <c r="M40" s="48">
        <f t="shared" si="23"/>
        <v>2.3484640844161644E-2</v>
      </c>
      <c r="N40" s="49">
        <f t="shared" si="24"/>
        <v>1.3249414975608658E-3</v>
      </c>
      <c r="O40" s="50">
        <f t="shared" si="25"/>
        <v>1.3221602868373261E-2</v>
      </c>
      <c r="P40" s="65">
        <f t="shared" si="26"/>
        <v>100</v>
      </c>
      <c r="Q40" s="65">
        <f t="shared" si="27"/>
        <v>1.3221602868373261</v>
      </c>
      <c r="R40" s="45">
        <v>100</v>
      </c>
      <c r="S40" s="45">
        <v>100</v>
      </c>
      <c r="T40" s="45">
        <v>5953</v>
      </c>
      <c r="U40" s="66">
        <v>426311906</v>
      </c>
      <c r="V40" s="66">
        <v>436323688</v>
      </c>
    </row>
    <row r="41" spans="1:22">
      <c r="A41" s="151">
        <v>34</v>
      </c>
      <c r="B41" s="44" t="s">
        <v>83</v>
      </c>
      <c r="C41" s="44" t="s">
        <v>84</v>
      </c>
      <c r="D41" s="45">
        <v>74771840060.679993</v>
      </c>
      <c r="E41" s="45">
        <v>1111946093.3599999</v>
      </c>
      <c r="F41" s="45">
        <v>0</v>
      </c>
      <c r="G41" s="45">
        <v>147881220.58000001</v>
      </c>
      <c r="H41" s="46">
        <f t="shared" si="20"/>
        <v>964064872.77999985</v>
      </c>
      <c r="I41" s="64">
        <v>67571133487.860001</v>
      </c>
      <c r="J41" s="48">
        <f t="shared" si="21"/>
        <v>1.186408845979142E-2</v>
      </c>
      <c r="K41" s="64">
        <v>74456640684.559998</v>
      </c>
      <c r="L41" s="48">
        <f t="shared" si="22"/>
        <v>1.275790292498317E-2</v>
      </c>
      <c r="M41" s="48">
        <f t="shared" si="23"/>
        <v>0.10190012866865797</v>
      </c>
      <c r="N41" s="49">
        <f t="shared" si="24"/>
        <v>1.9861387677495099E-3</v>
      </c>
      <c r="O41" s="50">
        <f t="shared" si="25"/>
        <v>1.2948003884090316E-2</v>
      </c>
      <c r="P41" s="65">
        <f t="shared" si="26"/>
        <v>1</v>
      </c>
      <c r="Q41" s="65">
        <f t="shared" si="27"/>
        <v>1.2948003884090316E-2</v>
      </c>
      <c r="R41" s="45">
        <v>1</v>
      </c>
      <c r="S41" s="45">
        <v>1</v>
      </c>
      <c r="T41" s="45">
        <v>17869</v>
      </c>
      <c r="U41" s="66">
        <v>65442079957.68</v>
      </c>
      <c r="V41" s="66">
        <v>74456640684.559998</v>
      </c>
    </row>
    <row r="42" spans="1:22">
      <c r="A42" s="151">
        <v>35</v>
      </c>
      <c r="B42" s="58" t="s">
        <v>85</v>
      </c>
      <c r="C42" s="56" t="s">
        <v>86</v>
      </c>
      <c r="D42" s="45">
        <v>1776194256.3</v>
      </c>
      <c r="E42" s="45">
        <v>29147564.109999999</v>
      </c>
      <c r="F42" s="45">
        <v>0</v>
      </c>
      <c r="G42" s="45">
        <v>2018193.01</v>
      </c>
      <c r="H42" s="46">
        <f t="shared" ref="H42" si="28">(E42+F42)-G42</f>
        <v>27129371.099999998</v>
      </c>
      <c r="I42" s="64">
        <v>1584333041.0999999</v>
      </c>
      <c r="J42" s="48">
        <f t="shared" si="21"/>
        <v>2.7817599586009331E-4</v>
      </c>
      <c r="K42" s="64">
        <v>1621422178.5999999</v>
      </c>
      <c r="L42" s="48">
        <f t="shared" si="22"/>
        <v>2.7782541039731795E-4</v>
      </c>
      <c r="M42" s="48">
        <f t="shared" si="23"/>
        <v>2.34099375180922E-2</v>
      </c>
      <c r="N42" s="49">
        <f t="shared" si="24"/>
        <v>1.2447054423189079E-3</v>
      </c>
      <c r="O42" s="50">
        <f t="shared" si="25"/>
        <v>1.673183669130798E-2</v>
      </c>
      <c r="P42" s="65">
        <f t="shared" si="26"/>
        <v>999.9999991365604</v>
      </c>
      <c r="Q42" s="65">
        <f t="shared" si="27"/>
        <v>16.73183667686105</v>
      </c>
      <c r="R42" s="45">
        <v>1000</v>
      </c>
      <c r="S42" s="45">
        <v>1000</v>
      </c>
      <c r="T42" s="45">
        <v>140</v>
      </c>
      <c r="U42" s="66">
        <v>1584333.04</v>
      </c>
      <c r="V42" s="66">
        <v>1621422.18</v>
      </c>
    </row>
    <row r="43" spans="1:22">
      <c r="A43" s="151">
        <v>36</v>
      </c>
      <c r="B43" s="44" t="s">
        <v>87</v>
      </c>
      <c r="C43" s="44" t="s">
        <v>88</v>
      </c>
      <c r="D43" s="45">
        <v>29147222960.080002</v>
      </c>
      <c r="E43" s="45">
        <v>1291278948.5699999</v>
      </c>
      <c r="F43" s="45">
        <v>0</v>
      </c>
      <c r="G43" s="45">
        <v>137665259.24000001</v>
      </c>
      <c r="H43" s="46">
        <f t="shared" si="20"/>
        <v>1153613689.3299999</v>
      </c>
      <c r="I43" s="64">
        <v>86933786351.570007</v>
      </c>
      <c r="J43" s="48">
        <f t="shared" si="21"/>
        <v>1.5263768390165258E-2</v>
      </c>
      <c r="K43" s="64">
        <v>88450133015.860001</v>
      </c>
      <c r="L43" s="48">
        <f t="shared" si="22"/>
        <v>1.5155642268348993E-2</v>
      </c>
      <c r="M43" s="48">
        <f t="shared" si="23"/>
        <v>1.7442547114624882E-2</v>
      </c>
      <c r="N43" s="49">
        <f t="shared" si="24"/>
        <v>1.5564166445664388E-3</v>
      </c>
      <c r="O43" s="50">
        <f t="shared" si="25"/>
        <v>1.3042531989444779E-2</v>
      </c>
      <c r="P43" s="65">
        <f t="shared" si="26"/>
        <v>100.75344556714154</v>
      </c>
      <c r="Q43" s="65">
        <f t="shared" si="27"/>
        <v>1.3140800368562269</v>
      </c>
      <c r="R43" s="45">
        <v>100</v>
      </c>
      <c r="S43" s="45">
        <v>100</v>
      </c>
      <c r="T43" s="45">
        <v>8767</v>
      </c>
      <c r="U43" s="66">
        <v>856841756</v>
      </c>
      <c r="V43" s="66">
        <v>877886930</v>
      </c>
    </row>
    <row r="44" spans="1:22">
      <c r="A44" s="151">
        <v>37</v>
      </c>
      <c r="B44" s="44" t="s">
        <v>89</v>
      </c>
      <c r="C44" s="44" t="s">
        <v>88</v>
      </c>
      <c r="D44" s="45">
        <v>3580443397.6300001</v>
      </c>
      <c r="E44" s="45">
        <v>148989131.59999999</v>
      </c>
      <c r="F44" s="45">
        <v>0</v>
      </c>
      <c r="G44" s="45">
        <v>13595703.279999999</v>
      </c>
      <c r="H44" s="46">
        <f t="shared" si="20"/>
        <v>135393428.31999999</v>
      </c>
      <c r="I44" s="64">
        <v>10062961798.639999</v>
      </c>
      <c r="J44" s="48">
        <f t="shared" si="21"/>
        <v>1.7668472139514464E-3</v>
      </c>
      <c r="K44" s="64">
        <v>10382641952.049999</v>
      </c>
      <c r="L44" s="48">
        <f t="shared" si="22"/>
        <v>1.7790318890465323E-3</v>
      </c>
      <c r="M44" s="48">
        <f t="shared" si="23"/>
        <v>3.1767998309722725E-2</v>
      </c>
      <c r="N44" s="49">
        <f t="shared" si="24"/>
        <v>1.3094647145484581E-3</v>
      </c>
      <c r="O44" s="50">
        <f t="shared" si="25"/>
        <v>1.3040363805790997E-2</v>
      </c>
      <c r="P44" s="65">
        <f t="shared" si="26"/>
        <v>1029003.166704658</v>
      </c>
      <c r="Q44" s="65">
        <f t="shared" si="27"/>
        <v>13418.575651139741</v>
      </c>
      <c r="R44" s="45">
        <v>1034910.8</v>
      </c>
      <c r="S44" s="45">
        <v>1038519.14</v>
      </c>
      <c r="T44" s="45">
        <v>98</v>
      </c>
      <c r="U44" s="66">
        <v>9908</v>
      </c>
      <c r="V44" s="66">
        <v>10090</v>
      </c>
    </row>
    <row r="45" spans="1:22">
      <c r="A45" s="151">
        <v>38</v>
      </c>
      <c r="B45" s="52" t="s">
        <v>90</v>
      </c>
      <c r="C45" s="52" t="s">
        <v>91</v>
      </c>
      <c r="D45" s="67">
        <v>8083699357</v>
      </c>
      <c r="E45" s="67">
        <v>136002136.44999999</v>
      </c>
      <c r="F45" s="45">
        <v>0</v>
      </c>
      <c r="G45" s="67">
        <v>13814390</v>
      </c>
      <c r="H45" s="46">
        <f t="shared" si="20"/>
        <v>122187746.44999999</v>
      </c>
      <c r="I45" s="64">
        <v>7491273043</v>
      </c>
      <c r="J45" s="48">
        <f t="shared" si="21"/>
        <v>1.3153120492579978E-3</v>
      </c>
      <c r="K45" s="68">
        <v>8172229992</v>
      </c>
      <c r="L45" s="48">
        <f t="shared" si="22"/>
        <v>1.4002849975501567E-3</v>
      </c>
      <c r="M45" s="48">
        <f t="shared" si="23"/>
        <v>9.0900030621137246E-2</v>
      </c>
      <c r="N45" s="49">
        <f t="shared" si="24"/>
        <v>1.6904064145922535E-3</v>
      </c>
      <c r="O45" s="50">
        <f t="shared" si="25"/>
        <v>1.495157950395579E-2</v>
      </c>
      <c r="P45" s="65">
        <f t="shared" si="26"/>
        <v>0.9771914591975287</v>
      </c>
      <c r="Q45" s="65">
        <f t="shared" si="27"/>
        <v>1.461055579277842E-2</v>
      </c>
      <c r="R45" s="45">
        <v>1</v>
      </c>
      <c r="S45" s="45">
        <v>1</v>
      </c>
      <c r="T45" s="45">
        <v>1947</v>
      </c>
      <c r="U45" s="69">
        <v>8014598041</v>
      </c>
      <c r="V45" s="69">
        <v>8362977301</v>
      </c>
    </row>
    <row r="46" spans="1:22">
      <c r="A46" s="151">
        <v>39</v>
      </c>
      <c r="B46" s="44" t="s">
        <v>92</v>
      </c>
      <c r="C46" s="44" t="s">
        <v>308</v>
      </c>
      <c r="D46" s="45">
        <v>68461174486.940002</v>
      </c>
      <c r="E46" s="45">
        <v>1084541939.6800001</v>
      </c>
      <c r="F46" s="45">
        <v>0</v>
      </c>
      <c r="G46" s="45">
        <v>97823375.510000005</v>
      </c>
      <c r="H46" s="46">
        <f t="shared" si="20"/>
        <v>986718564.17000008</v>
      </c>
      <c r="I46" s="64">
        <v>67125177509.889999</v>
      </c>
      <c r="J46" s="48">
        <f t="shared" si="21"/>
        <v>1.1785787846812071E-2</v>
      </c>
      <c r="K46" s="64">
        <v>68202294121.209999</v>
      </c>
      <c r="L46" s="48">
        <f t="shared" si="22"/>
        <v>1.168624100764706E-2</v>
      </c>
      <c r="M46" s="48">
        <f t="shared" si="23"/>
        <v>1.6046387529646398E-2</v>
      </c>
      <c r="N46" s="49">
        <f t="shared" si="24"/>
        <v>1.4343120971289768E-3</v>
      </c>
      <c r="O46" s="50">
        <f t="shared" si="25"/>
        <v>1.4467527476662164E-2</v>
      </c>
      <c r="P46" s="65">
        <f t="shared" si="26"/>
        <v>0.9999990732609183</v>
      </c>
      <c r="Q46" s="65">
        <f t="shared" si="27"/>
        <v>1.4467514069039036E-2</v>
      </c>
      <c r="R46" s="45">
        <v>1</v>
      </c>
      <c r="S46" s="45">
        <v>1</v>
      </c>
      <c r="T46" s="45">
        <v>3858</v>
      </c>
      <c r="U46" s="66">
        <v>67129384540</v>
      </c>
      <c r="V46" s="66">
        <v>68202357327</v>
      </c>
    </row>
    <row r="47" spans="1:22">
      <c r="A47" s="151">
        <v>40</v>
      </c>
      <c r="B47" s="44" t="s">
        <v>94</v>
      </c>
      <c r="C47" s="44" t="s">
        <v>95</v>
      </c>
      <c r="D47" s="67">
        <v>3182297063.2800002</v>
      </c>
      <c r="E47" s="67">
        <v>122270130.73999999</v>
      </c>
      <c r="F47" s="45">
        <v>0</v>
      </c>
      <c r="G47" s="67">
        <v>9318073.2400000002</v>
      </c>
      <c r="H47" s="46">
        <f>(E47+F47)-G47</f>
        <v>112952057.5</v>
      </c>
      <c r="I47" s="64">
        <v>6302863531.6099997</v>
      </c>
      <c r="J47" s="48">
        <f t="shared" si="21"/>
        <v>1.1066520069912568E-3</v>
      </c>
      <c r="K47" s="68">
        <v>7479431364.8299999</v>
      </c>
      <c r="L47" s="48">
        <f t="shared" si="22"/>
        <v>1.281576208774123E-3</v>
      </c>
      <c r="M47" s="48">
        <f t="shared" si="23"/>
        <v>0.18667195114082669</v>
      </c>
      <c r="N47" s="49">
        <f t="shared" si="24"/>
        <v>1.2458264252300938E-3</v>
      </c>
      <c r="O47" s="50">
        <f t="shared" si="25"/>
        <v>1.5101690488280493E-2</v>
      </c>
      <c r="P47" s="65">
        <f t="shared" si="26"/>
        <v>1.0778541419027412</v>
      </c>
      <c r="Q47" s="65">
        <f t="shared" si="27"/>
        <v>1.627741964252636E-2</v>
      </c>
      <c r="R47" s="45">
        <v>1</v>
      </c>
      <c r="S47" s="45">
        <v>1</v>
      </c>
      <c r="T47" s="45">
        <v>2411</v>
      </c>
      <c r="U47" s="69">
        <v>5998548721.21</v>
      </c>
      <c r="V47" s="66">
        <v>6939186921.5500002</v>
      </c>
    </row>
    <row r="48" spans="1:22">
      <c r="A48" s="151">
        <v>41</v>
      </c>
      <c r="B48" s="43" t="s">
        <v>93</v>
      </c>
      <c r="C48" s="159" t="s">
        <v>328</v>
      </c>
      <c r="D48" s="45">
        <v>752238096069.06995</v>
      </c>
      <c r="E48" s="45">
        <v>11008166434.99</v>
      </c>
      <c r="F48" s="45">
        <v>0</v>
      </c>
      <c r="G48" s="45">
        <v>1125354.02</v>
      </c>
      <c r="H48" s="46">
        <f t="shared" ref="H48:H49" si="29">(E48+F48)-G48</f>
        <v>11007041080.969999</v>
      </c>
      <c r="I48" s="64">
        <v>726008332091.96997</v>
      </c>
      <c r="J48" s="48">
        <f t="shared" si="21"/>
        <v>0.12747199328885414</v>
      </c>
      <c r="K48" s="64">
        <v>730730088918.77002</v>
      </c>
      <c r="L48" s="48">
        <f t="shared" si="22"/>
        <v>0.12520822122885814</v>
      </c>
      <c r="M48" s="48">
        <f t="shared" si="23"/>
        <v>6.5037226407504943E-3</v>
      </c>
      <c r="N48" s="49">
        <f t="shared" si="24"/>
        <v>1.5400406211069508E-6</v>
      </c>
      <c r="O48" s="50">
        <f t="shared" si="25"/>
        <v>1.5063073558742663E-2</v>
      </c>
      <c r="P48" s="65">
        <f t="shared" si="26"/>
        <v>100.04368694078887</v>
      </c>
      <c r="Q48" s="65">
        <f t="shared" si="27"/>
        <v>1.5069654154769254</v>
      </c>
      <c r="R48" s="45">
        <v>100</v>
      </c>
      <c r="S48" s="45">
        <v>100</v>
      </c>
      <c r="T48" s="45">
        <v>62236</v>
      </c>
      <c r="U48" s="66">
        <v>7260083321</v>
      </c>
      <c r="V48" s="66">
        <v>7304109947</v>
      </c>
    </row>
    <row r="49" spans="1:22">
      <c r="A49" s="151">
        <v>42</v>
      </c>
      <c r="B49" s="44" t="s">
        <v>96</v>
      </c>
      <c r="C49" s="44" t="s">
        <v>97</v>
      </c>
      <c r="D49" s="45">
        <v>5426507456.71</v>
      </c>
      <c r="E49" s="45">
        <v>84512805.409999996</v>
      </c>
      <c r="F49" s="45">
        <v>0</v>
      </c>
      <c r="G49" s="45">
        <v>6841271.6900000004</v>
      </c>
      <c r="H49" s="46">
        <f t="shared" si="29"/>
        <v>77671533.719999999</v>
      </c>
      <c r="I49" s="64">
        <v>5126533258</v>
      </c>
      <c r="J49" s="48">
        <f t="shared" si="21"/>
        <v>9.0011282814875498E-4</v>
      </c>
      <c r="K49" s="64">
        <v>5747745670.7399998</v>
      </c>
      <c r="L49" s="48">
        <f t="shared" si="22"/>
        <v>9.848575040533544E-4</v>
      </c>
      <c r="M49" s="48">
        <f t="shared" si="23"/>
        <v>0.12117592561612515</v>
      </c>
      <c r="N49" s="49">
        <f t="shared" si="24"/>
        <v>1.1902530282136186E-3</v>
      </c>
      <c r="O49" s="50">
        <f t="shared" si="25"/>
        <v>1.3513390843892383E-2</v>
      </c>
      <c r="P49" s="65">
        <f t="shared" si="26"/>
        <v>1.0124772182399109</v>
      </c>
      <c r="Q49" s="65">
        <f t="shared" si="27"/>
        <v>1.3682000370612842E-2</v>
      </c>
      <c r="R49" s="45">
        <v>1</v>
      </c>
      <c r="S49" s="45">
        <v>1</v>
      </c>
      <c r="T49" s="45">
        <v>876</v>
      </c>
      <c r="U49" s="66">
        <v>5134772207.0600004</v>
      </c>
      <c r="V49" s="66">
        <v>5676913581.0600004</v>
      </c>
    </row>
    <row r="50" spans="1:22">
      <c r="A50" s="151">
        <v>43</v>
      </c>
      <c r="B50" s="44" t="s">
        <v>98</v>
      </c>
      <c r="C50" s="44" t="s">
        <v>99</v>
      </c>
      <c r="D50" s="45"/>
      <c r="E50" s="67">
        <v>50400000</v>
      </c>
      <c r="F50" s="45">
        <v>0</v>
      </c>
      <c r="G50" s="45">
        <v>0</v>
      </c>
      <c r="H50" s="46">
        <f t="shared" si="20"/>
        <v>50400000</v>
      </c>
      <c r="I50" s="64">
        <v>8498998.5899999999</v>
      </c>
      <c r="J50" s="48">
        <f t="shared" si="21"/>
        <v>1.4922477378527095E-6</v>
      </c>
      <c r="K50" s="64">
        <v>8498998.5899999999</v>
      </c>
      <c r="L50" s="48">
        <f t="shared" si="22"/>
        <v>1.4562757327470153E-6</v>
      </c>
      <c r="M50" s="48">
        <f t="shared" si="23"/>
        <v>0</v>
      </c>
      <c r="N50" s="49">
        <f t="shared" si="24"/>
        <v>0</v>
      </c>
      <c r="O50" s="50">
        <f t="shared" si="25"/>
        <v>5.9301104084546035</v>
      </c>
      <c r="P50" s="65">
        <f t="shared" si="26"/>
        <v>7.9928787806825066E-3</v>
      </c>
      <c r="Q50" s="65">
        <f t="shared" si="27"/>
        <v>4.7398653650841276E-2</v>
      </c>
      <c r="R50" s="45">
        <v>1</v>
      </c>
      <c r="S50" s="45">
        <v>1</v>
      </c>
      <c r="T50" s="45">
        <v>24</v>
      </c>
      <c r="U50" s="66">
        <v>1000000000</v>
      </c>
      <c r="V50" s="69">
        <v>1063321341.8099999</v>
      </c>
    </row>
    <row r="51" spans="1:22" ht="15.6" customHeight="1">
      <c r="A51" s="151">
        <v>44</v>
      </c>
      <c r="B51" s="44" t="s">
        <v>100</v>
      </c>
      <c r="C51" s="44" t="s">
        <v>101</v>
      </c>
      <c r="D51" s="45">
        <v>2219414977.27</v>
      </c>
      <c r="E51" s="45">
        <v>30376686.579999998</v>
      </c>
      <c r="F51" s="45">
        <v>0</v>
      </c>
      <c r="G51" s="45">
        <v>1790839.08</v>
      </c>
      <c r="H51" s="46">
        <f t="shared" si="20"/>
        <v>28585847.5</v>
      </c>
      <c r="I51" s="64">
        <v>2027716580.51</v>
      </c>
      <c r="J51" s="48">
        <f t="shared" si="21"/>
        <v>3.5602494202466729E-4</v>
      </c>
      <c r="K51" s="64">
        <v>2145289699.6900001</v>
      </c>
      <c r="L51" s="48">
        <f t="shared" si="22"/>
        <v>3.6758840424406744E-4</v>
      </c>
      <c r="M51" s="48">
        <f t="shared" si="23"/>
        <v>5.7983014150048882E-2</v>
      </c>
      <c r="N51" s="49">
        <f t="shared" si="24"/>
        <v>8.347772705284424E-4</v>
      </c>
      <c r="O51" s="50">
        <f t="shared" si="25"/>
        <v>1.3324935790318076E-2</v>
      </c>
      <c r="P51" s="65">
        <f t="shared" si="26"/>
        <v>10.140563690752948</v>
      </c>
      <c r="Q51" s="65">
        <f t="shared" si="27"/>
        <v>0.13512236005691391</v>
      </c>
      <c r="R51" s="45">
        <v>10</v>
      </c>
      <c r="S51" s="45">
        <v>10</v>
      </c>
      <c r="T51" s="45">
        <v>566</v>
      </c>
      <c r="U51" s="66">
        <v>201788292</v>
      </c>
      <c r="V51" s="66">
        <v>211555271</v>
      </c>
    </row>
    <row r="52" spans="1:22">
      <c r="A52" s="151">
        <v>45</v>
      </c>
      <c r="B52" s="44" t="s">
        <v>102</v>
      </c>
      <c r="C52" s="44" t="s">
        <v>103</v>
      </c>
      <c r="D52" s="45">
        <v>4334125649.5</v>
      </c>
      <c r="E52" s="45">
        <v>444970348.67000002</v>
      </c>
      <c r="F52" s="45">
        <v>0</v>
      </c>
      <c r="G52" s="45">
        <v>29066620.579999998</v>
      </c>
      <c r="H52" s="46">
        <f t="shared" si="20"/>
        <v>415903728.09000003</v>
      </c>
      <c r="I52" s="64">
        <v>14144972212.639999</v>
      </c>
      <c r="J52" s="48">
        <f t="shared" si="21"/>
        <v>2.4835635119574099E-3</v>
      </c>
      <c r="K52" s="64">
        <v>13379145976.290001</v>
      </c>
      <c r="L52" s="48">
        <f t="shared" si="22"/>
        <v>2.2924730959569439E-3</v>
      </c>
      <c r="M52" s="48">
        <f t="shared" si="23"/>
        <v>-5.414123300048998E-2</v>
      </c>
      <c r="N52" s="49">
        <f t="shared" si="24"/>
        <v>2.1725318365993411E-3</v>
      </c>
      <c r="O52" s="50">
        <f t="shared" si="25"/>
        <v>3.1085969824011812E-2</v>
      </c>
      <c r="P52" s="65">
        <f t="shared" si="26"/>
        <v>99.443029794483479</v>
      </c>
      <c r="Q52" s="65">
        <f t="shared" si="27"/>
        <v>3.0912830233996211</v>
      </c>
      <c r="R52" s="45">
        <v>100</v>
      </c>
      <c r="S52" s="45">
        <v>100</v>
      </c>
      <c r="T52" s="45">
        <v>2024</v>
      </c>
      <c r="U52" s="66">
        <v>142787531</v>
      </c>
      <c r="V52" s="66">
        <v>134540812</v>
      </c>
    </row>
    <row r="53" spans="1:22">
      <c r="A53" s="151">
        <v>46</v>
      </c>
      <c r="B53" s="58" t="s">
        <v>104</v>
      </c>
      <c r="C53" s="58" t="s">
        <v>105</v>
      </c>
      <c r="D53" s="45">
        <v>151454805.81</v>
      </c>
      <c r="E53" s="45">
        <v>2344718.77</v>
      </c>
      <c r="F53" s="45">
        <v>0</v>
      </c>
      <c r="G53" s="45">
        <v>200145.05</v>
      </c>
      <c r="H53" s="46">
        <f t="shared" si="20"/>
        <v>2144573.7200000002</v>
      </c>
      <c r="I53" s="64">
        <v>151155618.49000001</v>
      </c>
      <c r="J53" s="48">
        <f t="shared" si="21"/>
        <v>2.6539789054774947E-5</v>
      </c>
      <c r="K53" s="64">
        <v>150159794.21000001</v>
      </c>
      <c r="L53" s="48">
        <f t="shared" si="22"/>
        <v>2.5729391766178513E-5</v>
      </c>
      <c r="M53" s="48">
        <f t="shared" si="23"/>
        <v>-6.5880732052701159E-3</v>
      </c>
      <c r="N53" s="49">
        <f t="shared" si="24"/>
        <v>1.33288042283872E-3</v>
      </c>
      <c r="O53" s="50">
        <f t="shared" si="25"/>
        <v>1.4281943653976989E-2</v>
      </c>
      <c r="P53" s="65">
        <f t="shared" si="26"/>
        <v>1.0292583298780937</v>
      </c>
      <c r="Q53" s="65">
        <f t="shared" si="27"/>
        <v>1.4699809472705395E-2</v>
      </c>
      <c r="R53" s="45">
        <v>1</v>
      </c>
      <c r="S53" s="45">
        <v>1</v>
      </c>
      <c r="T53" s="45">
        <v>147</v>
      </c>
      <c r="U53" s="66">
        <v>127204793.63</v>
      </c>
      <c r="V53" s="66">
        <v>145891259.61000001</v>
      </c>
    </row>
    <row r="54" spans="1:22">
      <c r="A54" s="151">
        <v>47</v>
      </c>
      <c r="B54" s="52" t="s">
        <v>106</v>
      </c>
      <c r="C54" s="52" t="s">
        <v>42</v>
      </c>
      <c r="D54" s="45">
        <v>3195860567.6599998</v>
      </c>
      <c r="E54" s="45">
        <v>39962622.75</v>
      </c>
      <c r="F54" s="45">
        <v>0</v>
      </c>
      <c r="G54" s="45">
        <v>3437540.57</v>
      </c>
      <c r="H54" s="46">
        <f t="shared" si="20"/>
        <v>36525082.18</v>
      </c>
      <c r="I54" s="64">
        <v>2491503890.5500002</v>
      </c>
      <c r="J54" s="48">
        <f t="shared" si="21"/>
        <v>4.3745636678879158E-4</v>
      </c>
      <c r="K54" s="64">
        <v>3146265011.5500002</v>
      </c>
      <c r="L54" s="48">
        <f t="shared" si="22"/>
        <v>5.3910226441292695E-4</v>
      </c>
      <c r="M54" s="48">
        <f t="shared" si="23"/>
        <v>0.262797551102945</v>
      </c>
      <c r="N54" s="49">
        <f t="shared" si="24"/>
        <v>1.0925782022114226E-3</v>
      </c>
      <c r="O54" s="50">
        <f t="shared" si="25"/>
        <v>1.1609029133247108E-2</v>
      </c>
      <c r="P54" s="65">
        <f t="shared" si="26"/>
        <v>99.999999985697329</v>
      </c>
      <c r="Q54" s="65">
        <f t="shared" si="27"/>
        <v>1.1609029131586706</v>
      </c>
      <c r="R54" s="45">
        <v>100</v>
      </c>
      <c r="S54" s="45">
        <v>100</v>
      </c>
      <c r="T54" s="45">
        <v>13812</v>
      </c>
      <c r="U54" s="66">
        <v>24915038.91</v>
      </c>
      <c r="V54" s="66">
        <v>31462650.120000001</v>
      </c>
    </row>
    <row r="55" spans="1:22">
      <c r="A55" s="151">
        <v>48</v>
      </c>
      <c r="B55" s="52" t="s">
        <v>107</v>
      </c>
      <c r="C55" s="52" t="s">
        <v>42</v>
      </c>
      <c r="D55" s="45">
        <v>502074808850.75</v>
      </c>
      <c r="E55" s="45">
        <v>7505652291.6599998</v>
      </c>
      <c r="F55" s="45">
        <v>0</v>
      </c>
      <c r="G55" s="45">
        <v>589027929.84000003</v>
      </c>
      <c r="H55" s="46">
        <f t="shared" si="20"/>
        <v>6916624361.8199997</v>
      </c>
      <c r="I55" s="64">
        <v>448529126180.92999</v>
      </c>
      <c r="J55" s="48">
        <f t="shared" si="21"/>
        <v>7.87524043940976E-2</v>
      </c>
      <c r="K55" s="64">
        <v>492783583491.73999</v>
      </c>
      <c r="L55" s="48">
        <f t="shared" si="22"/>
        <v>8.4436862359231618E-2</v>
      </c>
      <c r="M55" s="48">
        <f t="shared" si="23"/>
        <v>9.8665738137501485E-2</v>
      </c>
      <c r="N55" s="49">
        <f t="shared" si="24"/>
        <v>1.1953075337175335E-3</v>
      </c>
      <c r="O55" s="50">
        <f t="shared" si="25"/>
        <v>1.40358254485885E-2</v>
      </c>
      <c r="P55" s="65">
        <f t="shared" si="26"/>
        <v>99.999999999947235</v>
      </c>
      <c r="Q55" s="65">
        <f t="shared" si="27"/>
        <v>1.4035825448581094</v>
      </c>
      <c r="R55" s="45">
        <v>100</v>
      </c>
      <c r="S55" s="45">
        <v>100</v>
      </c>
      <c r="T55" s="45">
        <v>46926</v>
      </c>
      <c r="U55" s="66">
        <v>4485291261.8100004</v>
      </c>
      <c r="V55" s="66">
        <v>4927835834.9200001</v>
      </c>
    </row>
    <row r="56" spans="1:22">
      <c r="A56" s="151">
        <v>49</v>
      </c>
      <c r="B56" s="44" t="s">
        <v>108</v>
      </c>
      <c r="C56" s="52" t="s">
        <v>109</v>
      </c>
      <c r="D56" s="45">
        <v>2952810173.0100002</v>
      </c>
      <c r="E56" s="45">
        <v>98326688.010000005</v>
      </c>
      <c r="F56" s="45"/>
      <c r="G56" s="45">
        <v>98326687.909999996</v>
      </c>
      <c r="H56" s="46">
        <f t="shared" si="20"/>
        <v>0.10000000894069672</v>
      </c>
      <c r="I56" s="64">
        <v>6336207303.46</v>
      </c>
      <c r="J56" s="48">
        <f t="shared" si="21"/>
        <v>1.1125064812081587E-3</v>
      </c>
      <c r="K56" s="64">
        <v>5947919373</v>
      </c>
      <c r="L56" s="48">
        <f t="shared" si="22"/>
        <v>1.019156616101491E-3</v>
      </c>
      <c r="M56" s="48">
        <f t="shared" si="23"/>
        <v>-6.1280812300438532E-2</v>
      </c>
      <c r="N56" s="49">
        <f t="shared" si="24"/>
        <v>1.6531274508586047E-2</v>
      </c>
      <c r="O56" s="50">
        <f t="shared" si="25"/>
        <v>1.6812603310434404E-11</v>
      </c>
      <c r="P56" s="65">
        <f t="shared" si="26"/>
        <v>100</v>
      </c>
      <c r="Q56" s="65">
        <f t="shared" si="27"/>
        <v>1.6812603310434404E-9</v>
      </c>
      <c r="R56" s="45">
        <v>100</v>
      </c>
      <c r="S56" s="45">
        <v>100</v>
      </c>
      <c r="T56" s="45">
        <v>1014</v>
      </c>
      <c r="U56" s="66">
        <v>63362073.030000001</v>
      </c>
      <c r="V56" s="66">
        <v>59479193.729999997</v>
      </c>
    </row>
    <row r="57" spans="1:22">
      <c r="A57" s="151">
        <v>50</v>
      </c>
      <c r="B57" s="43" t="s">
        <v>110</v>
      </c>
      <c r="C57" s="44" t="s">
        <v>46</v>
      </c>
      <c r="D57" s="45">
        <v>118863233483.63</v>
      </c>
      <c r="E57" s="45">
        <v>1696781308.3599999</v>
      </c>
      <c r="F57" s="45">
        <v>0</v>
      </c>
      <c r="G57" s="45">
        <v>162259085.71000001</v>
      </c>
      <c r="H57" s="46">
        <f t="shared" si="20"/>
        <v>1534522222.6499999</v>
      </c>
      <c r="I57" s="64">
        <v>112683904768.12</v>
      </c>
      <c r="J57" s="48">
        <f t="shared" si="21"/>
        <v>1.9784954686365847E-2</v>
      </c>
      <c r="K57" s="64">
        <v>117294148720.17</v>
      </c>
      <c r="L57" s="48">
        <f t="shared" si="22"/>
        <v>2.0097970433291125E-2</v>
      </c>
      <c r="M57" s="48">
        <f t="shared" si="23"/>
        <v>4.0913065282365969E-2</v>
      </c>
      <c r="N57" s="49">
        <f t="shared" si="24"/>
        <v>1.3833519189188489E-3</v>
      </c>
      <c r="O57" s="50">
        <f t="shared" si="25"/>
        <v>1.3082683487570444E-2</v>
      </c>
      <c r="P57" s="65">
        <f t="shared" si="26"/>
        <v>9.9911829317910446</v>
      </c>
      <c r="Q57" s="65">
        <f t="shared" si="27"/>
        <v>0.13071148396303833</v>
      </c>
      <c r="R57" s="45">
        <v>10</v>
      </c>
      <c r="S57" s="45">
        <v>10</v>
      </c>
      <c r="T57" s="45">
        <v>11404</v>
      </c>
      <c r="U57" s="66">
        <v>11243852362.879999</v>
      </c>
      <c r="V57" s="66">
        <v>11739765903.690001</v>
      </c>
    </row>
    <row r="58" spans="1:22">
      <c r="A58" s="151">
        <v>51</v>
      </c>
      <c r="B58" s="153" t="s">
        <v>319</v>
      </c>
      <c r="C58" s="153" t="s">
        <v>320</v>
      </c>
      <c r="D58" s="45">
        <v>412702350.63999999</v>
      </c>
      <c r="E58" s="45">
        <v>9135497.4800000004</v>
      </c>
      <c r="F58" s="45">
        <v>0</v>
      </c>
      <c r="G58" s="45">
        <v>8147800.8200000003</v>
      </c>
      <c r="H58" s="46">
        <f t="shared" si="20"/>
        <v>987696.66000000015</v>
      </c>
      <c r="I58" s="64">
        <v>440435645.89999998</v>
      </c>
      <c r="J58" s="48">
        <f t="shared" si="21"/>
        <v>7.7331357253934073E-5</v>
      </c>
      <c r="K58" s="64">
        <v>440218183.25999999</v>
      </c>
      <c r="L58" s="48">
        <f t="shared" si="22"/>
        <v>7.5429952200464635E-5</v>
      </c>
      <c r="M58" s="48">
        <f t="shared" si="23"/>
        <v>-4.9374441425061261E-4</v>
      </c>
      <c r="N58" s="49">
        <f t="shared" si="24"/>
        <v>1.8508551281689736E-2</v>
      </c>
      <c r="O58" s="50">
        <f t="shared" si="25"/>
        <v>2.2436525740161225E-3</v>
      </c>
      <c r="P58" s="65">
        <f t="shared" si="26"/>
        <v>1.0400461111976338</v>
      </c>
      <c r="Q58" s="65">
        <f t="shared" si="27"/>
        <v>2.3335021344840297E-3</v>
      </c>
      <c r="R58" s="45">
        <v>1</v>
      </c>
      <c r="S58" s="45">
        <v>1</v>
      </c>
      <c r="T58" s="45">
        <v>298</v>
      </c>
      <c r="U58" s="66">
        <v>469825610.94999999</v>
      </c>
      <c r="V58" s="66">
        <v>423267947.94999999</v>
      </c>
    </row>
    <row r="59" spans="1:22" ht="14.1" customHeight="1">
      <c r="A59" s="151">
        <v>52</v>
      </c>
      <c r="B59" s="44" t="s">
        <v>111</v>
      </c>
      <c r="C59" s="44" t="s">
        <v>112</v>
      </c>
      <c r="D59" s="45">
        <v>21266867030.75</v>
      </c>
      <c r="E59" s="45">
        <v>589525817.25</v>
      </c>
      <c r="F59" s="45">
        <v>133065567.17</v>
      </c>
      <c r="G59" s="45">
        <v>58088827.920000002</v>
      </c>
      <c r="H59" s="46">
        <f t="shared" si="20"/>
        <v>664502556.5</v>
      </c>
      <c r="I59" s="64">
        <v>43928340162</v>
      </c>
      <c r="J59" s="48">
        <f t="shared" si="21"/>
        <v>7.7129047075614144E-3</v>
      </c>
      <c r="K59" s="64">
        <v>45979499068</v>
      </c>
      <c r="L59" s="48">
        <f t="shared" si="22"/>
        <v>7.8784374403093535E-3</v>
      </c>
      <c r="M59" s="48">
        <f t="shared" si="23"/>
        <v>4.6693294088410497E-2</v>
      </c>
      <c r="N59" s="49">
        <f t="shared" si="24"/>
        <v>1.2633636533119091E-3</v>
      </c>
      <c r="O59" s="50">
        <f t="shared" si="25"/>
        <v>1.4452148674287509E-2</v>
      </c>
      <c r="P59" s="65">
        <f t="shared" si="26"/>
        <v>100</v>
      </c>
      <c r="Q59" s="65">
        <f t="shared" si="27"/>
        <v>1.445214867428751</v>
      </c>
      <c r="R59" s="45">
        <v>100</v>
      </c>
      <c r="S59" s="45">
        <v>100</v>
      </c>
      <c r="T59" s="45">
        <v>6550</v>
      </c>
      <c r="U59" s="66">
        <v>439283401.62</v>
      </c>
      <c r="V59" s="66">
        <v>459794990.68000001</v>
      </c>
    </row>
    <row r="60" spans="1:22">
      <c r="A60" s="151">
        <v>53</v>
      </c>
      <c r="B60" s="44" t="s">
        <v>113</v>
      </c>
      <c r="C60" s="52" t="s">
        <v>114</v>
      </c>
      <c r="D60" s="45">
        <v>197417005</v>
      </c>
      <c r="E60" s="45">
        <v>5603301.6799999997</v>
      </c>
      <c r="F60" s="45">
        <v>0</v>
      </c>
      <c r="G60" s="45">
        <v>64392.4</v>
      </c>
      <c r="H60" s="46">
        <f t="shared" si="20"/>
        <v>5538909.2799999993</v>
      </c>
      <c r="I60" s="64">
        <v>174166697.44</v>
      </c>
      <c r="J60" s="48">
        <f t="shared" si="21"/>
        <v>3.058005687516149E-5</v>
      </c>
      <c r="K60" s="64">
        <v>183690263.68000001</v>
      </c>
      <c r="L60" s="48">
        <f t="shared" si="22"/>
        <v>3.1474728523173514E-5</v>
      </c>
      <c r="M60" s="48">
        <f t="shared" si="23"/>
        <v>5.4680753438991141E-2</v>
      </c>
      <c r="N60" s="49">
        <f t="shared" si="24"/>
        <v>3.5054879180845214E-4</v>
      </c>
      <c r="O60" s="50">
        <f t="shared" si="25"/>
        <v>3.0153526752235097E-2</v>
      </c>
      <c r="P60" s="65">
        <f t="shared" si="26"/>
        <v>1.0053386023632711</v>
      </c>
      <c r="Q60" s="65">
        <f t="shared" si="27"/>
        <v>3.0314504441415539E-2</v>
      </c>
      <c r="R60" s="45">
        <v>1</v>
      </c>
      <c r="S60" s="45">
        <v>1</v>
      </c>
      <c r="T60" s="45">
        <v>119</v>
      </c>
      <c r="U60" s="66">
        <v>163899274</v>
      </c>
      <c r="V60" s="66">
        <v>182714821.90000001</v>
      </c>
    </row>
    <row r="61" spans="1:22" ht="15" customHeight="1">
      <c r="A61" s="151">
        <v>54</v>
      </c>
      <c r="B61" s="52" t="s">
        <v>115</v>
      </c>
      <c r="C61" s="52" t="s">
        <v>48</v>
      </c>
      <c r="D61" s="67">
        <v>2723640305.75</v>
      </c>
      <c r="E61" s="67">
        <v>86066558.140000001</v>
      </c>
      <c r="F61" s="45">
        <v>0</v>
      </c>
      <c r="G61" s="67">
        <v>3692980.14</v>
      </c>
      <c r="H61" s="46">
        <f t="shared" si="20"/>
        <v>82373578</v>
      </c>
      <c r="I61" s="64">
        <v>2982811096.4200001</v>
      </c>
      <c r="J61" s="48">
        <f t="shared" si="21"/>
        <v>5.2371971402747405E-4</v>
      </c>
      <c r="K61" s="68">
        <v>2788222771.0100002</v>
      </c>
      <c r="L61" s="48">
        <f t="shared" si="22"/>
        <v>4.7775289240452757E-4</v>
      </c>
      <c r="M61" s="48">
        <f t="shared" si="23"/>
        <v>-6.5236556764706521E-2</v>
      </c>
      <c r="N61" s="49">
        <f t="shared" si="24"/>
        <v>1.3244924969399996E-3</v>
      </c>
      <c r="O61" s="50">
        <f t="shared" si="25"/>
        <v>2.9543399062823505E-2</v>
      </c>
      <c r="P61" s="65">
        <f t="shared" si="26"/>
        <v>10.228159931366436</v>
      </c>
      <c r="Q61" s="65">
        <f t="shared" si="27"/>
        <v>0.30217461053074013</v>
      </c>
      <c r="R61" s="45">
        <v>10</v>
      </c>
      <c r="S61" s="45">
        <v>10</v>
      </c>
      <c r="T61" s="45">
        <v>139</v>
      </c>
      <c r="U61" s="69">
        <v>273542632</v>
      </c>
      <c r="V61" s="69">
        <v>272602578.54000002</v>
      </c>
    </row>
    <row r="62" spans="1:22" ht="15" customHeight="1">
      <c r="A62" s="151">
        <v>55</v>
      </c>
      <c r="B62" s="45" t="s">
        <v>116</v>
      </c>
      <c r="C62" s="45" t="s">
        <v>117</v>
      </c>
      <c r="D62" s="67">
        <v>1153884098.6400001</v>
      </c>
      <c r="E62" s="67">
        <v>30838912.640000001</v>
      </c>
      <c r="F62" s="45">
        <v>0</v>
      </c>
      <c r="G62" s="67">
        <v>4022341.89</v>
      </c>
      <c r="H62" s="46">
        <f t="shared" si="20"/>
        <v>26816570.75</v>
      </c>
      <c r="I62" s="64">
        <v>1700540419</v>
      </c>
      <c r="J62" s="48">
        <f t="shared" si="21"/>
        <v>2.9857959929133822E-4</v>
      </c>
      <c r="K62" s="68">
        <v>1963040035</v>
      </c>
      <c r="L62" s="48">
        <f t="shared" si="22"/>
        <v>3.3636051766674683E-4</v>
      </c>
      <c r="M62" s="48">
        <f t="shared" si="23"/>
        <v>0.15436246799377015</v>
      </c>
      <c r="N62" s="49">
        <f t="shared" si="24"/>
        <v>2.04903711502756E-3</v>
      </c>
      <c r="O62" s="50">
        <f t="shared" si="25"/>
        <v>1.366073552850388E-2</v>
      </c>
      <c r="P62" s="65">
        <f t="shared" si="26"/>
        <v>1</v>
      </c>
      <c r="Q62" s="65">
        <f t="shared" si="27"/>
        <v>1.366073552850388E-2</v>
      </c>
      <c r="R62" s="45">
        <v>1</v>
      </c>
      <c r="S62" s="45">
        <v>1</v>
      </c>
      <c r="T62" s="45">
        <v>276</v>
      </c>
      <c r="U62" s="69">
        <v>1700540419</v>
      </c>
      <c r="V62" s="69">
        <v>1963040035</v>
      </c>
    </row>
    <row r="63" spans="1:22" ht="15" customHeight="1">
      <c r="A63" s="151">
        <v>56</v>
      </c>
      <c r="B63" s="45" t="s">
        <v>118</v>
      </c>
      <c r="C63" s="45" t="s">
        <v>119</v>
      </c>
      <c r="D63" s="45">
        <v>1463620479.9100001</v>
      </c>
      <c r="E63" s="45">
        <v>35794226.079999998</v>
      </c>
      <c r="F63" s="45">
        <v>0</v>
      </c>
      <c r="G63" s="45">
        <v>10425924.970000001</v>
      </c>
      <c r="H63" s="46">
        <f t="shared" si="20"/>
        <v>25368301.109999999</v>
      </c>
      <c r="I63" s="64">
        <v>2350213847.71</v>
      </c>
      <c r="J63" s="48">
        <f t="shared" si="21"/>
        <v>4.1264876803743063E-4</v>
      </c>
      <c r="K63" s="64">
        <v>2271968670.4099998</v>
      </c>
      <c r="L63" s="48">
        <f t="shared" si="22"/>
        <v>3.8929443336683557E-4</v>
      </c>
      <c r="M63" s="48">
        <f t="shared" si="23"/>
        <v>-3.3292790516165446E-2</v>
      </c>
      <c r="N63" s="49">
        <f t="shared" si="24"/>
        <v>4.5889387057958583E-3</v>
      </c>
      <c r="O63" s="50">
        <f t="shared" si="25"/>
        <v>1.1165779458315343E-2</v>
      </c>
      <c r="P63" s="65">
        <f t="shared" si="26"/>
        <v>1.0000046329198558</v>
      </c>
      <c r="Q63" s="65">
        <f t="shared" si="27"/>
        <v>1.1165831188476702E-2</v>
      </c>
      <c r="R63" s="45">
        <v>1</v>
      </c>
      <c r="S63" s="45">
        <v>1</v>
      </c>
      <c r="T63" s="45">
        <v>620</v>
      </c>
      <c r="U63" s="66">
        <v>2350213847.7199998</v>
      </c>
      <c r="V63" s="66">
        <v>2271958144.6100001</v>
      </c>
    </row>
    <row r="64" spans="1:22" ht="15" customHeight="1">
      <c r="A64" s="151">
        <v>57</v>
      </c>
      <c r="B64" s="58" t="s">
        <v>120</v>
      </c>
      <c r="C64" s="56" t="s">
        <v>121</v>
      </c>
      <c r="D64" s="45">
        <v>13727766360.688101</v>
      </c>
      <c r="E64" s="45">
        <v>204909998.322</v>
      </c>
      <c r="F64" s="45">
        <v>0</v>
      </c>
      <c r="G64" s="45">
        <v>204909998.31999999</v>
      </c>
      <c r="H64" s="46">
        <f t="shared" si="20"/>
        <v>2.0000040531158447E-3</v>
      </c>
      <c r="I64" s="64">
        <v>15246991548.08</v>
      </c>
      <c r="J64" s="48">
        <f t="shared" si="21"/>
        <v>2.6770552325367267E-3</v>
      </c>
      <c r="K64" s="64">
        <v>13324959846.01</v>
      </c>
      <c r="L64" s="48">
        <f t="shared" si="22"/>
        <v>2.2831884789820595E-3</v>
      </c>
      <c r="M64" s="48">
        <f t="shared" si="23"/>
        <v>-0.12605973421110964</v>
      </c>
      <c r="N64" s="49">
        <f t="shared" si="24"/>
        <v>1.5377907377436327E-2</v>
      </c>
      <c r="O64" s="50">
        <f t="shared" si="25"/>
        <v>1.5009456510405335E-13</v>
      </c>
      <c r="P64" s="65">
        <f t="shared" si="26"/>
        <v>97.0160385958186</v>
      </c>
      <c r="Q64" s="65">
        <f t="shared" si="27"/>
        <v>1.4561580121157448E-11</v>
      </c>
      <c r="R64" s="45">
        <v>100</v>
      </c>
      <c r="S64" s="45">
        <v>100</v>
      </c>
      <c r="T64" s="45">
        <v>166</v>
      </c>
      <c r="U64" s="66">
        <v>154938010.06999999</v>
      </c>
      <c r="V64" s="66">
        <v>137348010.06999999</v>
      </c>
    </row>
    <row r="65" spans="1:23" ht="15" customHeight="1">
      <c r="A65" s="158">
        <v>58</v>
      </c>
      <c r="B65" s="58" t="s">
        <v>122</v>
      </c>
      <c r="C65" s="56" t="s">
        <v>86</v>
      </c>
      <c r="D65" s="45">
        <v>340191058.10000002</v>
      </c>
      <c r="E65" s="45">
        <v>4169438.41</v>
      </c>
      <c r="F65" s="45">
        <v>0</v>
      </c>
      <c r="G65" s="45">
        <v>298889.90000000002</v>
      </c>
      <c r="H65" s="46">
        <f t="shared" si="20"/>
        <v>3870548.5100000002</v>
      </c>
      <c r="I65" s="64">
        <v>105315000</v>
      </c>
      <c r="J65" s="48">
        <f t="shared" si="21"/>
        <v>1.8491127966166434E-5</v>
      </c>
      <c r="K65" s="64">
        <v>316455000</v>
      </c>
      <c r="L65" s="48">
        <f t="shared" si="22"/>
        <v>5.4223533764165116E-5</v>
      </c>
      <c r="M65" s="48">
        <f t="shared" si="23"/>
        <v>2.0048426150121066</v>
      </c>
      <c r="N65" s="49">
        <f t="shared" si="24"/>
        <v>9.4449416188715617E-4</v>
      </c>
      <c r="O65" s="50">
        <f t="shared" si="25"/>
        <v>1.223096019971244E-2</v>
      </c>
      <c r="P65" s="65">
        <f t="shared" si="26"/>
        <v>1000</v>
      </c>
      <c r="Q65" s="65">
        <f t="shared" si="27"/>
        <v>12.23096019971244</v>
      </c>
      <c r="R65" s="45">
        <v>1000</v>
      </c>
      <c r="S65" s="45">
        <v>1000</v>
      </c>
      <c r="T65" s="45">
        <v>33</v>
      </c>
      <c r="U65" s="66">
        <v>105315</v>
      </c>
      <c r="V65" s="66">
        <v>316455</v>
      </c>
    </row>
    <row r="66" spans="1:23" ht="15" customHeight="1">
      <c r="A66" s="158">
        <v>59</v>
      </c>
      <c r="B66" s="58" t="s">
        <v>123</v>
      </c>
      <c r="C66" s="58" t="s">
        <v>38</v>
      </c>
      <c r="D66" s="45">
        <v>2336372937.0500002</v>
      </c>
      <c r="E66" s="45">
        <v>36432967.289999999</v>
      </c>
      <c r="F66" s="45">
        <v>0</v>
      </c>
      <c r="G66" s="45">
        <v>35926496.850000001</v>
      </c>
      <c r="H66" s="46">
        <f t="shared" si="20"/>
        <v>506470.43999999762</v>
      </c>
      <c r="I66" s="64">
        <v>2138468968</v>
      </c>
      <c r="J66" s="48">
        <f t="shared" si="21"/>
        <v>3.7547076236968977E-4</v>
      </c>
      <c r="K66" s="64">
        <v>2233117368.6399999</v>
      </c>
      <c r="L66" s="48">
        <f t="shared" si="22"/>
        <v>3.8263738932168743E-4</v>
      </c>
      <c r="M66" s="48">
        <f t="shared" si="23"/>
        <v>4.4259889695065176E-2</v>
      </c>
      <c r="N66" s="49">
        <f t="shared" si="24"/>
        <v>1.6088046850793045E-2</v>
      </c>
      <c r="O66" s="50">
        <f t="shared" si="25"/>
        <v>2.2679974062825246E-4</v>
      </c>
      <c r="P66" s="65">
        <f t="shared" si="26"/>
        <v>0.9357646989352979</v>
      </c>
      <c r="Q66" s="65">
        <f t="shared" si="27"/>
        <v>2.1223119100760032E-4</v>
      </c>
      <c r="R66" s="45">
        <v>1</v>
      </c>
      <c r="S66" s="45">
        <v>1</v>
      </c>
      <c r="T66" s="45">
        <v>383</v>
      </c>
      <c r="U66" s="66">
        <v>2171639073.9699998</v>
      </c>
      <c r="V66" s="66">
        <v>2386409073.9699998</v>
      </c>
    </row>
    <row r="67" spans="1:23">
      <c r="A67" s="158">
        <v>60</v>
      </c>
      <c r="B67" s="44" t="s">
        <v>124</v>
      </c>
      <c r="C67" s="44" t="s">
        <v>52</v>
      </c>
      <c r="D67" s="67">
        <v>2825681841376.7002</v>
      </c>
      <c r="E67" s="67">
        <v>40582098434.120003</v>
      </c>
      <c r="F67" s="45">
        <v>0</v>
      </c>
      <c r="G67" s="67">
        <v>4625498565.4899998</v>
      </c>
      <c r="H67" s="46">
        <f t="shared" si="20"/>
        <v>35956599868.630005</v>
      </c>
      <c r="I67" s="64">
        <v>2780811192641.2798</v>
      </c>
      <c r="J67" s="48">
        <f t="shared" si="21"/>
        <v>0.48825272385584018</v>
      </c>
      <c r="K67" s="68">
        <v>2827563362054.3501</v>
      </c>
      <c r="L67" s="48">
        <f t="shared" si="22"/>
        <v>0.48449377457354215</v>
      </c>
      <c r="M67" s="48">
        <f t="shared" si="23"/>
        <v>1.6812421331152658E-2</v>
      </c>
      <c r="N67" s="49">
        <f t="shared" si="24"/>
        <v>1.6358602702113703E-3</v>
      </c>
      <c r="O67" s="50">
        <f t="shared" si="25"/>
        <v>1.2716461229892985E-2</v>
      </c>
      <c r="P67" s="65">
        <f t="shared" si="26"/>
        <v>1</v>
      </c>
      <c r="Q67" s="65">
        <f t="shared" si="27"/>
        <v>1.2716461229892985E-2</v>
      </c>
      <c r="R67" s="45">
        <v>100</v>
      </c>
      <c r="S67" s="45">
        <v>100</v>
      </c>
      <c r="T67" s="67">
        <v>335443</v>
      </c>
      <c r="U67" s="69">
        <v>2780811192641.2798</v>
      </c>
      <c r="V67" s="69">
        <v>2827563362054.3501</v>
      </c>
    </row>
    <row r="68" spans="1:23">
      <c r="A68" s="158">
        <v>61</v>
      </c>
      <c r="B68" s="44" t="s">
        <v>125</v>
      </c>
      <c r="C68" s="44" t="s">
        <v>126</v>
      </c>
      <c r="D68" s="45">
        <v>6230129465.9700003</v>
      </c>
      <c r="E68" s="45">
        <v>579828980.42999995</v>
      </c>
      <c r="F68" s="45">
        <v>0</v>
      </c>
      <c r="G68" s="45">
        <v>68764460.650000006</v>
      </c>
      <c r="H68" s="46">
        <f t="shared" si="20"/>
        <v>511064519.77999997</v>
      </c>
      <c r="I68" s="64">
        <v>13586230747.65</v>
      </c>
      <c r="J68" s="48">
        <f t="shared" si="21"/>
        <v>2.3854601085568175E-3</v>
      </c>
      <c r="K68" s="64">
        <v>15319834897.841999</v>
      </c>
      <c r="L68" s="48">
        <f t="shared" si="22"/>
        <v>2.6250038231172544E-3</v>
      </c>
      <c r="M68" s="48">
        <f t="shared" si="23"/>
        <v>0.12760008146423243</v>
      </c>
      <c r="N68" s="49">
        <f t="shared" si="24"/>
        <v>4.4885901909873967E-3</v>
      </c>
      <c r="O68" s="50">
        <f t="shared" si="25"/>
        <v>3.3359662371556638E-2</v>
      </c>
      <c r="P68" s="65">
        <f t="shared" si="26"/>
        <v>99.999999992441161</v>
      </c>
      <c r="Q68" s="65">
        <f t="shared" si="27"/>
        <v>3.3359662369035035</v>
      </c>
      <c r="R68" s="45">
        <v>100</v>
      </c>
      <c r="S68" s="45">
        <v>100</v>
      </c>
      <c r="T68" s="45">
        <v>1478</v>
      </c>
      <c r="U68" s="66">
        <v>135862307.47999999</v>
      </c>
      <c r="V68" s="66">
        <v>153198348.99000001</v>
      </c>
    </row>
    <row r="69" spans="1:23">
      <c r="A69" s="158">
        <v>62</v>
      </c>
      <c r="B69" s="43" t="s">
        <v>127</v>
      </c>
      <c r="C69" s="44" t="s">
        <v>128</v>
      </c>
      <c r="D69" s="45">
        <v>17557163536.669998</v>
      </c>
      <c r="E69" s="45">
        <v>309364388.61000001</v>
      </c>
      <c r="F69" s="45">
        <v>0</v>
      </c>
      <c r="G69" s="45">
        <v>26151373.629999999</v>
      </c>
      <c r="H69" s="46">
        <f t="shared" si="20"/>
        <v>283213014.98000002</v>
      </c>
      <c r="I69" s="64">
        <v>16212404655.809999</v>
      </c>
      <c r="J69" s="48">
        <f t="shared" si="21"/>
        <v>2.8465617350790979E-3</v>
      </c>
      <c r="K69" s="64">
        <v>17579261454.669998</v>
      </c>
      <c r="L69" s="48">
        <f t="shared" si="22"/>
        <v>3.0121492061632301E-3</v>
      </c>
      <c r="M69" s="48">
        <f t="shared" si="23"/>
        <v>8.430931918357723E-2</v>
      </c>
      <c r="N69" s="49">
        <f t="shared" si="24"/>
        <v>1.4876264112365645E-3</v>
      </c>
      <c r="O69" s="50">
        <f t="shared" si="25"/>
        <v>1.6110632162238157E-2</v>
      </c>
      <c r="P69" s="65">
        <f t="shared" si="26"/>
        <v>1.0293621910210371</v>
      </c>
      <c r="Q69" s="65">
        <f t="shared" si="27"/>
        <v>1.6583675621255456E-2</v>
      </c>
      <c r="R69" s="45">
        <v>1</v>
      </c>
      <c r="S69" s="45">
        <v>1</v>
      </c>
      <c r="T69" s="45">
        <v>936</v>
      </c>
      <c r="U69" s="66">
        <v>15971324456.780001</v>
      </c>
      <c r="V69" s="66">
        <v>17077819263.24</v>
      </c>
    </row>
    <row r="70" spans="1:23">
      <c r="A70" s="158">
        <v>63</v>
      </c>
      <c r="B70" s="44" t="s">
        <v>129</v>
      </c>
      <c r="C70" s="44" t="s">
        <v>55</v>
      </c>
      <c r="D70" s="45">
        <v>65390613721.080002</v>
      </c>
      <c r="E70" s="45">
        <v>3451940401</v>
      </c>
      <c r="F70" s="45">
        <v>0</v>
      </c>
      <c r="G70" s="45">
        <v>360608274.50999999</v>
      </c>
      <c r="H70" s="46">
        <f t="shared" si="20"/>
        <v>3091332126.4899998</v>
      </c>
      <c r="I70" s="64">
        <v>229043210473.32999</v>
      </c>
      <c r="J70" s="48">
        <f t="shared" si="21"/>
        <v>4.0215233486625236E-2</v>
      </c>
      <c r="K70" s="64">
        <v>236653721743.87</v>
      </c>
      <c r="L70" s="48">
        <f t="shared" si="22"/>
        <v>4.0549844595263375E-2</v>
      </c>
      <c r="M70" s="48">
        <f t="shared" si="23"/>
        <v>3.3227403924405714E-2</v>
      </c>
      <c r="N70" s="49">
        <f t="shared" si="24"/>
        <v>1.5237802805412282E-3</v>
      </c>
      <c r="O70" s="50">
        <f t="shared" si="25"/>
        <v>1.3062681219253101E-2</v>
      </c>
      <c r="P70" s="65">
        <f t="shared" si="26"/>
        <v>1.0172837640344023</v>
      </c>
      <c r="Q70" s="65">
        <f t="shared" si="27"/>
        <v>1.328845351910329E-2</v>
      </c>
      <c r="R70" s="45">
        <v>1</v>
      </c>
      <c r="S70" s="45">
        <v>1</v>
      </c>
      <c r="T70" s="45">
        <v>21675</v>
      </c>
      <c r="U70" s="66">
        <v>227775571626.92001</v>
      </c>
      <c r="V70" s="66">
        <v>232632948751.03</v>
      </c>
    </row>
    <row r="71" spans="1:23">
      <c r="A71" s="151">
        <v>64</v>
      </c>
      <c r="B71" s="71" t="s">
        <v>130</v>
      </c>
      <c r="C71" s="44" t="s">
        <v>131</v>
      </c>
      <c r="D71" s="45">
        <v>1374940855.8699999</v>
      </c>
      <c r="E71" s="45">
        <v>43929069.859999999</v>
      </c>
      <c r="F71" s="45">
        <v>0</v>
      </c>
      <c r="G71" s="45">
        <v>8248877.2599999998</v>
      </c>
      <c r="H71" s="46">
        <f t="shared" si="20"/>
        <v>35680192.600000001</v>
      </c>
      <c r="I71" s="64">
        <v>2762874433.5700002</v>
      </c>
      <c r="J71" s="48">
        <f t="shared" si="21"/>
        <v>4.8510340127799913E-4</v>
      </c>
      <c r="K71" s="64">
        <v>3327976736.4400001</v>
      </c>
      <c r="L71" s="48">
        <f t="shared" si="22"/>
        <v>5.7023797675723371E-4</v>
      </c>
      <c r="M71" s="48">
        <f t="shared" si="23"/>
        <v>0.20453419670607786</v>
      </c>
      <c r="N71" s="49">
        <f t="shared" si="24"/>
        <v>2.4786463107383319E-3</v>
      </c>
      <c r="O71" s="50">
        <f t="shared" si="25"/>
        <v>1.072128666324987E-2</v>
      </c>
      <c r="P71" s="65">
        <f t="shared" si="26"/>
        <v>1.0193080713152154</v>
      </c>
      <c r="Q71" s="65">
        <f t="shared" si="27"/>
        <v>1.0928294030734765E-2</v>
      </c>
      <c r="R71" s="45">
        <v>1</v>
      </c>
      <c r="S71" s="45">
        <v>1</v>
      </c>
      <c r="T71" s="45">
        <v>168</v>
      </c>
      <c r="U71" s="66">
        <v>2733435192.25</v>
      </c>
      <c r="V71" s="66">
        <v>3264937098.1100001</v>
      </c>
    </row>
    <row r="72" spans="1:23">
      <c r="A72" s="151">
        <v>65</v>
      </c>
      <c r="B72" s="44" t="s">
        <v>132</v>
      </c>
      <c r="C72" s="44" t="s">
        <v>133</v>
      </c>
      <c r="D72" s="45">
        <v>11335423049.129999</v>
      </c>
      <c r="E72" s="45">
        <v>152792128.37</v>
      </c>
      <c r="F72" s="45">
        <v>0</v>
      </c>
      <c r="G72" s="45">
        <v>15753620.74</v>
      </c>
      <c r="H72" s="46">
        <f t="shared" si="20"/>
        <v>137038507.63</v>
      </c>
      <c r="I72" s="64">
        <v>10331214640.219999</v>
      </c>
      <c r="J72" s="48">
        <f t="shared" si="21"/>
        <v>1.813946844782226E-3</v>
      </c>
      <c r="K72" s="64">
        <v>11360157113.549999</v>
      </c>
      <c r="L72" s="48">
        <f t="shared" si="22"/>
        <v>1.9465259288454881E-3</v>
      </c>
      <c r="M72" s="48">
        <f t="shared" si="23"/>
        <v>9.9595498609066649E-2</v>
      </c>
      <c r="N72" s="49">
        <f t="shared" si="24"/>
        <v>1.3867432098460708E-3</v>
      </c>
      <c r="O72" s="50">
        <f t="shared" si="25"/>
        <v>1.2063082073622489E-2</v>
      </c>
      <c r="P72" s="65">
        <f t="shared" si="26"/>
        <v>1.0222221836206509</v>
      </c>
      <c r="Q72" s="65">
        <f t="shared" si="27"/>
        <v>1.2331150098493511E-2</v>
      </c>
      <c r="R72" s="45">
        <v>1</v>
      </c>
      <c r="S72" s="45">
        <v>1</v>
      </c>
      <c r="T72" s="45">
        <v>693</v>
      </c>
      <c r="U72" s="66">
        <v>102161571133.55</v>
      </c>
      <c r="V72" s="66">
        <v>11113197595.959999</v>
      </c>
    </row>
    <row r="73" spans="1:23">
      <c r="A73" s="151">
        <v>66</v>
      </c>
      <c r="B73" s="58" t="s">
        <v>134</v>
      </c>
      <c r="C73" s="58" t="s">
        <v>57</v>
      </c>
      <c r="D73" s="45">
        <v>5406890074.9799995</v>
      </c>
      <c r="E73" s="45">
        <v>279839322.87</v>
      </c>
      <c r="F73" s="45"/>
      <c r="G73" s="45">
        <v>35487779.93</v>
      </c>
      <c r="H73" s="46">
        <f t="shared" si="20"/>
        <v>244351542.94</v>
      </c>
      <c r="I73" s="64">
        <v>15470884417.190001</v>
      </c>
      <c r="J73" s="48">
        <f t="shared" si="21"/>
        <v>2.7163661729860942E-3</v>
      </c>
      <c r="K73" s="64">
        <v>18172659198.169998</v>
      </c>
      <c r="L73" s="48">
        <f t="shared" si="22"/>
        <v>3.1138259772057219E-3</v>
      </c>
      <c r="M73" s="48">
        <f t="shared" si="23"/>
        <v>0.17463609113245027</v>
      </c>
      <c r="N73" s="49">
        <f t="shared" si="24"/>
        <v>1.9528116134799715E-3</v>
      </c>
      <c r="O73" s="50">
        <f t="shared" si="25"/>
        <v>1.3446108259412382E-2</v>
      </c>
      <c r="P73" s="65">
        <f t="shared" si="26"/>
        <v>1.0016768103468232</v>
      </c>
      <c r="Q73" s="65">
        <f t="shared" si="27"/>
        <v>1.3468654832866269E-2</v>
      </c>
      <c r="R73" s="45">
        <v>1</v>
      </c>
      <c r="S73" s="45">
        <v>1</v>
      </c>
      <c r="T73" s="45">
        <v>3066</v>
      </c>
      <c r="U73" s="66">
        <v>15470884417.190001</v>
      </c>
      <c r="V73" s="66">
        <v>18142238105.599998</v>
      </c>
    </row>
    <row r="74" spans="1:23">
      <c r="A74" s="151">
        <v>67</v>
      </c>
      <c r="B74" s="44" t="s">
        <v>135</v>
      </c>
      <c r="C74" s="44" t="s">
        <v>136</v>
      </c>
      <c r="D74" s="67">
        <v>151277937062.32999</v>
      </c>
      <c r="E74" s="67">
        <v>2196192218.3200002</v>
      </c>
      <c r="F74" s="45">
        <v>0</v>
      </c>
      <c r="G74" s="67">
        <v>182230131.90000001</v>
      </c>
      <c r="H74" s="46">
        <f t="shared" si="20"/>
        <v>2013962086.4200001</v>
      </c>
      <c r="I74" s="64">
        <v>148401063048.10999</v>
      </c>
      <c r="J74" s="48">
        <f t="shared" si="21"/>
        <v>2.605614629575782E-2</v>
      </c>
      <c r="K74" s="68">
        <v>155662298060.29999</v>
      </c>
      <c r="L74" s="48">
        <f t="shared" si="22"/>
        <v>2.6672227882890809E-2</v>
      </c>
      <c r="M74" s="48">
        <f t="shared" si="23"/>
        <v>4.8929804565052137E-2</v>
      </c>
      <c r="N74" s="49">
        <f t="shared" si="24"/>
        <v>1.1706760992916104E-3</v>
      </c>
      <c r="O74" s="50">
        <f t="shared" si="25"/>
        <v>1.2938021033454341E-2</v>
      </c>
      <c r="P74" s="65">
        <f t="shared" si="26"/>
        <v>1.0237805921530603</v>
      </c>
      <c r="Q74" s="65">
        <f t="shared" si="27"/>
        <v>1.3245694834918635E-2</v>
      </c>
      <c r="R74" s="45">
        <v>1</v>
      </c>
      <c r="S74" s="45">
        <v>1</v>
      </c>
      <c r="T74" s="45">
        <v>8602</v>
      </c>
      <c r="U74" s="69">
        <v>146572378491.23001</v>
      </c>
      <c r="V74" s="69">
        <v>152046541273.98001</v>
      </c>
    </row>
    <row r="75" spans="1:23" ht="15" customHeight="1">
      <c r="A75" s="166" t="s">
        <v>60</v>
      </c>
      <c r="B75" s="166"/>
      <c r="C75" s="166"/>
      <c r="D75" s="166"/>
      <c r="E75" s="166"/>
      <c r="F75" s="166"/>
      <c r="G75" s="166"/>
      <c r="H75" s="166"/>
      <c r="I75" s="72">
        <f>SUM(I28:I74)</f>
        <v>5695434058576.4609</v>
      </c>
      <c r="J75" s="61">
        <f>(I75/$I$247)</f>
        <v>0.64141646687121534</v>
      </c>
      <c r="K75" s="63">
        <f>SUM(K28:K74)</f>
        <v>5836119080256.9316</v>
      </c>
      <c r="L75" s="61">
        <f>(K75/$K$247)</f>
        <v>0.64454398713692929</v>
      </c>
      <c r="M75" s="61">
        <f t="shared" si="15"/>
        <v>2.4701369594231429E-2</v>
      </c>
      <c r="N75" s="49"/>
      <c r="O75" s="49"/>
      <c r="P75" s="73"/>
      <c r="Q75" s="73"/>
      <c r="R75" s="63"/>
      <c r="S75" s="63"/>
      <c r="T75" s="63">
        <f>SUM(T28:T74)</f>
        <v>713850</v>
      </c>
      <c r="U75" s="63"/>
      <c r="V75" s="63"/>
    </row>
    <row r="76" spans="1:23" ht="6" customHeight="1">
      <c r="A76" s="176"/>
      <c r="B76" s="176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37"/>
    </row>
    <row r="77" spans="1:23" ht="12.75" customHeight="1">
      <c r="A77" s="172" t="s">
        <v>137</v>
      </c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4"/>
    </row>
    <row r="78" spans="1:23">
      <c r="A78" s="42">
        <v>68</v>
      </c>
      <c r="B78" s="43" t="s">
        <v>138</v>
      </c>
      <c r="C78" s="44" t="s">
        <v>26</v>
      </c>
      <c r="D78" s="45">
        <v>1100781213.3199999</v>
      </c>
      <c r="E78" s="45">
        <v>16204994.369999999</v>
      </c>
      <c r="F78" s="45">
        <v>0</v>
      </c>
      <c r="G78" s="45">
        <v>1538610.18</v>
      </c>
      <c r="H78" s="46">
        <f t="shared" ref="H78:H115" si="30">(E78+F78)-G78</f>
        <v>14666384.189999999</v>
      </c>
      <c r="I78" s="45">
        <v>1136428594.8599999</v>
      </c>
      <c r="J78" s="48">
        <f t="shared" ref="J78:J115" si="31">(I78/$I$116)</f>
        <v>4.8436078990997406E-3</v>
      </c>
      <c r="K78" s="45">
        <v>1140139711.0899999</v>
      </c>
      <c r="L78" s="48">
        <f t="shared" ref="L78" si="32">(K78/$K$116)</f>
        <v>4.8782223266352074E-3</v>
      </c>
      <c r="M78" s="48">
        <f t="shared" ref="M78:M116" si="33">((K78-I78)/I78)</f>
        <v>3.2655956096011496E-3</v>
      </c>
      <c r="N78" s="49">
        <f t="shared" ref="N78" si="34">(G78/K78)</f>
        <v>1.3494926674635804E-3</v>
      </c>
      <c r="O78" s="50">
        <f t="shared" ref="O78" si="35">H78/K78</f>
        <v>1.2863672800220771E-2</v>
      </c>
      <c r="P78" s="65">
        <f t="shared" ref="P78" si="36">K78/V78</f>
        <v>1.7761278848763076</v>
      </c>
      <c r="Q78" s="65">
        <f t="shared" ref="Q78" si="37">H78/V78</f>
        <v>2.2847527962397005E-2</v>
      </c>
      <c r="R78" s="45">
        <v>1.78</v>
      </c>
      <c r="S78" s="45">
        <v>1.78</v>
      </c>
      <c r="T78" s="57">
        <v>434</v>
      </c>
      <c r="U78" s="45">
        <v>642518395.32000005</v>
      </c>
      <c r="V78" s="45">
        <v>641924334.84000003</v>
      </c>
    </row>
    <row r="79" spans="1:23" ht="13.2" customHeight="1">
      <c r="A79" s="42">
        <v>69</v>
      </c>
      <c r="B79" s="43" t="s">
        <v>139</v>
      </c>
      <c r="C79" s="52" t="s">
        <v>28</v>
      </c>
      <c r="D79" s="45">
        <v>964842945</v>
      </c>
      <c r="E79" s="45">
        <v>15959932</v>
      </c>
      <c r="F79" s="45">
        <v>3104684</v>
      </c>
      <c r="G79" s="45">
        <v>2446478</v>
      </c>
      <c r="H79" s="46">
        <f t="shared" si="30"/>
        <v>16618138</v>
      </c>
      <c r="I79" s="45">
        <v>1207175560</v>
      </c>
      <c r="J79" s="48">
        <f t="shared" si="31"/>
        <v>5.1451407545200613E-3</v>
      </c>
      <c r="K79" s="45">
        <v>1207175560</v>
      </c>
      <c r="L79" s="48">
        <f t="shared" ref="L79:L115" si="38">(K79/$K$116)</f>
        <v>5.1650431185582182E-3</v>
      </c>
      <c r="M79" s="48">
        <f t="shared" ref="M79:M115" si="39">((K79-I79)/I79)</f>
        <v>0</v>
      </c>
      <c r="N79" s="49">
        <f t="shared" ref="N79:N115" si="40">(G79/K79)</f>
        <v>2.0266132624487529E-3</v>
      </c>
      <c r="O79" s="50">
        <f t="shared" ref="O79:O115" si="41">H79/K79</f>
        <v>1.3766131912080792E-2</v>
      </c>
      <c r="P79" s="65">
        <f t="shared" ref="P79:P115" si="42">K79/V79</f>
        <v>1.3790519355601678</v>
      </c>
      <c r="Q79" s="65">
        <f t="shared" ref="Q79:Q115" si="43">H79/V79</f>
        <v>1.8984210858531608E-2</v>
      </c>
      <c r="R79" s="45">
        <v>1.3791</v>
      </c>
      <c r="S79" s="45">
        <v>1.3791</v>
      </c>
      <c r="T79" s="57">
        <v>1532</v>
      </c>
      <c r="U79" s="45">
        <v>889495394</v>
      </c>
      <c r="V79" s="45">
        <v>875366278</v>
      </c>
    </row>
    <row r="80" spans="1:23" ht="15" customHeight="1">
      <c r="A80" s="42">
        <v>70</v>
      </c>
      <c r="B80" s="43" t="s">
        <v>140</v>
      </c>
      <c r="C80" s="44" t="s">
        <v>141</v>
      </c>
      <c r="D80" s="45">
        <v>497449689</v>
      </c>
      <c r="E80" s="45">
        <v>11663870</v>
      </c>
      <c r="F80" s="45">
        <v>22710</v>
      </c>
      <c r="G80" s="45">
        <v>1260852</v>
      </c>
      <c r="H80" s="46">
        <f t="shared" si="30"/>
        <v>10425728</v>
      </c>
      <c r="I80" s="45">
        <v>671867582</v>
      </c>
      <c r="J80" s="48">
        <f t="shared" si="31"/>
        <v>2.8635878594071682E-3</v>
      </c>
      <c r="K80" s="45">
        <v>671867582</v>
      </c>
      <c r="L80" s="48">
        <f t="shared" si="38"/>
        <v>2.874664751323701E-3</v>
      </c>
      <c r="M80" s="48">
        <f t="shared" si="39"/>
        <v>0</v>
      </c>
      <c r="N80" s="49">
        <f t="shared" si="40"/>
        <v>1.8766376497087785E-3</v>
      </c>
      <c r="O80" s="50">
        <f t="shared" si="41"/>
        <v>1.551753392977368E-2</v>
      </c>
      <c r="P80" s="65">
        <f t="shared" si="42"/>
        <v>1.2376187200994693</v>
      </c>
      <c r="Q80" s="65">
        <f t="shared" si="43"/>
        <v>1.9204790481266592E-2</v>
      </c>
      <c r="R80" s="45">
        <v>1.2376</v>
      </c>
      <c r="S80" s="45">
        <v>1.2376</v>
      </c>
      <c r="T80" s="57">
        <v>785</v>
      </c>
      <c r="U80" s="45">
        <v>536182881</v>
      </c>
      <c r="V80" s="45">
        <v>542871218</v>
      </c>
    </row>
    <row r="81" spans="1:24">
      <c r="A81" s="42">
        <v>71</v>
      </c>
      <c r="B81" s="43" t="s">
        <v>142</v>
      </c>
      <c r="C81" s="52" t="s">
        <v>73</v>
      </c>
      <c r="D81" s="45">
        <v>272206002.94</v>
      </c>
      <c r="E81" s="45">
        <v>4290906.01</v>
      </c>
      <c r="F81" s="45">
        <v>0</v>
      </c>
      <c r="G81" s="45">
        <v>533497.73</v>
      </c>
      <c r="H81" s="46">
        <f t="shared" si="30"/>
        <v>3757408.28</v>
      </c>
      <c r="I81" s="45">
        <v>323376468.63999999</v>
      </c>
      <c r="J81" s="48">
        <f t="shared" si="31"/>
        <v>1.3782729728660532E-3</v>
      </c>
      <c r="K81" s="45">
        <v>323118668.45999998</v>
      </c>
      <c r="L81" s="48">
        <f t="shared" si="38"/>
        <v>1.382501361282544E-3</v>
      </c>
      <c r="M81" s="48">
        <f t="shared" si="39"/>
        <v>-7.9721378950119008E-4</v>
      </c>
      <c r="N81" s="49">
        <f t="shared" si="40"/>
        <v>1.6510891572519698E-3</v>
      </c>
      <c r="O81" s="50">
        <f t="shared" si="41"/>
        <v>1.1628570697904888E-2</v>
      </c>
      <c r="P81" s="65">
        <f t="shared" si="42"/>
        <v>1233.060868931409</v>
      </c>
      <c r="Q81" s="65">
        <f t="shared" si="43"/>
        <v>14.33873548918892</v>
      </c>
      <c r="R81" s="45">
        <v>1233.06</v>
      </c>
      <c r="S81" s="45">
        <v>1233.06</v>
      </c>
      <c r="T81" s="57">
        <v>98</v>
      </c>
      <c r="U81" s="45">
        <v>262046</v>
      </c>
      <c r="V81" s="45">
        <v>262046</v>
      </c>
    </row>
    <row r="82" spans="1:24">
      <c r="A82" s="42">
        <v>72</v>
      </c>
      <c r="B82" s="44" t="s">
        <v>326</v>
      </c>
      <c r="C82" s="52" t="s">
        <v>32</v>
      </c>
      <c r="D82" s="45">
        <v>1902946721.0599999</v>
      </c>
      <c r="E82" s="45">
        <v>27252378.350000001</v>
      </c>
      <c r="F82" s="45">
        <v>11407785</v>
      </c>
      <c r="G82" s="45">
        <v>182602.71</v>
      </c>
      <c r="H82" s="46">
        <f t="shared" si="30"/>
        <v>38477560.640000001</v>
      </c>
      <c r="I82" s="45">
        <v>1793787545.9300001</v>
      </c>
      <c r="J82" s="48">
        <f t="shared" si="31"/>
        <v>7.6453580683119287E-3</v>
      </c>
      <c r="K82" s="45">
        <v>1891762007.0799999</v>
      </c>
      <c r="L82" s="48">
        <f t="shared" si="38"/>
        <v>8.0941270353571751E-3</v>
      </c>
      <c r="M82" s="48">
        <f t="shared" si="39"/>
        <v>5.4618765400784627E-2</v>
      </c>
      <c r="N82" s="49">
        <f t="shared" si="40"/>
        <v>9.6525202069077171E-5</v>
      </c>
      <c r="O82" s="50">
        <f t="shared" si="41"/>
        <v>2.0339535573711751E-2</v>
      </c>
      <c r="P82" s="65">
        <f t="shared" si="42"/>
        <v>1.2087689792402592</v>
      </c>
      <c r="Q82" s="65">
        <f t="shared" si="43"/>
        <v>2.4585799653656495E-2</v>
      </c>
      <c r="R82" s="45">
        <v>1.1673</v>
      </c>
      <c r="S82" s="45">
        <v>1.1673</v>
      </c>
      <c r="T82" s="57">
        <v>1185</v>
      </c>
      <c r="U82" s="45">
        <v>1555574072.54</v>
      </c>
      <c r="V82" s="45">
        <v>1565031895.73</v>
      </c>
    </row>
    <row r="83" spans="1:24">
      <c r="A83" s="42">
        <v>73</v>
      </c>
      <c r="B83" s="44" t="s">
        <v>143</v>
      </c>
      <c r="C83" s="44" t="s">
        <v>144</v>
      </c>
      <c r="D83" s="67">
        <v>525478364.76999998</v>
      </c>
      <c r="E83" s="67">
        <v>5060755.24</v>
      </c>
      <c r="F83" s="45">
        <v>0</v>
      </c>
      <c r="G83" s="67">
        <v>972920.04</v>
      </c>
      <c r="H83" s="46">
        <f t="shared" si="30"/>
        <v>4087835.2</v>
      </c>
      <c r="I83" s="45">
        <v>505334257.42000002</v>
      </c>
      <c r="J83" s="48">
        <f t="shared" si="31"/>
        <v>2.1538009620628617E-3</v>
      </c>
      <c r="K83" s="67">
        <v>509359477.07999998</v>
      </c>
      <c r="L83" s="48">
        <f t="shared" si="38"/>
        <v>2.1793546433001563E-3</v>
      </c>
      <c r="M83" s="48">
        <f t="shared" si="39"/>
        <v>7.9654596950360194E-3</v>
      </c>
      <c r="N83" s="49">
        <f t="shared" si="40"/>
        <v>1.9100852811799029E-3</v>
      </c>
      <c r="O83" s="50">
        <f t="shared" si="41"/>
        <v>8.0254425095500192E-3</v>
      </c>
      <c r="P83" s="65">
        <f t="shared" si="42"/>
        <v>2.9007045140075416</v>
      </c>
      <c r="Q83" s="65">
        <f t="shared" si="43"/>
        <v>2.327943731435975E-2</v>
      </c>
      <c r="R83" s="45">
        <v>2.8917999999999999</v>
      </c>
      <c r="S83" s="45">
        <v>2.8917999999999999</v>
      </c>
      <c r="T83" s="57">
        <v>1389</v>
      </c>
      <c r="U83" s="67">
        <v>175598539.81</v>
      </c>
      <c r="V83" s="67">
        <v>175598539.81</v>
      </c>
    </row>
    <row r="84" spans="1:24">
      <c r="A84" s="42">
        <v>74</v>
      </c>
      <c r="B84" s="44" t="s">
        <v>145</v>
      </c>
      <c r="C84" s="44" t="s">
        <v>146</v>
      </c>
      <c r="D84" s="45">
        <v>3032838702.9699998</v>
      </c>
      <c r="E84" s="45">
        <v>56031220.020000003</v>
      </c>
      <c r="F84" s="45">
        <v>0</v>
      </c>
      <c r="G84" s="45">
        <v>6782300.8300000001</v>
      </c>
      <c r="H84" s="46">
        <f t="shared" ref="H84" si="44">(E84+F84)-G84</f>
        <v>49248919.190000005</v>
      </c>
      <c r="I84" s="45">
        <v>3508717351.9400001</v>
      </c>
      <c r="J84" s="48">
        <f t="shared" si="31"/>
        <v>1.4954614094041304E-2</v>
      </c>
      <c r="K84" s="45">
        <v>3746905914.8899999</v>
      </c>
      <c r="L84" s="48">
        <f t="shared" si="38"/>
        <v>1.6031579210887669E-2</v>
      </c>
      <c r="M84" s="48">
        <f t="shared" si="39"/>
        <v>6.7884796368195152E-2</v>
      </c>
      <c r="N84" s="49">
        <f t="shared" si="40"/>
        <v>1.8101070547428229E-3</v>
      </c>
      <c r="O84" s="50">
        <f t="shared" si="41"/>
        <v>1.314389000115735E-2</v>
      </c>
      <c r="P84" s="65">
        <f t="shared" si="42"/>
        <v>1218.9452052609524</v>
      </c>
      <c r="Q84" s="65">
        <f t="shared" si="43"/>
        <v>16.021681695388128</v>
      </c>
      <c r="R84" s="45">
        <v>1218.94</v>
      </c>
      <c r="S84" s="45">
        <v>1218.94</v>
      </c>
      <c r="T84" s="57">
        <v>329</v>
      </c>
      <c r="U84" s="45">
        <v>2932318</v>
      </c>
      <c r="V84" s="45">
        <v>3073892</v>
      </c>
    </row>
    <row r="85" spans="1:24">
      <c r="A85" s="42">
        <v>75</v>
      </c>
      <c r="B85" s="43" t="s">
        <v>331</v>
      </c>
      <c r="C85" s="44" t="s">
        <v>50</v>
      </c>
      <c r="D85" s="67">
        <v>1219454519.6800001</v>
      </c>
      <c r="E85" s="67">
        <v>15971437.949999999</v>
      </c>
      <c r="F85" s="67">
        <v>220509.8</v>
      </c>
      <c r="G85" s="67">
        <v>2526756.63</v>
      </c>
      <c r="H85" s="46">
        <f>(E85+F85)-G85</f>
        <v>13665191.120000001</v>
      </c>
      <c r="I85" s="45">
        <v>1190237754.3699999</v>
      </c>
      <c r="J85" s="48">
        <f t="shared" si="31"/>
        <v>5.0729496027715516E-3</v>
      </c>
      <c r="K85" s="67">
        <v>1213961535.8499999</v>
      </c>
      <c r="L85" s="48">
        <f t="shared" si="38"/>
        <v>5.1940777171933534E-3</v>
      </c>
      <c r="M85" s="48">
        <f t="shared" si="39"/>
        <v>1.9931968544013429E-2</v>
      </c>
      <c r="N85" s="49">
        <f t="shared" si="40"/>
        <v>2.081414077284416E-3</v>
      </c>
      <c r="O85" s="50">
        <f t="shared" si="41"/>
        <v>1.1256692009135046E-2</v>
      </c>
      <c r="P85" s="65">
        <f t="shared" si="42"/>
        <v>116.02097158409197</v>
      </c>
      <c r="Q85" s="65">
        <f t="shared" si="43"/>
        <v>1.3060123437227322</v>
      </c>
      <c r="R85" s="45">
        <v>116.02</v>
      </c>
      <c r="S85" s="45">
        <v>116.55</v>
      </c>
      <c r="T85" s="57">
        <v>3687</v>
      </c>
      <c r="U85" s="67">
        <v>10322438</v>
      </c>
      <c r="V85" s="67">
        <v>10463294</v>
      </c>
    </row>
    <row r="86" spans="1:24">
      <c r="A86" s="42">
        <v>76</v>
      </c>
      <c r="B86" s="58" t="s">
        <v>147</v>
      </c>
      <c r="C86" s="56" t="s">
        <v>78</v>
      </c>
      <c r="D86" s="45">
        <v>203094586.87</v>
      </c>
      <c r="E86" s="45">
        <v>8504073.1999999993</v>
      </c>
      <c r="F86" s="45">
        <v>0</v>
      </c>
      <c r="G86" s="45">
        <v>454340.96</v>
      </c>
      <c r="H86" s="46">
        <f t="shared" si="30"/>
        <v>8049732.2399999993</v>
      </c>
      <c r="I86" s="45">
        <v>198485938.63999999</v>
      </c>
      <c r="J86" s="48">
        <f t="shared" si="31"/>
        <v>8.4597313426046513E-4</v>
      </c>
      <c r="K86" s="45">
        <v>198928003.71000001</v>
      </c>
      <c r="L86" s="48">
        <f t="shared" si="38"/>
        <v>8.5113694370258727E-4</v>
      </c>
      <c r="M86" s="48">
        <f t="shared" si="39"/>
        <v>2.227185830034084E-3</v>
      </c>
      <c r="N86" s="49">
        <f t="shared" si="40"/>
        <v>2.2839467120091576E-3</v>
      </c>
      <c r="O86" s="50">
        <f t="shared" si="41"/>
        <v>4.0465555828605261E-2</v>
      </c>
      <c r="P86" s="65">
        <f t="shared" si="42"/>
        <v>12.129979286113159</v>
      </c>
      <c r="Q86" s="65">
        <f t="shared" si="43"/>
        <v>0.49084635400203736</v>
      </c>
      <c r="R86" s="45">
        <v>12.13</v>
      </c>
      <c r="S86" s="45">
        <v>12.13</v>
      </c>
      <c r="T86" s="57">
        <v>47</v>
      </c>
      <c r="U86" s="45">
        <v>16483473.34</v>
      </c>
      <c r="V86" s="45">
        <v>16399698.550000001</v>
      </c>
    </row>
    <row r="87" spans="1:24">
      <c r="A87" s="42">
        <v>77</v>
      </c>
      <c r="B87" s="52" t="s">
        <v>148</v>
      </c>
      <c r="C87" s="44" t="s">
        <v>80</v>
      </c>
      <c r="D87" s="45">
        <v>2188189967.3200002</v>
      </c>
      <c r="E87" s="45">
        <v>26735744.640000001</v>
      </c>
      <c r="F87" s="45">
        <v>0</v>
      </c>
      <c r="G87" s="45">
        <v>4527760.5</v>
      </c>
      <c r="H87" s="46">
        <f t="shared" si="30"/>
        <v>22207984.140000001</v>
      </c>
      <c r="I87" s="45">
        <v>2110677764.55</v>
      </c>
      <c r="J87" s="48">
        <f t="shared" si="31"/>
        <v>8.9959857918640307E-3</v>
      </c>
      <c r="K87" s="45">
        <v>2157063238.9000001</v>
      </c>
      <c r="L87" s="48">
        <f t="shared" si="38"/>
        <v>9.2292496696796521E-3</v>
      </c>
      <c r="M87" s="48">
        <f t="shared" si="39"/>
        <v>2.1976577916852032E-2</v>
      </c>
      <c r="N87" s="49">
        <f t="shared" si="40"/>
        <v>2.0990392948836045E-3</v>
      </c>
      <c r="O87" s="50">
        <f t="shared" si="41"/>
        <v>1.029547198223313E-2</v>
      </c>
      <c r="P87" s="65">
        <f t="shared" si="42"/>
        <v>5007.5639133997738</v>
      </c>
      <c r="Q87" s="65">
        <f t="shared" si="43"/>
        <v>51.555233969649066</v>
      </c>
      <c r="R87" s="45">
        <v>5007.5600000000004</v>
      </c>
      <c r="S87" s="45">
        <v>5007.5600000000004</v>
      </c>
      <c r="T87" s="57">
        <v>1231</v>
      </c>
      <c r="U87" s="45">
        <v>425908.55</v>
      </c>
      <c r="V87" s="45">
        <v>430761</v>
      </c>
    </row>
    <row r="88" spans="1:24">
      <c r="A88" s="42">
        <v>78</v>
      </c>
      <c r="B88" s="43" t="s">
        <v>149</v>
      </c>
      <c r="C88" s="44" t="s">
        <v>82</v>
      </c>
      <c r="D88" s="45">
        <v>339333482.88999999</v>
      </c>
      <c r="E88" s="45">
        <v>4618496.99</v>
      </c>
      <c r="F88" s="45">
        <v>0</v>
      </c>
      <c r="G88" s="45">
        <v>7727763.1500000004</v>
      </c>
      <c r="H88" s="46">
        <f t="shared" si="30"/>
        <v>-3109266.16</v>
      </c>
      <c r="I88" s="45">
        <v>369395496.38999999</v>
      </c>
      <c r="J88" s="48">
        <f t="shared" si="31"/>
        <v>1.5744121120314573E-3</v>
      </c>
      <c r="K88" s="45">
        <v>356581877.92000002</v>
      </c>
      <c r="L88" s="48">
        <f t="shared" si="38"/>
        <v>1.5256776526798329E-3</v>
      </c>
      <c r="M88" s="48">
        <f t="shared" si="39"/>
        <v>-3.4688074422194959E-2</v>
      </c>
      <c r="N88" s="49">
        <f t="shared" si="40"/>
        <v>2.1671777587457045E-2</v>
      </c>
      <c r="O88" s="50">
        <f t="shared" si="41"/>
        <v>-8.7196415536786517E-3</v>
      </c>
      <c r="P88" s="65">
        <f t="shared" si="42"/>
        <v>113.03818003719101</v>
      </c>
      <c r="Q88" s="65">
        <f t="shared" si="43"/>
        <v>-0.98565241180449936</v>
      </c>
      <c r="R88" s="45">
        <v>113.18</v>
      </c>
      <c r="S88" s="45">
        <v>113.18</v>
      </c>
      <c r="T88" s="57">
        <v>97</v>
      </c>
      <c r="U88" s="45">
        <v>3216976</v>
      </c>
      <c r="V88" s="45">
        <v>3154526</v>
      </c>
      <c r="W88" s="38"/>
      <c r="X88" s="38"/>
    </row>
    <row r="89" spans="1:24">
      <c r="A89" s="42">
        <v>79</v>
      </c>
      <c r="B89" s="52" t="s">
        <v>150</v>
      </c>
      <c r="C89" s="52" t="s">
        <v>84</v>
      </c>
      <c r="D89" s="45">
        <v>1084823390.1800001</v>
      </c>
      <c r="E89" s="45">
        <v>16059198.689999999</v>
      </c>
      <c r="F89" s="45">
        <v>3560491</v>
      </c>
      <c r="G89" s="45">
        <v>2003512.43</v>
      </c>
      <c r="H89" s="46">
        <f t="shared" si="30"/>
        <v>17616177.259999998</v>
      </c>
      <c r="I89" s="45">
        <v>1128818358.8199999</v>
      </c>
      <c r="J89" s="48">
        <f t="shared" si="31"/>
        <v>4.8111720737746147E-3</v>
      </c>
      <c r="K89" s="45">
        <v>1087253241.3699999</v>
      </c>
      <c r="L89" s="48">
        <f t="shared" si="38"/>
        <v>4.6519413236532359E-3</v>
      </c>
      <c r="M89" s="48">
        <f t="shared" si="39"/>
        <v>-3.6821794334962597E-2</v>
      </c>
      <c r="N89" s="49">
        <f t="shared" si="40"/>
        <v>1.8427284038035723E-3</v>
      </c>
      <c r="O89" s="50">
        <f t="shared" si="41"/>
        <v>1.620246009825883E-2</v>
      </c>
      <c r="P89" s="65">
        <f t="shared" si="42"/>
        <v>1.5748889972830706</v>
      </c>
      <c r="Q89" s="65">
        <f t="shared" si="43"/>
        <v>2.5517076137665805E-2</v>
      </c>
      <c r="R89" s="45">
        <v>1.5749</v>
      </c>
      <c r="S89" s="45">
        <v>1.5749</v>
      </c>
      <c r="T89" s="57">
        <v>2920</v>
      </c>
      <c r="U89" s="45">
        <v>723662896.79999995</v>
      </c>
      <c r="V89" s="45">
        <v>690368174.03999996</v>
      </c>
    </row>
    <row r="90" spans="1:24">
      <c r="A90" s="42">
        <v>80</v>
      </c>
      <c r="B90" s="58" t="s">
        <v>151</v>
      </c>
      <c r="C90" s="56" t="s">
        <v>84</v>
      </c>
      <c r="D90" s="74">
        <v>173368272.30000001</v>
      </c>
      <c r="E90" s="45">
        <v>2493840.4</v>
      </c>
      <c r="F90" s="45">
        <v>558642</v>
      </c>
      <c r="G90" s="45">
        <v>285002.02</v>
      </c>
      <c r="H90" s="46">
        <f t="shared" si="30"/>
        <v>2767480.38</v>
      </c>
      <c r="I90" s="45">
        <v>172317680.30000001</v>
      </c>
      <c r="J90" s="48">
        <f t="shared" si="31"/>
        <v>7.3444058098383704E-4</v>
      </c>
      <c r="K90" s="45">
        <v>174835506.88</v>
      </c>
      <c r="L90" s="48">
        <f t="shared" si="38"/>
        <v>7.4805435233478554E-4</v>
      </c>
      <c r="M90" s="48">
        <f t="shared" si="39"/>
        <v>1.46115394288997E-2</v>
      </c>
      <c r="N90" s="49">
        <f t="shared" si="40"/>
        <v>1.630115215644462E-3</v>
      </c>
      <c r="O90" s="50">
        <f t="shared" si="41"/>
        <v>1.5829052286841748E-2</v>
      </c>
      <c r="P90" s="65">
        <f t="shared" si="42"/>
        <v>1.0561307769016981</v>
      </c>
      <c r="Q90" s="65">
        <f t="shared" si="43"/>
        <v>1.6717549289319775E-2</v>
      </c>
      <c r="R90" s="57">
        <v>1.0561</v>
      </c>
      <c r="S90" s="66">
        <v>1.0561</v>
      </c>
      <c r="T90" s="57">
        <v>100</v>
      </c>
      <c r="U90" s="45">
        <v>164718634.28999999</v>
      </c>
      <c r="V90" s="45">
        <v>165543425.78</v>
      </c>
    </row>
    <row r="91" spans="1:24">
      <c r="A91" s="42">
        <v>81</v>
      </c>
      <c r="B91" s="43" t="s">
        <v>152</v>
      </c>
      <c r="C91" s="44" t="s">
        <v>34</v>
      </c>
      <c r="D91" s="45">
        <v>232669294.25999999</v>
      </c>
      <c r="E91" s="45">
        <v>3506787.96</v>
      </c>
      <c r="F91" s="45">
        <v>0</v>
      </c>
      <c r="G91" s="45">
        <v>406582.8</v>
      </c>
      <c r="H91" s="46">
        <f t="shared" si="30"/>
        <v>3100205.16</v>
      </c>
      <c r="I91" s="45">
        <v>242761363.34</v>
      </c>
      <c r="J91" s="48">
        <f t="shared" si="31"/>
        <v>1.0346808082690861E-3</v>
      </c>
      <c r="K91" s="45">
        <v>251310901.22999999</v>
      </c>
      <c r="L91" s="48">
        <f t="shared" si="38"/>
        <v>1.0752633535893285E-3</v>
      </c>
      <c r="M91" s="48">
        <f t="shared" si="39"/>
        <v>3.5217868990239237E-2</v>
      </c>
      <c r="N91" s="49">
        <f t="shared" si="40"/>
        <v>1.6178478450797286E-3</v>
      </c>
      <c r="O91" s="50">
        <f t="shared" si="41"/>
        <v>1.2336134822749648E-2</v>
      </c>
      <c r="P91" s="65">
        <f t="shared" si="42"/>
        <v>150.95057329177553</v>
      </c>
      <c r="Q91" s="65">
        <f t="shared" si="43"/>
        <v>1.862146623698695</v>
      </c>
      <c r="R91" s="45">
        <v>150.94999999999999</v>
      </c>
      <c r="S91" s="45">
        <v>150.94999999999999</v>
      </c>
      <c r="T91" s="57">
        <v>418</v>
      </c>
      <c r="U91" s="45">
        <v>1631459.08</v>
      </c>
      <c r="V91" s="45">
        <v>1664855.56</v>
      </c>
    </row>
    <row r="92" spans="1:24">
      <c r="A92" s="42">
        <v>82</v>
      </c>
      <c r="B92" s="44" t="s">
        <v>153</v>
      </c>
      <c r="C92" s="44" t="s">
        <v>86</v>
      </c>
      <c r="D92" s="45">
        <v>2774455448.3499999</v>
      </c>
      <c r="E92" s="45">
        <v>45350332.189999998</v>
      </c>
      <c r="F92" s="45">
        <v>0</v>
      </c>
      <c r="G92" s="45">
        <v>4503441.32</v>
      </c>
      <c r="H92" s="46">
        <f t="shared" si="30"/>
        <v>40846890.869999997</v>
      </c>
      <c r="I92" s="45">
        <v>2685212421.4899998</v>
      </c>
      <c r="J92" s="48">
        <f t="shared" si="31"/>
        <v>1.1444727943590657E-2</v>
      </c>
      <c r="K92" s="45">
        <v>2756295882.7600002</v>
      </c>
      <c r="L92" s="48">
        <f t="shared" si="38"/>
        <v>1.1793137264939236E-2</v>
      </c>
      <c r="M92" s="48">
        <f t="shared" si="39"/>
        <v>2.6472192926381928E-2</v>
      </c>
      <c r="N92" s="49">
        <f t="shared" si="40"/>
        <v>1.6338744139074454E-3</v>
      </c>
      <c r="O92" s="50">
        <f t="shared" si="41"/>
        <v>1.4819486951850107E-2</v>
      </c>
      <c r="P92" s="65">
        <f t="shared" si="42"/>
        <v>1367.6768840646814</v>
      </c>
      <c r="Q92" s="65">
        <f t="shared" si="43"/>
        <v>20.268269737743559</v>
      </c>
      <c r="R92" s="45">
        <v>1367.68</v>
      </c>
      <c r="S92" s="45">
        <v>1367.68</v>
      </c>
      <c r="T92" s="57">
        <v>322</v>
      </c>
      <c r="U92" s="45">
        <v>1975045.36</v>
      </c>
      <c r="V92" s="45">
        <v>2015312.18</v>
      </c>
    </row>
    <row r="93" spans="1:24">
      <c r="A93" s="42">
        <v>83</v>
      </c>
      <c r="B93" s="44" t="s">
        <v>154</v>
      </c>
      <c r="C93" s="44" t="s">
        <v>88</v>
      </c>
      <c r="D93" s="45">
        <v>159747281.13</v>
      </c>
      <c r="E93" s="45">
        <v>1732953.71</v>
      </c>
      <c r="F93" s="45">
        <v>0</v>
      </c>
      <c r="G93" s="45">
        <v>547386.79</v>
      </c>
      <c r="H93" s="46">
        <f t="shared" si="30"/>
        <v>1185566.92</v>
      </c>
      <c r="I93" s="45">
        <v>178303713.47999999</v>
      </c>
      <c r="J93" s="48">
        <f t="shared" si="31"/>
        <v>7.5995384044075253E-4</v>
      </c>
      <c r="K93" s="45">
        <v>178954160.59999999</v>
      </c>
      <c r="L93" s="48">
        <f t="shared" si="38"/>
        <v>7.6567649840789706E-4</v>
      </c>
      <c r="M93" s="48">
        <f t="shared" si="39"/>
        <v>3.6479729294755505E-3</v>
      </c>
      <c r="N93" s="49">
        <f t="shared" si="40"/>
        <v>3.0588100783167822E-3</v>
      </c>
      <c r="O93" s="50">
        <f t="shared" si="41"/>
        <v>6.624975446365788E-3</v>
      </c>
      <c r="P93" s="65">
        <f t="shared" si="42"/>
        <v>1223.208365060595</v>
      </c>
      <c r="Q93" s="65">
        <f t="shared" si="43"/>
        <v>8.1037253843156822</v>
      </c>
      <c r="R93" s="45">
        <v>1051.42</v>
      </c>
      <c r="S93" s="45">
        <v>1061.33</v>
      </c>
      <c r="T93" s="57">
        <v>286</v>
      </c>
      <c r="U93" s="45">
        <v>146181</v>
      </c>
      <c r="V93" s="45">
        <v>146299</v>
      </c>
    </row>
    <row r="94" spans="1:24">
      <c r="A94" s="42">
        <v>84</v>
      </c>
      <c r="B94" s="44" t="s">
        <v>155</v>
      </c>
      <c r="C94" s="52" t="s">
        <v>91</v>
      </c>
      <c r="D94" s="45">
        <v>743256174.32000005</v>
      </c>
      <c r="E94" s="45">
        <v>8264075.04</v>
      </c>
      <c r="F94" s="45">
        <v>0</v>
      </c>
      <c r="G94" s="45">
        <v>1730311</v>
      </c>
      <c r="H94" s="46">
        <f t="shared" si="30"/>
        <v>6533764.04</v>
      </c>
      <c r="I94" s="45">
        <v>766313549</v>
      </c>
      <c r="J94" s="48">
        <f t="shared" si="31"/>
        <v>3.2661289727409708E-3</v>
      </c>
      <c r="K94" s="45">
        <v>765454278</v>
      </c>
      <c r="L94" s="48">
        <f t="shared" si="38"/>
        <v>3.2750864763654176E-3</v>
      </c>
      <c r="M94" s="48">
        <f t="shared" si="39"/>
        <v>-1.1213047206607592E-3</v>
      </c>
      <c r="N94" s="49">
        <f t="shared" si="40"/>
        <v>2.2605020962466944E-3</v>
      </c>
      <c r="O94" s="50">
        <f t="shared" si="41"/>
        <v>8.5357992342424398E-3</v>
      </c>
      <c r="P94" s="65">
        <f t="shared" si="42"/>
        <v>1.2552647550447213</v>
      </c>
      <c r="Q94" s="65">
        <f t="shared" si="43"/>
        <v>1.0714687934882257E-2</v>
      </c>
      <c r="R94" s="45">
        <v>1.2545999999999999</v>
      </c>
      <c r="S94" s="45">
        <v>1.2545999999999999</v>
      </c>
      <c r="T94" s="57">
        <v>90</v>
      </c>
      <c r="U94" s="45">
        <v>614331605</v>
      </c>
      <c r="V94" s="45">
        <v>609795085</v>
      </c>
    </row>
    <row r="95" spans="1:24">
      <c r="A95" s="42">
        <v>85</v>
      </c>
      <c r="B95" s="44" t="s">
        <v>329</v>
      </c>
      <c r="C95" s="44" t="s">
        <v>308</v>
      </c>
      <c r="D95" s="45">
        <v>1176664681.3499999</v>
      </c>
      <c r="E95" s="45">
        <v>18545106.629999999</v>
      </c>
      <c r="F95" s="45">
        <v>0</v>
      </c>
      <c r="G95" s="45">
        <v>1745930.75</v>
      </c>
      <c r="H95" s="46">
        <f>(E95+F95)-G95</f>
        <v>16799175.879999999</v>
      </c>
      <c r="I95" s="45">
        <v>1151877906.0599999</v>
      </c>
      <c r="J95" s="48">
        <f t="shared" si="31"/>
        <v>4.9094548921289763E-3</v>
      </c>
      <c r="K95" s="45">
        <v>1166717737.3099999</v>
      </c>
      <c r="L95" s="48">
        <f t="shared" si="38"/>
        <v>4.9919395488696198E-3</v>
      </c>
      <c r="M95" s="48">
        <f t="shared" si="39"/>
        <v>1.2883163373416601E-2</v>
      </c>
      <c r="N95" s="49">
        <f t="shared" si="40"/>
        <v>1.4964465647239076E-3</v>
      </c>
      <c r="O95" s="50">
        <f t="shared" si="41"/>
        <v>1.4398663312287001E-2</v>
      </c>
      <c r="P95" s="65">
        <f t="shared" si="42"/>
        <v>3.8637398823679141</v>
      </c>
      <c r="Q95" s="65">
        <f t="shared" si="43"/>
        <v>5.5632689692470982E-2</v>
      </c>
      <c r="R95" s="45">
        <v>3.86</v>
      </c>
      <c r="S95" s="45">
        <v>3.89</v>
      </c>
      <c r="T95" s="57">
        <v>810</v>
      </c>
      <c r="U95" s="45">
        <v>302162169</v>
      </c>
      <c r="V95" s="45">
        <v>301965912</v>
      </c>
    </row>
    <row r="96" spans="1:24">
      <c r="A96" s="42">
        <v>86</v>
      </c>
      <c r="B96" s="44" t="s">
        <v>327</v>
      </c>
      <c r="C96" s="159" t="s">
        <v>328</v>
      </c>
      <c r="D96" s="45">
        <v>12081108452.049999</v>
      </c>
      <c r="E96" s="45">
        <v>134779611.37</v>
      </c>
      <c r="F96" s="45">
        <v>0</v>
      </c>
      <c r="G96" s="45">
        <v>14029377.9</v>
      </c>
      <c r="H96" s="46">
        <f t="shared" si="30"/>
        <v>120750233.47</v>
      </c>
      <c r="I96" s="45">
        <v>11477109664.450001</v>
      </c>
      <c r="J96" s="48">
        <f t="shared" si="31"/>
        <v>4.8916948483166585E-2</v>
      </c>
      <c r="K96" s="45">
        <v>11651345122.98</v>
      </c>
      <c r="L96" s="48">
        <f t="shared" si="38"/>
        <v>4.9851655337848876E-2</v>
      </c>
      <c r="M96" s="48">
        <f t="shared" si="39"/>
        <v>1.5181126923417646E-2</v>
      </c>
      <c r="N96" s="49">
        <f t="shared" si="40"/>
        <v>1.2040994195880266E-3</v>
      </c>
      <c r="O96" s="50">
        <f t="shared" si="41"/>
        <v>1.0363630310104177E-2</v>
      </c>
      <c r="P96" s="65">
        <f t="shared" si="42"/>
        <v>1732.3208115742223</v>
      </c>
      <c r="Q96" s="65">
        <f t="shared" si="43"/>
        <v>17.953132469654875</v>
      </c>
      <c r="R96" s="45">
        <v>1732.32</v>
      </c>
      <c r="S96" s="45">
        <v>1732.32</v>
      </c>
      <c r="T96" s="57">
        <v>4163</v>
      </c>
      <c r="U96" s="45">
        <v>6670384.04</v>
      </c>
      <c r="V96" s="45">
        <v>6725858.7699999996</v>
      </c>
    </row>
    <row r="97" spans="1:22" ht="14.7" customHeight="1">
      <c r="A97" s="42">
        <v>87</v>
      </c>
      <c r="B97" s="44" t="s">
        <v>156</v>
      </c>
      <c r="C97" s="44" t="s">
        <v>101</v>
      </c>
      <c r="D97" s="45">
        <v>23719882.420000002</v>
      </c>
      <c r="E97" s="45">
        <v>305595.13</v>
      </c>
      <c r="F97" s="45">
        <v>0</v>
      </c>
      <c r="G97" s="45">
        <v>253208.35</v>
      </c>
      <c r="H97" s="46">
        <f t="shared" si="30"/>
        <v>52386.78</v>
      </c>
      <c r="I97" s="45">
        <v>23846602.050000001</v>
      </c>
      <c r="J97" s="48">
        <f t="shared" si="31"/>
        <v>1.016373493050809E-4</v>
      </c>
      <c r="K97" s="45">
        <v>23813749.48</v>
      </c>
      <c r="L97" s="48">
        <f t="shared" si="38"/>
        <v>1.0188993792977664E-4</v>
      </c>
      <c r="M97" s="48">
        <f t="shared" si="39"/>
        <v>-1.3776625252988736E-3</v>
      </c>
      <c r="N97" s="49">
        <f t="shared" si="40"/>
        <v>1.063286359893293E-2</v>
      </c>
      <c r="O97" s="50">
        <f t="shared" si="41"/>
        <v>2.1998543339005511E-3</v>
      </c>
      <c r="P97" s="65">
        <f t="shared" si="42"/>
        <v>0.72755129074329294</v>
      </c>
      <c r="Q97" s="65">
        <f t="shared" si="43"/>
        <v>1.6005068600765729E-3</v>
      </c>
      <c r="R97" s="45">
        <v>0.72750000000000004</v>
      </c>
      <c r="S97" s="45">
        <v>0.72750000000000004</v>
      </c>
      <c r="T97" s="57">
        <v>425</v>
      </c>
      <c r="U97" s="45">
        <v>32731368.609999999</v>
      </c>
      <c r="V97" s="45">
        <v>32731368.609999999</v>
      </c>
    </row>
    <row r="98" spans="1:22" ht="14.7" customHeight="1">
      <c r="A98" s="42">
        <v>88</v>
      </c>
      <c r="B98" s="44" t="s">
        <v>157</v>
      </c>
      <c r="C98" s="52" t="s">
        <v>42</v>
      </c>
      <c r="D98" s="45">
        <v>14669624475.889999</v>
      </c>
      <c r="E98" s="45">
        <v>137480619.59</v>
      </c>
      <c r="F98" s="45">
        <v>0</v>
      </c>
      <c r="G98" s="45">
        <v>3537611.28</v>
      </c>
      <c r="H98" s="46">
        <f t="shared" si="30"/>
        <v>133943008.31</v>
      </c>
      <c r="I98" s="45">
        <v>11006233708.219999</v>
      </c>
      <c r="J98" s="48">
        <f t="shared" si="31"/>
        <v>4.6910013325597133E-2</v>
      </c>
      <c r="K98" s="45">
        <v>11185475620.58</v>
      </c>
      <c r="L98" s="48">
        <f t="shared" si="38"/>
        <v>4.7858377684416878E-2</v>
      </c>
      <c r="M98" s="48">
        <f t="shared" si="39"/>
        <v>1.6285490305928529E-2</v>
      </c>
      <c r="N98" s="49">
        <f t="shared" si="40"/>
        <v>3.1626829291829116E-4</v>
      </c>
      <c r="O98" s="50">
        <f t="shared" si="41"/>
        <v>1.1974726230108637E-2</v>
      </c>
      <c r="P98" s="65">
        <f t="shared" si="42"/>
        <v>1</v>
      </c>
      <c r="Q98" s="65">
        <f t="shared" si="43"/>
        <v>1.1974726230108637E-2</v>
      </c>
      <c r="R98" s="45">
        <v>1</v>
      </c>
      <c r="S98" s="45">
        <v>1</v>
      </c>
      <c r="T98" s="57">
        <v>6220</v>
      </c>
      <c r="U98" s="45">
        <v>11006233708.219999</v>
      </c>
      <c r="V98" s="45">
        <v>11185475620.58</v>
      </c>
    </row>
    <row r="99" spans="1:22">
      <c r="A99" s="42">
        <v>89</v>
      </c>
      <c r="B99" s="75" t="s">
        <v>158</v>
      </c>
      <c r="C99" s="52" t="s">
        <v>159</v>
      </c>
      <c r="D99" s="45">
        <v>1948806896.8800001</v>
      </c>
      <c r="E99" s="45">
        <v>29534236.010000002</v>
      </c>
      <c r="F99" s="45">
        <v>0</v>
      </c>
      <c r="G99" s="45">
        <v>3120391.08</v>
      </c>
      <c r="H99" s="46">
        <f t="shared" si="30"/>
        <v>26413844.93</v>
      </c>
      <c r="I99" s="45">
        <v>1899165264.5599999</v>
      </c>
      <c r="J99" s="48">
        <f t="shared" si="31"/>
        <v>8.0944917425734911E-3</v>
      </c>
      <c r="K99" s="45">
        <v>1925048112.3299999</v>
      </c>
      <c r="L99" s="48">
        <f t="shared" si="38"/>
        <v>8.2365455654880518E-3</v>
      </c>
      <c r="M99" s="48">
        <f t="shared" si="39"/>
        <v>1.3628538944448597E-2</v>
      </c>
      <c r="N99" s="49">
        <f t="shared" si="40"/>
        <v>1.6209418663428654E-3</v>
      </c>
      <c r="O99" s="50">
        <f t="shared" si="41"/>
        <v>1.372113494765061E-2</v>
      </c>
      <c r="P99" s="65">
        <f t="shared" si="42"/>
        <v>286.61408226197739</v>
      </c>
      <c r="Q99" s="65">
        <f t="shared" si="43"/>
        <v>3.9326705006136251</v>
      </c>
      <c r="R99" s="45">
        <v>286.55</v>
      </c>
      <c r="S99" s="45">
        <v>286.55</v>
      </c>
      <c r="T99" s="57">
        <v>579</v>
      </c>
      <c r="U99" s="45">
        <v>6711335.4699999997</v>
      </c>
      <c r="V99" s="45">
        <v>6716516.1500000004</v>
      </c>
    </row>
    <row r="100" spans="1:22">
      <c r="A100" s="42">
        <v>90</v>
      </c>
      <c r="B100" s="55" t="s">
        <v>160</v>
      </c>
      <c r="C100" s="56" t="s">
        <v>46</v>
      </c>
      <c r="D100" s="45">
        <v>8846042.0399999991</v>
      </c>
      <c r="E100" s="45">
        <v>10296661.92</v>
      </c>
      <c r="F100" s="45">
        <v>0</v>
      </c>
      <c r="G100" s="45">
        <v>1415149.93</v>
      </c>
      <c r="H100" s="46">
        <f t="shared" si="30"/>
        <v>8881511.9900000002</v>
      </c>
      <c r="I100" s="45">
        <v>776628836.51999998</v>
      </c>
      <c r="J100" s="48">
        <f t="shared" si="31"/>
        <v>3.3100940826821827E-3</v>
      </c>
      <c r="K100" s="45">
        <v>786607990.51999998</v>
      </c>
      <c r="L100" s="48">
        <f t="shared" si="38"/>
        <v>3.3655951321928967E-3</v>
      </c>
      <c r="M100" s="48">
        <f t="shared" si="39"/>
        <v>1.2849322006527135E-2</v>
      </c>
      <c r="N100" s="49">
        <f t="shared" si="40"/>
        <v>1.7990535909309694E-3</v>
      </c>
      <c r="O100" s="50">
        <f t="shared" si="41"/>
        <v>1.1290899783675897E-2</v>
      </c>
      <c r="P100" s="65">
        <f t="shared" si="42"/>
        <v>114.36076131683174</v>
      </c>
      <c r="Q100" s="65">
        <f t="shared" si="43"/>
        <v>1.2912358952132263</v>
      </c>
      <c r="R100" s="45">
        <v>114.96</v>
      </c>
      <c r="S100" s="45">
        <v>114.96</v>
      </c>
      <c r="T100" s="57">
        <v>419</v>
      </c>
      <c r="U100" s="45">
        <v>6848563.8399999999</v>
      </c>
      <c r="V100" s="45">
        <v>6878303.2000000002</v>
      </c>
    </row>
    <row r="101" spans="1:22">
      <c r="A101" s="42">
        <v>91</v>
      </c>
      <c r="B101" s="43" t="s">
        <v>161</v>
      </c>
      <c r="C101" s="44" t="s">
        <v>24</v>
      </c>
      <c r="D101" s="45">
        <v>1790631305.48</v>
      </c>
      <c r="E101" s="45">
        <v>22240250.350000001</v>
      </c>
      <c r="F101" s="45">
        <v>72756984.890000001</v>
      </c>
      <c r="G101" s="45">
        <v>2513597.31</v>
      </c>
      <c r="H101" s="46">
        <f t="shared" si="30"/>
        <v>92483637.930000007</v>
      </c>
      <c r="I101" s="45">
        <v>1722297280.8099999</v>
      </c>
      <c r="J101" s="48">
        <f t="shared" si="31"/>
        <v>7.3406571707719248E-3</v>
      </c>
      <c r="K101" s="45">
        <v>1756659617.01</v>
      </c>
      <c r="L101" s="48">
        <f t="shared" si="38"/>
        <v>7.5160755130650727E-3</v>
      </c>
      <c r="M101" s="48">
        <f t="shared" si="39"/>
        <v>1.9951454712765597E-2</v>
      </c>
      <c r="N101" s="49">
        <f t="shared" si="40"/>
        <v>1.4308960516086658E-3</v>
      </c>
      <c r="O101" s="50">
        <f t="shared" si="41"/>
        <v>5.264744349700249E-2</v>
      </c>
      <c r="P101" s="65">
        <f t="shared" si="42"/>
        <v>406.1865229679654</v>
      </c>
      <c r="Q101" s="65">
        <f t="shared" si="43"/>
        <v>21.384682017199861</v>
      </c>
      <c r="R101" s="45">
        <v>406.19</v>
      </c>
      <c r="S101" s="45">
        <v>406.19</v>
      </c>
      <c r="T101" s="57">
        <v>97</v>
      </c>
      <c r="U101" s="45">
        <v>4255951.1900000004</v>
      </c>
      <c r="V101" s="45">
        <v>4324760.96</v>
      </c>
    </row>
    <row r="102" spans="1:22">
      <c r="A102" s="42">
        <v>92</v>
      </c>
      <c r="B102" s="58" t="s">
        <v>162</v>
      </c>
      <c r="C102" s="56" t="s">
        <v>163</v>
      </c>
      <c r="D102" s="45">
        <v>5531667625.9799995</v>
      </c>
      <c r="E102" s="45">
        <v>103217813.53</v>
      </c>
      <c r="F102" s="45">
        <v>26968372</v>
      </c>
      <c r="G102" s="45">
        <v>10886535.630000001</v>
      </c>
      <c r="H102" s="46">
        <f t="shared" si="30"/>
        <v>119299649.90000001</v>
      </c>
      <c r="I102" s="45">
        <v>5745395499.6199999</v>
      </c>
      <c r="J102" s="48">
        <f t="shared" si="31"/>
        <v>2.4487630064289084E-2</v>
      </c>
      <c r="K102" s="45">
        <v>5702473686.8100004</v>
      </c>
      <c r="L102" s="48">
        <f t="shared" si="38"/>
        <v>2.4398706742221742E-2</v>
      </c>
      <c r="M102" s="48">
        <f t="shared" si="39"/>
        <v>-7.4706454608456999E-3</v>
      </c>
      <c r="N102" s="49">
        <f t="shared" si="40"/>
        <v>1.9090900244188584E-3</v>
      </c>
      <c r="O102" s="50">
        <f t="shared" si="41"/>
        <v>2.0920683978944754E-2</v>
      </c>
      <c r="P102" s="65">
        <f t="shared" si="42"/>
        <v>105.28738783121068</v>
      </c>
      <c r="Q102" s="65">
        <f t="shared" si="43"/>
        <v>2.2026841677853524</v>
      </c>
      <c r="R102" s="45">
        <v>105.29</v>
      </c>
      <c r="S102" s="45">
        <v>105.29</v>
      </c>
      <c r="T102" s="57">
        <v>503</v>
      </c>
      <c r="U102" s="45">
        <v>55199056</v>
      </c>
      <c r="V102" s="45">
        <v>54161033</v>
      </c>
    </row>
    <row r="103" spans="1:22">
      <c r="A103" s="42">
        <v>93</v>
      </c>
      <c r="B103" s="52" t="s">
        <v>164</v>
      </c>
      <c r="C103" s="52" t="s">
        <v>48</v>
      </c>
      <c r="D103" s="67">
        <v>49463826.920000002</v>
      </c>
      <c r="E103" s="67">
        <v>2737583.91</v>
      </c>
      <c r="F103" s="45">
        <v>0</v>
      </c>
      <c r="G103" s="67">
        <v>164325.51</v>
      </c>
      <c r="H103" s="46">
        <f t="shared" si="30"/>
        <v>2573258.4000000004</v>
      </c>
      <c r="I103" s="45">
        <v>70146268.560000002</v>
      </c>
      <c r="J103" s="48">
        <f t="shared" si="31"/>
        <v>2.9897260771711225E-4</v>
      </c>
      <c r="K103" s="67">
        <v>50329153.159999996</v>
      </c>
      <c r="L103" s="48">
        <f t="shared" si="38"/>
        <v>2.1533922223534793E-4</v>
      </c>
      <c r="M103" s="48">
        <f t="shared" si="39"/>
        <v>-0.28251132678638957</v>
      </c>
      <c r="N103" s="49">
        <f t="shared" si="40"/>
        <v>3.2650163907506531E-3</v>
      </c>
      <c r="O103" s="50">
        <f t="shared" si="41"/>
        <v>5.112858529169817E-2</v>
      </c>
      <c r="P103" s="65">
        <f t="shared" si="42"/>
        <v>10.447250035757472</v>
      </c>
      <c r="Q103" s="65">
        <f t="shared" si="43"/>
        <v>0.53415311451692271</v>
      </c>
      <c r="R103" s="45">
        <v>13.07</v>
      </c>
      <c r="S103" s="45">
        <v>13.39</v>
      </c>
      <c r="T103" s="57">
        <v>54</v>
      </c>
      <c r="U103" s="67">
        <v>4817454.6399999997</v>
      </c>
      <c r="V103" s="67">
        <v>4817454.6399999997</v>
      </c>
    </row>
    <row r="104" spans="1:22">
      <c r="A104" s="42">
        <v>94</v>
      </c>
      <c r="B104" s="58" t="s">
        <v>165</v>
      </c>
      <c r="C104" s="56" t="s">
        <v>166</v>
      </c>
      <c r="D104" s="67">
        <v>1118482997.8299999</v>
      </c>
      <c r="E104" s="67">
        <v>16919818.050000001</v>
      </c>
      <c r="F104" s="45">
        <v>0</v>
      </c>
      <c r="G104" s="67">
        <v>1595434.14</v>
      </c>
      <c r="H104" s="46">
        <f t="shared" si="30"/>
        <v>15324383.91</v>
      </c>
      <c r="I104" s="45">
        <v>1053042730.5700001</v>
      </c>
      <c r="J104" s="48">
        <f t="shared" si="31"/>
        <v>4.4882063958508207E-3</v>
      </c>
      <c r="K104" s="67">
        <v>1117341102.8399999</v>
      </c>
      <c r="L104" s="48">
        <f t="shared" si="38"/>
        <v>4.7806757902769271E-3</v>
      </c>
      <c r="M104" s="48">
        <f t="shared" si="39"/>
        <v>6.1059604138946844E-2</v>
      </c>
      <c r="N104" s="49">
        <f t="shared" si="40"/>
        <v>1.4278845877456828E-3</v>
      </c>
      <c r="O104" s="50">
        <f t="shared" si="41"/>
        <v>1.3715045361751459E-2</v>
      </c>
      <c r="P104" s="65">
        <f t="shared" si="42"/>
        <v>171.30315219581365</v>
      </c>
      <c r="Q104" s="65">
        <f t="shared" si="43"/>
        <v>2.3494305029765981</v>
      </c>
      <c r="R104" s="45">
        <v>166.67</v>
      </c>
      <c r="S104" s="45">
        <v>166.67</v>
      </c>
      <c r="T104" s="57">
        <v>191</v>
      </c>
      <c r="U104" s="67">
        <v>6404411.6900000004</v>
      </c>
      <c r="V104" s="67">
        <v>6522595.1100000003</v>
      </c>
    </row>
    <row r="105" spans="1:22">
      <c r="A105" s="42">
        <v>95</v>
      </c>
      <c r="B105" s="44" t="s">
        <v>167</v>
      </c>
      <c r="C105" s="44" t="s">
        <v>168</v>
      </c>
      <c r="D105" s="67">
        <v>12550080098.9</v>
      </c>
      <c r="E105" s="67">
        <v>183374443.97</v>
      </c>
      <c r="F105" s="45">
        <v>0</v>
      </c>
      <c r="G105" s="67">
        <v>20210387.390000001</v>
      </c>
      <c r="H105" s="46">
        <f t="shared" si="30"/>
        <v>163164056.57999998</v>
      </c>
      <c r="I105" s="45">
        <v>12095397383</v>
      </c>
      <c r="J105" s="48">
        <f t="shared" si="31"/>
        <v>5.1552171928819203E-2</v>
      </c>
      <c r="K105" s="67">
        <v>12234131902</v>
      </c>
      <c r="L105" s="48">
        <f t="shared" si="38"/>
        <v>5.2345177359255576E-2</v>
      </c>
      <c r="M105" s="48">
        <f t="shared" si="39"/>
        <v>1.1470025713664475E-2</v>
      </c>
      <c r="N105" s="49">
        <f t="shared" si="40"/>
        <v>1.6519674262050474E-3</v>
      </c>
      <c r="O105" s="50">
        <f t="shared" si="41"/>
        <v>1.3336790700558526E-2</v>
      </c>
      <c r="P105" s="65">
        <f t="shared" si="42"/>
        <v>1.0600000000745129</v>
      </c>
      <c r="Q105" s="65">
        <f t="shared" si="43"/>
        <v>1.4136998143585799E-2</v>
      </c>
      <c r="R105" s="45">
        <v>1.06</v>
      </c>
      <c r="S105" s="76">
        <v>1.06</v>
      </c>
      <c r="T105" s="57">
        <v>5422</v>
      </c>
      <c r="U105" s="67">
        <v>11630189791</v>
      </c>
      <c r="V105" s="67">
        <v>11541633869</v>
      </c>
    </row>
    <row r="106" spans="1:22">
      <c r="A106" s="42">
        <v>96</v>
      </c>
      <c r="B106" s="44" t="s">
        <v>169</v>
      </c>
      <c r="C106" s="44" t="s">
        <v>52</v>
      </c>
      <c r="D106" s="45">
        <v>15626343838.219999</v>
      </c>
      <c r="E106" s="45">
        <v>164897076.72</v>
      </c>
      <c r="F106" s="45">
        <v>0</v>
      </c>
      <c r="G106" s="45">
        <v>28258453.579999998</v>
      </c>
      <c r="H106" s="46">
        <f t="shared" si="30"/>
        <v>136638623.13999999</v>
      </c>
      <c r="I106" s="45">
        <v>15535790609.719999</v>
      </c>
      <c r="J106" s="48">
        <f t="shared" si="31"/>
        <v>6.6215579629329516E-2</v>
      </c>
      <c r="K106" s="45">
        <v>15574690195.66</v>
      </c>
      <c r="L106" s="48">
        <f t="shared" si="38"/>
        <v>6.6638150310771568E-2</v>
      </c>
      <c r="M106" s="48">
        <f t="shared" si="39"/>
        <v>2.5038690928070907E-3</v>
      </c>
      <c r="N106" s="49">
        <f t="shared" si="40"/>
        <v>1.8143830294534155E-3</v>
      </c>
      <c r="O106" s="50">
        <f t="shared" si="41"/>
        <v>8.7731198132002218E-3</v>
      </c>
      <c r="P106" s="65">
        <f t="shared" si="42"/>
        <v>259.25270662908281</v>
      </c>
      <c r="Q106" s="65">
        <f t="shared" si="43"/>
        <v>2.274455057153391</v>
      </c>
      <c r="R106" s="45">
        <v>259.25</v>
      </c>
      <c r="S106" s="45">
        <v>259.25</v>
      </c>
      <c r="T106" s="57">
        <v>5892</v>
      </c>
      <c r="U106" s="45">
        <v>59926359.770000003</v>
      </c>
      <c r="V106" s="45">
        <v>60075323.409999996</v>
      </c>
    </row>
    <row r="107" spans="1:22">
      <c r="A107" s="42">
        <v>97</v>
      </c>
      <c r="B107" s="52" t="s">
        <v>170</v>
      </c>
      <c r="C107" s="44" t="s">
        <v>52</v>
      </c>
      <c r="D107" s="45">
        <v>1456473684.1700001</v>
      </c>
      <c r="E107" s="45">
        <v>16163833.359999999</v>
      </c>
      <c r="F107" s="45">
        <v>1870144.84</v>
      </c>
      <c r="G107" s="45">
        <v>2496919.5299999998</v>
      </c>
      <c r="H107" s="46">
        <f t="shared" si="30"/>
        <v>15537058.67</v>
      </c>
      <c r="I107" s="45">
        <v>1261604356.54</v>
      </c>
      <c r="J107" s="48">
        <f t="shared" si="31"/>
        <v>5.3771234325801064E-3</v>
      </c>
      <c r="K107" s="45">
        <v>1470911933.71</v>
      </c>
      <c r="L107" s="48">
        <f t="shared" si="38"/>
        <v>6.2934703227540481E-3</v>
      </c>
      <c r="M107" s="48">
        <f t="shared" si="39"/>
        <v>0.1659058769771804</v>
      </c>
      <c r="N107" s="49">
        <f t="shared" si="40"/>
        <v>1.6975316283566735E-3</v>
      </c>
      <c r="O107" s="50">
        <f t="shared" si="41"/>
        <v>1.0562874849218019E-2</v>
      </c>
      <c r="P107" s="65">
        <f t="shared" si="42"/>
        <v>11038.127372082507</v>
      </c>
      <c r="Q107" s="65">
        <f t="shared" si="43"/>
        <v>116.59435800103529</v>
      </c>
      <c r="R107" s="45">
        <v>11012.21</v>
      </c>
      <c r="S107" s="45">
        <v>11055.89</v>
      </c>
      <c r="T107" s="57">
        <v>33</v>
      </c>
      <c r="U107" s="45">
        <v>116009.27</v>
      </c>
      <c r="V107" s="45">
        <v>133257.38</v>
      </c>
    </row>
    <row r="108" spans="1:22">
      <c r="A108" s="42">
        <v>98</v>
      </c>
      <c r="B108" s="44" t="s">
        <v>171</v>
      </c>
      <c r="C108" s="44" t="s">
        <v>52</v>
      </c>
      <c r="D108" s="45">
        <v>5634748276.9399996</v>
      </c>
      <c r="E108" s="45">
        <v>85121157.769999996</v>
      </c>
      <c r="F108" s="45">
        <v>0</v>
      </c>
      <c r="G108" s="45">
        <v>8277078.6699999999</v>
      </c>
      <c r="H108" s="46">
        <f t="shared" si="30"/>
        <v>76844079.099999994</v>
      </c>
      <c r="I108" s="45">
        <v>5713458237.3599997</v>
      </c>
      <c r="J108" s="48">
        <f t="shared" si="31"/>
        <v>2.4351509258760416E-2</v>
      </c>
      <c r="K108" s="45">
        <v>5762659797.7799997</v>
      </c>
      <c r="L108" s="48">
        <f t="shared" si="38"/>
        <v>2.4656220121881595E-2</v>
      </c>
      <c r="M108" s="48">
        <f t="shared" si="39"/>
        <v>8.6115200944803776E-3</v>
      </c>
      <c r="N108" s="49">
        <f t="shared" si="40"/>
        <v>1.4363295701038351E-3</v>
      </c>
      <c r="O108" s="50">
        <f t="shared" si="41"/>
        <v>1.3334828325212485E-2</v>
      </c>
      <c r="P108" s="65">
        <f t="shared" si="42"/>
        <v>173.49444756390938</v>
      </c>
      <c r="Q108" s="65">
        <f t="shared" si="43"/>
        <v>2.313518673642311</v>
      </c>
      <c r="R108" s="45">
        <v>173.49</v>
      </c>
      <c r="S108" s="45">
        <v>173.49</v>
      </c>
      <c r="T108" s="57">
        <v>6417</v>
      </c>
      <c r="U108" s="45">
        <v>33283701.989999998</v>
      </c>
      <c r="V108" s="45">
        <v>33215240.48</v>
      </c>
    </row>
    <row r="109" spans="1:22">
      <c r="A109" s="42">
        <v>99</v>
      </c>
      <c r="B109" s="44" t="s">
        <v>172</v>
      </c>
      <c r="C109" s="44" t="s">
        <v>52</v>
      </c>
      <c r="D109" s="45">
        <v>5380853189.7600002</v>
      </c>
      <c r="E109" s="45">
        <v>62815327.219999999</v>
      </c>
      <c r="F109" s="45">
        <v>0</v>
      </c>
      <c r="G109" s="45">
        <v>10053656.23</v>
      </c>
      <c r="H109" s="46">
        <f t="shared" si="30"/>
        <v>52761670.989999995</v>
      </c>
      <c r="I109" s="45">
        <v>5669550484.5900002</v>
      </c>
      <c r="J109" s="48">
        <f t="shared" si="31"/>
        <v>2.416436865079755E-2</v>
      </c>
      <c r="K109" s="45">
        <v>5559301077.25</v>
      </c>
      <c r="L109" s="48">
        <f t="shared" si="38"/>
        <v>2.3786125833299181E-2</v>
      </c>
      <c r="M109" s="48">
        <f t="shared" si="39"/>
        <v>-1.9445881580852167E-2</v>
      </c>
      <c r="N109" s="49">
        <f t="shared" si="40"/>
        <v>1.8084388829275654E-3</v>
      </c>
      <c r="O109" s="50">
        <f t="shared" si="41"/>
        <v>9.4907022046194743E-3</v>
      </c>
      <c r="P109" s="65">
        <f t="shared" si="42"/>
        <v>389.52927198751883</v>
      </c>
      <c r="Q109" s="65">
        <f t="shared" si="43"/>
        <v>3.6969063204157639</v>
      </c>
      <c r="R109" s="45">
        <v>389</v>
      </c>
      <c r="S109" s="45">
        <v>389.5</v>
      </c>
      <c r="T109" s="57">
        <v>12369</v>
      </c>
      <c r="U109" s="45">
        <v>14606544.369999999</v>
      </c>
      <c r="V109" s="45">
        <v>14271844.189999999</v>
      </c>
    </row>
    <row r="110" spans="1:22">
      <c r="A110" s="42">
        <v>100</v>
      </c>
      <c r="B110" s="43" t="s">
        <v>173</v>
      </c>
      <c r="C110" s="44" t="s">
        <v>174</v>
      </c>
      <c r="D110" s="45">
        <v>117486213.7</v>
      </c>
      <c r="E110" s="45">
        <v>1868000.96</v>
      </c>
      <c r="F110" s="45">
        <v>0</v>
      </c>
      <c r="G110" s="45">
        <v>369357.4</v>
      </c>
      <c r="H110" s="46">
        <f t="shared" ref="H110" si="45">(E110+F110)-G110</f>
        <v>1498643.56</v>
      </c>
      <c r="I110" s="45">
        <v>118026149.79000001</v>
      </c>
      <c r="J110" s="48">
        <f t="shared" si="31"/>
        <v>5.0304294876846124E-4</v>
      </c>
      <c r="K110" s="45">
        <v>114990434.19</v>
      </c>
      <c r="L110" s="48">
        <f t="shared" si="38"/>
        <v>4.9200014520926945E-4</v>
      </c>
      <c r="M110" s="48">
        <f t="shared" si="39"/>
        <v>-2.572070346615014E-2</v>
      </c>
      <c r="N110" s="49">
        <f t="shared" si="40"/>
        <v>3.2120706613708982E-3</v>
      </c>
      <c r="O110" s="50">
        <f t="shared" si="41"/>
        <v>1.3032767208477309E-2</v>
      </c>
      <c r="P110" s="65">
        <f t="shared" si="42"/>
        <v>120.26960977914686</v>
      </c>
      <c r="Q110" s="65">
        <f t="shared" si="43"/>
        <v>1.5674458265060272</v>
      </c>
      <c r="R110" s="45">
        <v>120.2696</v>
      </c>
      <c r="S110" s="45">
        <v>120.2696</v>
      </c>
      <c r="T110" s="57">
        <v>28</v>
      </c>
      <c r="U110" s="45">
        <v>989444.06</v>
      </c>
      <c r="V110" s="45">
        <v>956105.49</v>
      </c>
    </row>
    <row r="111" spans="1:22">
      <c r="A111" s="42">
        <v>101</v>
      </c>
      <c r="B111" s="44" t="s">
        <v>175</v>
      </c>
      <c r="C111" s="44" t="s">
        <v>55</v>
      </c>
      <c r="D111" s="45">
        <v>74502308713.869995</v>
      </c>
      <c r="E111" s="45">
        <v>625157547</v>
      </c>
      <c r="F111" s="45">
        <v>0</v>
      </c>
      <c r="G111" s="45">
        <v>120610179.03</v>
      </c>
      <c r="H111" s="46">
        <f t="shared" si="30"/>
        <v>504547367.97000003</v>
      </c>
      <c r="I111" s="45">
        <v>77583958703.049988</v>
      </c>
      <c r="J111" s="48">
        <f t="shared" si="31"/>
        <v>0.33067301977192443</v>
      </c>
      <c r="K111" s="45">
        <v>78072947490.75</v>
      </c>
      <c r="L111" s="48">
        <f t="shared" si="38"/>
        <v>0.33404432092930658</v>
      </c>
      <c r="M111" s="48">
        <f t="shared" si="39"/>
        <v>6.302704784266042E-3</v>
      </c>
      <c r="N111" s="49">
        <f t="shared" si="40"/>
        <v>1.5448395751203035E-3</v>
      </c>
      <c r="O111" s="50">
        <f t="shared" si="41"/>
        <v>6.4625121016441481E-3</v>
      </c>
      <c r="P111" s="65">
        <f t="shared" si="42"/>
        <v>2.0461256207442218</v>
      </c>
      <c r="Q111" s="65">
        <f t="shared" si="43"/>
        <v>1.3223111585543679E-2</v>
      </c>
      <c r="R111" s="45">
        <v>2.04612562074422</v>
      </c>
      <c r="S111" s="45">
        <v>2.04612562074422</v>
      </c>
      <c r="T111" s="57">
        <v>1383</v>
      </c>
      <c r="U111" s="45">
        <v>38155167647.919998</v>
      </c>
      <c r="V111" s="45">
        <v>38156478125.889999</v>
      </c>
    </row>
    <row r="112" spans="1:22">
      <c r="A112" s="42">
        <v>102</v>
      </c>
      <c r="B112" s="44" t="s">
        <v>176</v>
      </c>
      <c r="C112" s="44" t="s">
        <v>55</v>
      </c>
      <c r="D112" s="45">
        <v>40478182404.639999</v>
      </c>
      <c r="E112" s="45">
        <v>868314283</v>
      </c>
      <c r="F112" s="45">
        <v>0</v>
      </c>
      <c r="G112" s="45">
        <v>112476093.61</v>
      </c>
      <c r="H112" s="46">
        <f t="shared" si="30"/>
        <v>755838189.38999999</v>
      </c>
      <c r="I112" s="45">
        <v>60842338172.459991</v>
      </c>
      <c r="J112" s="48">
        <f t="shared" si="31"/>
        <v>0.25931803467874676</v>
      </c>
      <c r="K112" s="45">
        <v>58234062696.139999</v>
      </c>
      <c r="L112" s="48">
        <f t="shared" si="38"/>
        <v>0.24916131071638475</v>
      </c>
      <c r="M112" s="48">
        <f t="shared" si="39"/>
        <v>-4.2869415519941605E-2</v>
      </c>
      <c r="N112" s="49">
        <f t="shared" si="40"/>
        <v>1.9314485097302922E-3</v>
      </c>
      <c r="O112" s="50">
        <f t="shared" si="41"/>
        <v>1.2979314071454955E-2</v>
      </c>
      <c r="P112" s="65">
        <f t="shared" si="42"/>
        <v>136.60328216386469</v>
      </c>
      <c r="Q112" s="65">
        <f t="shared" si="43"/>
        <v>1.7730169023963807</v>
      </c>
      <c r="R112" s="45">
        <v>136.603282163865</v>
      </c>
      <c r="S112" s="45">
        <v>136.603282163865</v>
      </c>
      <c r="T112" s="57">
        <v>249</v>
      </c>
      <c r="U112" s="45">
        <v>449481485.26999998</v>
      </c>
      <c r="V112" s="45">
        <v>426300611.32999998</v>
      </c>
    </row>
    <row r="113" spans="1:23">
      <c r="A113" s="42">
        <v>103</v>
      </c>
      <c r="B113" s="58" t="s">
        <v>177</v>
      </c>
      <c r="C113" s="58" t="s">
        <v>178</v>
      </c>
      <c r="D113" s="67">
        <v>97000000</v>
      </c>
      <c r="E113" s="67">
        <v>3362882.16</v>
      </c>
      <c r="F113" s="45">
        <v>0</v>
      </c>
      <c r="G113" s="67">
        <v>479987.08</v>
      </c>
      <c r="H113" s="46">
        <f t="shared" si="30"/>
        <v>2882895.08</v>
      </c>
      <c r="I113" s="45">
        <v>117542803.66</v>
      </c>
      <c r="J113" s="48">
        <f t="shared" si="31"/>
        <v>5.009828640927885E-4</v>
      </c>
      <c r="K113" s="67">
        <v>118748018.76000001</v>
      </c>
      <c r="L113" s="48">
        <f t="shared" si="38"/>
        <v>5.080774143064661E-4</v>
      </c>
      <c r="M113" s="48">
        <f t="shared" si="39"/>
        <v>1.0253414607041107E-2</v>
      </c>
      <c r="N113" s="49">
        <f t="shared" si="40"/>
        <v>4.0420639014626036E-3</v>
      </c>
      <c r="O113" s="50">
        <f t="shared" si="41"/>
        <v>2.4277416247479294E-2</v>
      </c>
      <c r="P113" s="65">
        <f t="shared" si="42"/>
        <v>119.64067700561125</v>
      </c>
      <c r="Q113" s="65">
        <f t="shared" si="43"/>
        <v>2.904566515795449</v>
      </c>
      <c r="R113" s="45">
        <v>119.84399999999999</v>
      </c>
      <c r="S113" s="45">
        <v>119.84399999999999</v>
      </c>
      <c r="T113" s="57">
        <v>85</v>
      </c>
      <c r="U113" s="67">
        <v>990269.89</v>
      </c>
      <c r="V113" s="45">
        <v>992538.83990000002</v>
      </c>
    </row>
    <row r="114" spans="1:23">
      <c r="A114" s="42">
        <v>104</v>
      </c>
      <c r="B114" s="58" t="s">
        <v>179</v>
      </c>
      <c r="C114" s="58" t="s">
        <v>57</v>
      </c>
      <c r="D114" s="45">
        <v>491541559.22000003</v>
      </c>
      <c r="E114" s="67">
        <v>7282302.5700000003</v>
      </c>
      <c r="F114" s="45"/>
      <c r="G114" s="67">
        <v>1032755.68</v>
      </c>
      <c r="H114" s="46">
        <f t="shared" si="30"/>
        <v>6249546.8900000006</v>
      </c>
      <c r="I114" s="45">
        <v>529386058.58999997</v>
      </c>
      <c r="J114" s="48">
        <f t="shared" si="31"/>
        <v>2.2563128969626872E-3</v>
      </c>
      <c r="K114" s="67">
        <v>517141418.08999997</v>
      </c>
      <c r="L114" s="48">
        <f t="shared" si="38"/>
        <v>2.2126505964279075E-3</v>
      </c>
      <c r="M114" s="48">
        <f t="shared" si="39"/>
        <v>-2.3129888483677002E-2</v>
      </c>
      <c r="N114" s="49">
        <f t="shared" si="40"/>
        <v>1.9970469273460239E-3</v>
      </c>
      <c r="O114" s="50">
        <f t="shared" si="41"/>
        <v>1.2084792807897605E-2</v>
      </c>
      <c r="P114" s="65">
        <f t="shared" si="42"/>
        <v>1.4509913929305918</v>
      </c>
      <c r="Q114" s="65">
        <f t="shared" si="43"/>
        <v>1.7534930349608943E-2</v>
      </c>
      <c r="R114" s="45">
        <v>1.4510000000000001</v>
      </c>
      <c r="S114" s="45">
        <v>1.4510000000000001</v>
      </c>
      <c r="T114" s="57">
        <v>49</v>
      </c>
      <c r="U114" s="67">
        <v>365788664.5</v>
      </c>
      <c r="V114" s="67">
        <v>356405572.5</v>
      </c>
    </row>
    <row r="115" spans="1:23">
      <c r="A115" s="42">
        <v>105</v>
      </c>
      <c r="B115" s="52" t="s">
        <v>180</v>
      </c>
      <c r="C115" s="52" t="s">
        <v>136</v>
      </c>
      <c r="D115" s="67">
        <v>2047125733.53</v>
      </c>
      <c r="E115" s="67">
        <v>21461417.109999999</v>
      </c>
      <c r="F115" s="45">
        <v>0</v>
      </c>
      <c r="G115" s="67">
        <v>3569607.25</v>
      </c>
      <c r="H115" s="46">
        <f t="shared" si="30"/>
        <v>17891809.859999999</v>
      </c>
      <c r="I115" s="45">
        <v>2042391403.48</v>
      </c>
      <c r="J115" s="48">
        <f t="shared" si="31"/>
        <v>8.7049403540992616E-3</v>
      </c>
      <c r="K115" s="67">
        <v>2063961309.55</v>
      </c>
      <c r="L115" s="48">
        <f t="shared" si="38"/>
        <v>8.8309020759678378E-3</v>
      </c>
      <c r="M115" s="48">
        <f t="shared" si="39"/>
        <v>1.0561103044816627E-2</v>
      </c>
      <c r="N115" s="49">
        <f t="shared" si="40"/>
        <v>1.7294932969350437E-3</v>
      </c>
      <c r="O115" s="50">
        <f t="shared" si="41"/>
        <v>8.6686750266170946E-3</v>
      </c>
      <c r="P115" s="65">
        <f t="shared" si="42"/>
        <v>31.778139139167358</v>
      </c>
      <c r="Q115" s="65">
        <f t="shared" si="43"/>
        <v>0.27547436114806334</v>
      </c>
      <c r="R115" s="45">
        <v>31.831299999999999</v>
      </c>
      <c r="S115" s="45">
        <v>31.831299999999999</v>
      </c>
      <c r="T115" s="74">
        <v>1343</v>
      </c>
      <c r="U115" s="67">
        <v>64855484.590000004</v>
      </c>
      <c r="V115" s="67">
        <v>64949092.850000001</v>
      </c>
    </row>
    <row r="116" spans="1:23">
      <c r="A116" s="166" t="s">
        <v>60</v>
      </c>
      <c r="B116" s="166"/>
      <c r="C116" s="166"/>
      <c r="D116" s="166"/>
      <c r="E116" s="166"/>
      <c r="F116" s="166"/>
      <c r="G116" s="166"/>
      <c r="H116" s="166"/>
      <c r="I116" s="63">
        <f>SUM(I78:I115)</f>
        <v>234624399524.82996</v>
      </c>
      <c r="J116" s="61">
        <f>(I116/$I$247)</f>
        <v>2.6423263238098387E-2</v>
      </c>
      <c r="K116" s="63">
        <f>SUM(K78:K115)</f>
        <v>233720325714.72</v>
      </c>
      <c r="L116" s="61">
        <f>(K116/$K$247)</f>
        <v>2.5812192749925085E-2</v>
      </c>
      <c r="M116" s="61">
        <f t="shared" si="33"/>
        <v>-3.8532812952997162E-3</v>
      </c>
      <c r="N116" s="49"/>
      <c r="O116" s="49"/>
      <c r="P116" s="73"/>
      <c r="Q116" s="73"/>
      <c r="R116" s="63"/>
      <c r="S116" s="63"/>
      <c r="T116" s="63">
        <f>SUM(T78:T115)</f>
        <v>61681</v>
      </c>
      <c r="U116" s="63"/>
      <c r="V116" s="45"/>
    </row>
    <row r="117" spans="1:23" ht="7.2" customHeight="1">
      <c r="A117" s="176"/>
      <c r="B117" s="176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37"/>
    </row>
    <row r="118" spans="1:23">
      <c r="A118" s="170" t="s">
        <v>181</v>
      </c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70"/>
      <c r="R118" s="170"/>
      <c r="S118" s="170"/>
      <c r="T118" s="170"/>
      <c r="U118" s="170"/>
      <c r="V118" s="170"/>
    </row>
    <row r="119" spans="1:23">
      <c r="A119" s="177" t="s">
        <v>182</v>
      </c>
      <c r="B119" s="177"/>
      <c r="C119" s="177"/>
      <c r="D119" s="177"/>
      <c r="E119" s="177"/>
      <c r="F119" s="177"/>
      <c r="G119" s="177"/>
      <c r="H119" s="177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177"/>
      <c r="U119" s="177"/>
      <c r="V119" s="177"/>
    </row>
    <row r="120" spans="1:23">
      <c r="A120" s="77">
        <v>106</v>
      </c>
      <c r="B120" s="43" t="s">
        <v>183</v>
      </c>
      <c r="C120" s="44" t="s">
        <v>24</v>
      </c>
      <c r="D120" s="57">
        <v>3768830406.9699998</v>
      </c>
      <c r="E120" s="57">
        <v>24248209.469999999</v>
      </c>
      <c r="F120" s="57">
        <v>6199029.8600000003</v>
      </c>
      <c r="G120" s="57">
        <v>7203899.8799999999</v>
      </c>
      <c r="H120" s="46">
        <f t="shared" ref="H120:H135" si="46">(E120+F120)-G120</f>
        <v>23243339.449999999</v>
      </c>
      <c r="I120" s="47">
        <v>3744617461.0799999</v>
      </c>
      <c r="J120" s="48">
        <f t="shared" ref="J120:J137" si="47">(I120/$I$160)</f>
        <v>2.014641342306684E-3</v>
      </c>
      <c r="K120" s="47">
        <v>3767681672.27</v>
      </c>
      <c r="L120" s="48">
        <f t="shared" ref="L120" si="48">(K120/$K$160)</f>
        <v>2.0460766992576062E-3</v>
      </c>
      <c r="M120" s="48">
        <f t="shared" ref="M120" si="49">((K120-I120)/I120)</f>
        <v>6.1592970255893685E-3</v>
      </c>
      <c r="N120" s="49">
        <f t="shared" ref="N120" si="50">(G120/K120)</f>
        <v>1.9120245569100066E-3</v>
      </c>
      <c r="O120" s="50">
        <f t="shared" ref="O120" si="51">H120/K120</f>
        <v>6.1691356839061358E-3</v>
      </c>
      <c r="P120" s="65">
        <f t="shared" ref="P120" si="52">K120/V120</f>
        <v>162507.66336117362</v>
      </c>
      <c r="Q120" s="65">
        <f t="shared" ref="Q120" si="53">H120/V120</f>
        <v>1002.5318249496219</v>
      </c>
      <c r="R120" s="45">
        <f>118.3807*FX_RATE</f>
        <v>162566.82898814999</v>
      </c>
      <c r="S120" s="45">
        <f>118.3807*FX_RATE</f>
        <v>162566.82898814999</v>
      </c>
      <c r="T120" s="45">
        <v>190</v>
      </c>
      <c r="U120" s="45">
        <v>23115.54</v>
      </c>
      <c r="V120" s="45">
        <v>23184.639999999999</v>
      </c>
    </row>
    <row r="121" spans="1:23">
      <c r="A121" s="78">
        <v>107</v>
      </c>
      <c r="B121" s="58" t="s">
        <v>184</v>
      </c>
      <c r="C121" s="56" t="s">
        <v>64</v>
      </c>
      <c r="D121" s="57">
        <f>3952517.89*C249</f>
        <v>5427812978.7730055</v>
      </c>
      <c r="E121" s="57">
        <f>28034.55*FX_RATE</f>
        <v>38498571.942975</v>
      </c>
      <c r="F121" s="57">
        <v>0</v>
      </c>
      <c r="G121" s="57">
        <f>6721.11*C249</f>
        <v>9229794.552494999</v>
      </c>
      <c r="H121" s="46">
        <f t="shared" si="46"/>
        <v>29268777.390480001</v>
      </c>
      <c r="I121" s="47">
        <v>5297926105.6123219</v>
      </c>
      <c r="J121" s="48">
        <f t="shared" si="47"/>
        <v>2.8503368025672954E-3</v>
      </c>
      <c r="K121" s="47">
        <f>3935751.57*FX_RATE</f>
        <v>5404788554.3845644</v>
      </c>
      <c r="L121" s="48">
        <f t="shared" ref="L121:L137" si="54">(K121/$K$160)</f>
        <v>2.9351237411938064E-3</v>
      </c>
      <c r="M121" s="48">
        <f t="shared" ref="M121:M137" si="55">((K121-I121)/I121)</f>
        <v>2.017061896334087E-2</v>
      </c>
      <c r="N121" s="49">
        <f t="shared" ref="N121:N137" si="56">(G121/K121)</f>
        <v>1.7077068713460489E-3</v>
      </c>
      <c r="O121" s="50">
        <f t="shared" ref="O121:O137" si="57">H121/K121</f>
        <v>5.4153418021757917E-3</v>
      </c>
      <c r="P121" s="65">
        <f t="shared" ref="P121:P137" si="58">K121/V121</f>
        <v>145940.23356709609</v>
      </c>
      <c r="Q121" s="65">
        <f t="shared" ref="Q121:Q137" si="59">H121/V121</f>
        <v>790.31624745519412</v>
      </c>
      <c r="R121" s="45">
        <f>100*C249</f>
        <v>137325.45000000001</v>
      </c>
      <c r="S121" s="45">
        <f>100*C249</f>
        <v>137325.45000000001</v>
      </c>
      <c r="T121" s="45">
        <v>113</v>
      </c>
      <c r="U121" s="45">
        <v>36497.42</v>
      </c>
      <c r="V121" s="45">
        <v>37034.26</v>
      </c>
    </row>
    <row r="122" spans="1:23" ht="13.2" customHeight="1">
      <c r="A122" s="77">
        <v>108</v>
      </c>
      <c r="B122" s="43" t="s">
        <v>185</v>
      </c>
      <c r="C122" s="52" t="s">
        <v>28</v>
      </c>
      <c r="D122" s="57">
        <f>8307896*FX_RATE</f>
        <v>11408855567.532</v>
      </c>
      <c r="E122" s="57">
        <f>80342*FX_RATE</f>
        <v>110330013.039</v>
      </c>
      <c r="F122" s="57">
        <f>68039*C249</f>
        <v>93434862.925500005</v>
      </c>
      <c r="G122" s="57">
        <f>27797*FX_RATE</f>
        <v>38172355.336499996</v>
      </c>
      <c r="H122" s="46">
        <f t="shared" si="46"/>
        <v>165592520.62800002</v>
      </c>
      <c r="I122" s="47">
        <v>18391171533.3881</v>
      </c>
      <c r="J122" s="48">
        <f t="shared" si="47"/>
        <v>9.8946327334411537E-3</v>
      </c>
      <c r="K122" s="47">
        <f>13375951*FX_RATE</f>
        <v>18368584902.529499</v>
      </c>
      <c r="L122" s="48">
        <f t="shared" si="54"/>
        <v>9.975241232297859E-3</v>
      </c>
      <c r="M122" s="48">
        <f t="shared" si="55"/>
        <v>-1.2281235492581811E-3</v>
      </c>
      <c r="N122" s="49">
        <f t="shared" si="56"/>
        <v>2.0781326127764671E-3</v>
      </c>
      <c r="O122" s="50">
        <f t="shared" si="57"/>
        <v>9.014985177502521E-3</v>
      </c>
      <c r="P122" s="65">
        <f t="shared" si="58"/>
        <v>1688.2015401526519</v>
      </c>
      <c r="Q122" s="65">
        <f t="shared" si="59"/>
        <v>15.219111861113085</v>
      </c>
      <c r="R122" s="45">
        <f>1.2293*FX_RATE</f>
        <v>1688.1417568500001</v>
      </c>
      <c r="S122" s="45">
        <f>1.2293*FX_RATE</f>
        <v>1688.1417568500001</v>
      </c>
      <c r="T122" s="45">
        <v>341</v>
      </c>
      <c r="U122" s="45">
        <v>10766992</v>
      </c>
      <c r="V122" s="45">
        <v>10880564</v>
      </c>
    </row>
    <row r="123" spans="1:23" ht="13.2" customHeight="1">
      <c r="A123" s="78">
        <v>109</v>
      </c>
      <c r="B123" s="43" t="s">
        <v>186</v>
      </c>
      <c r="C123" s="52" t="s">
        <v>28</v>
      </c>
      <c r="D123" s="57">
        <f>1992296*FX_RATE</f>
        <v>2735929447.3319998</v>
      </c>
      <c r="E123" s="57">
        <f>18941*FX_RATE</f>
        <v>26010813.484499998</v>
      </c>
      <c r="F123" s="57">
        <f>5563*FX_RATE</f>
        <v>7639414.7834999999</v>
      </c>
      <c r="G123" s="57">
        <f>8392*FX_RATE</f>
        <v>11524351.764</v>
      </c>
      <c r="H123" s="46">
        <f t="shared" si="46"/>
        <v>22125876.504000001</v>
      </c>
      <c r="I123" s="47">
        <v>4299594192.6117001</v>
      </c>
      <c r="J123" s="48">
        <f t="shared" si="47"/>
        <v>2.3132243294830377E-3</v>
      </c>
      <c r="K123" s="47">
        <f>3127107*FX_RATE</f>
        <v>4294313759.7315001</v>
      </c>
      <c r="L123" s="48">
        <f t="shared" si="54"/>
        <v>2.3320694494325875E-3</v>
      </c>
      <c r="M123" s="48">
        <f t="shared" si="55"/>
        <v>-1.2281235492581264E-3</v>
      </c>
      <c r="N123" s="49">
        <f t="shared" si="56"/>
        <v>2.6836305889117321E-3</v>
      </c>
      <c r="O123" s="50">
        <f t="shared" si="57"/>
        <v>5.1523660687018387E-3</v>
      </c>
      <c r="P123" s="65">
        <f t="shared" si="58"/>
        <v>1456.6417057986996</v>
      </c>
      <c r="Q123" s="65">
        <f t="shared" si="59"/>
        <v>7.5051512992131864</v>
      </c>
      <c r="R123" s="45">
        <f>1.0607*FX_RATE</f>
        <v>1456.61104815</v>
      </c>
      <c r="S123" s="45">
        <f>1.0607*FX_RATE</f>
        <v>1456.61104815</v>
      </c>
      <c r="T123" s="45">
        <v>123</v>
      </c>
      <c r="U123" s="45">
        <v>2972480</v>
      </c>
      <c r="V123" s="45">
        <v>2948092</v>
      </c>
    </row>
    <row r="124" spans="1:23" ht="13.2" customHeight="1">
      <c r="A124" s="77">
        <v>110</v>
      </c>
      <c r="B124" s="79" t="s">
        <v>187</v>
      </c>
      <c r="C124" s="56" t="s">
        <v>32</v>
      </c>
      <c r="D124" s="57">
        <f>35710795.42*FX_RATE</f>
        <v>49040010509.094391</v>
      </c>
      <c r="E124" s="57">
        <f>464911.59*FX_RATE</f>
        <v>638441933.06965506</v>
      </c>
      <c r="F124" s="57">
        <f>179330.35*C249</f>
        <v>246266210.124075</v>
      </c>
      <c r="G124" s="57">
        <f>41914.71*FX_RATE</f>
        <v>57559564.123695001</v>
      </c>
      <c r="H124" s="46">
        <f t="shared" si="46"/>
        <v>827148579.0700351</v>
      </c>
      <c r="I124" s="47">
        <v>48610351595.772026</v>
      </c>
      <c r="J124" s="48">
        <f t="shared" si="47"/>
        <v>2.6152851394508247E-2</v>
      </c>
      <c r="K124" s="47">
        <f>35926882.48*FX_RATE</f>
        <v>49336753036.631157</v>
      </c>
      <c r="L124" s="48">
        <f t="shared" si="54"/>
        <v>2.6792810429883872E-2</v>
      </c>
      <c r="M124" s="48">
        <f t="shared" si="55"/>
        <v>1.4943348834413922E-2</v>
      </c>
      <c r="N124" s="49">
        <f t="shared" si="56"/>
        <v>1.1666670500379026E-3</v>
      </c>
      <c r="O124" s="50">
        <f t="shared" si="57"/>
        <v>1.6765363104781144E-2</v>
      </c>
      <c r="P124" s="65">
        <f t="shared" si="58"/>
        <v>1781.5336884866758</v>
      </c>
      <c r="Q124" s="65">
        <f t="shared" si="59"/>
        <v>29.868059170879182</v>
      </c>
      <c r="R124" s="45">
        <f>1.2968*FX_RATE</f>
        <v>1780.8364356</v>
      </c>
      <c r="S124" s="45">
        <f>1.2968*FX_RATE</f>
        <v>1780.8364356</v>
      </c>
      <c r="T124" s="45">
        <v>736</v>
      </c>
      <c r="U124" s="45">
        <v>27726955.98</v>
      </c>
      <c r="V124" s="45">
        <v>27693415.710000001</v>
      </c>
    </row>
    <row r="125" spans="1:23" ht="13.2" customHeight="1">
      <c r="A125" s="78">
        <v>111</v>
      </c>
      <c r="B125" s="58" t="s">
        <v>188</v>
      </c>
      <c r="C125" s="56" t="s">
        <v>78</v>
      </c>
      <c r="D125" s="57">
        <f>1011735.55*FX_RATE</f>
        <v>1389370396.8474751</v>
      </c>
      <c r="E125" s="57">
        <f>10885.17*FX_RATE</f>
        <v>14948108.685765</v>
      </c>
      <c r="F125" s="57">
        <v>0</v>
      </c>
      <c r="G125" s="57">
        <f>1742.66*FX_RATE</f>
        <v>2393115.6869700002</v>
      </c>
      <c r="H125" s="46">
        <f t="shared" si="46"/>
        <v>12554992.998794999</v>
      </c>
      <c r="I125" s="47">
        <v>1386317275.5464568</v>
      </c>
      <c r="J125" s="48">
        <f t="shared" si="47"/>
        <v>7.4585244711868059E-4</v>
      </c>
      <c r="K125" s="47">
        <f>1000850.38*FX_RATE</f>
        <v>1374422288.16171</v>
      </c>
      <c r="L125" s="48">
        <f t="shared" si="54"/>
        <v>7.4639358187967208E-4</v>
      </c>
      <c r="M125" s="48">
        <f t="shared" si="55"/>
        <v>-8.5802778300212972E-3</v>
      </c>
      <c r="N125" s="49">
        <f t="shared" si="56"/>
        <v>1.7411793359163237E-3</v>
      </c>
      <c r="O125" s="50">
        <f t="shared" si="57"/>
        <v>9.134741998099655E-3</v>
      </c>
      <c r="P125" s="65">
        <f t="shared" si="58"/>
        <v>1517.6643014591932</v>
      </c>
      <c r="Q125" s="65">
        <f t="shared" si="59"/>
        <v>13.863471833555868</v>
      </c>
      <c r="R125" s="45">
        <f>1.1052*FX_RATE</f>
        <v>1517.7208733999998</v>
      </c>
      <c r="S125" s="45">
        <f>1.1124*C249</f>
        <v>1527.6083058000002</v>
      </c>
      <c r="T125" s="45">
        <v>77</v>
      </c>
      <c r="U125" s="45">
        <v>914133.33</v>
      </c>
      <c r="V125" s="45">
        <v>905616.8</v>
      </c>
    </row>
    <row r="126" spans="1:23" ht="13.2" customHeight="1">
      <c r="A126" s="77">
        <v>112</v>
      </c>
      <c r="B126" s="55" t="s">
        <v>189</v>
      </c>
      <c r="C126" s="56" t="s">
        <v>34</v>
      </c>
      <c r="D126" s="57">
        <f>333481.36*FX_RATE</f>
        <v>457954778.28612</v>
      </c>
      <c r="E126" s="57">
        <f>3607.42*FX_RATE</f>
        <v>4953905.7483900003</v>
      </c>
      <c r="F126" s="57">
        <v>0</v>
      </c>
      <c r="G126" s="57">
        <f>1173.91*FX_RATE</f>
        <v>1612077.1900950002</v>
      </c>
      <c r="H126" s="46">
        <f t="shared" si="46"/>
        <v>3341828.5582950003</v>
      </c>
      <c r="I126" s="47">
        <v>979020479.67591596</v>
      </c>
      <c r="J126" s="48">
        <f t="shared" si="47"/>
        <v>5.2672273037768734E-4</v>
      </c>
      <c r="K126" s="47">
        <f>669780.81*FX_RATE</f>
        <v>919779511.34614503</v>
      </c>
      <c r="L126" s="48">
        <f t="shared" si="54"/>
        <v>4.9949533700548534E-4</v>
      </c>
      <c r="M126" s="48">
        <f t="shared" si="55"/>
        <v>-6.0510448514193897E-2</v>
      </c>
      <c r="N126" s="49">
        <f t="shared" si="56"/>
        <v>1.7526778648674632E-3</v>
      </c>
      <c r="O126" s="50">
        <f t="shared" si="57"/>
        <v>3.6332931067403979E-3</v>
      </c>
      <c r="P126" s="65">
        <f t="shared" si="58"/>
        <v>1755.2254258217636</v>
      </c>
      <c r="Q126" s="65">
        <f t="shared" si="59"/>
        <v>6.3772484404136929</v>
      </c>
      <c r="R126" s="45">
        <f>1.28*FX_RATE</f>
        <v>1757.76576</v>
      </c>
      <c r="S126" s="45">
        <f>1.28*FX_RATE</f>
        <v>1757.76576</v>
      </c>
      <c r="T126" s="45">
        <v>80</v>
      </c>
      <c r="U126" s="45">
        <v>519851.62</v>
      </c>
      <c r="V126" s="45">
        <v>524023.58</v>
      </c>
    </row>
    <row r="127" spans="1:23" ht="13.2" customHeight="1">
      <c r="A127" s="78">
        <v>113</v>
      </c>
      <c r="B127" s="58" t="s">
        <v>190</v>
      </c>
      <c r="C127" s="56" t="s">
        <v>191</v>
      </c>
      <c r="D127" s="57">
        <f>1015221.4*FX_RATE</f>
        <v>1394157356.0462999</v>
      </c>
      <c r="E127" s="57">
        <f>16334.75*FX_RATE</f>
        <v>22431768.943875</v>
      </c>
      <c r="F127" s="57">
        <v>0</v>
      </c>
      <c r="G127" s="57">
        <f>4850.84*FX_RATE</f>
        <v>6661437.8587800004</v>
      </c>
      <c r="H127" s="46">
        <f t="shared" si="46"/>
        <v>15770331.085095</v>
      </c>
      <c r="I127" s="47">
        <v>3938920782.3008509</v>
      </c>
      <c r="J127" s="48">
        <f t="shared" si="47"/>
        <v>2.119178456697568E-3</v>
      </c>
      <c r="K127" s="47">
        <f>2930619.37*FX_RATE</f>
        <v>4024486237.6396651</v>
      </c>
      <c r="L127" s="48">
        <f t="shared" si="54"/>
        <v>2.1855369517871873E-3</v>
      </c>
      <c r="M127" s="48">
        <f t="shared" si="55"/>
        <v>2.1723070878524424E-2</v>
      </c>
      <c r="N127" s="49">
        <f t="shared" si="56"/>
        <v>1.6552268949208508E-3</v>
      </c>
      <c r="O127" s="50">
        <f t="shared" si="57"/>
        <v>3.9185948600346555E-3</v>
      </c>
      <c r="P127" s="65">
        <f t="shared" si="58"/>
        <v>150797.5958348196</v>
      </c>
      <c r="Q127" s="65">
        <f t="shared" si="59"/>
        <v>590.91468394390733</v>
      </c>
      <c r="R127" s="45">
        <f>107.69*FX_RATE</f>
        <v>147885.77710499999</v>
      </c>
      <c r="S127" s="45">
        <f>106.06*FX_RATE</f>
        <v>145647.37226999999</v>
      </c>
      <c r="T127" s="45">
        <v>124</v>
      </c>
      <c r="U127" s="45">
        <v>26319</v>
      </c>
      <c r="V127" s="45">
        <v>26688</v>
      </c>
    </row>
    <row r="128" spans="1:23" ht="15" customHeight="1">
      <c r="A128" s="77">
        <v>114</v>
      </c>
      <c r="B128" s="44" t="s">
        <v>192</v>
      </c>
      <c r="C128" s="52" t="s">
        <v>91</v>
      </c>
      <c r="D128" s="57">
        <f>3239736.09*FX_RATE</f>
        <v>4448982164.4049044</v>
      </c>
      <c r="E128" s="57">
        <f>30955.77*FX_RATE</f>
        <v>42510150.453465</v>
      </c>
      <c r="F128" s="57">
        <v>0</v>
      </c>
      <c r="G128" s="57">
        <f>3597*FX_RATE</f>
        <v>4939596.4364999998</v>
      </c>
      <c r="H128" s="46">
        <f t="shared" si="46"/>
        <v>37570554.016965002</v>
      </c>
      <c r="I128" s="47">
        <v>4624252412.108304</v>
      </c>
      <c r="J128" s="48">
        <f t="shared" si="47"/>
        <v>2.4878936723239735E-3</v>
      </c>
      <c r="K128" s="47">
        <f>3217693*FX_RATE</f>
        <v>4418711391.8684998</v>
      </c>
      <c r="L128" s="48">
        <f t="shared" si="54"/>
        <v>2.3996248107126137E-3</v>
      </c>
      <c r="M128" s="48">
        <f t="shared" si="55"/>
        <v>-4.4448486354596146E-2</v>
      </c>
      <c r="N128" s="49">
        <f t="shared" si="56"/>
        <v>1.1178816624208712E-3</v>
      </c>
      <c r="O128" s="50">
        <f t="shared" si="57"/>
        <v>8.502604194993121E-3</v>
      </c>
      <c r="P128" s="65">
        <f t="shared" si="58"/>
        <v>156265.21172219471</v>
      </c>
      <c r="Q128" s="65">
        <f t="shared" si="59"/>
        <v>1328.661244720621</v>
      </c>
      <c r="R128" s="45">
        <f>114.38*FX_RATE</f>
        <v>157072.84970999998</v>
      </c>
      <c r="S128" s="45">
        <f>114.38*FX_RATE</f>
        <v>157072.84970999998</v>
      </c>
      <c r="T128" s="45">
        <v>89</v>
      </c>
      <c r="U128" s="45">
        <v>29812</v>
      </c>
      <c r="V128" s="45">
        <v>28277</v>
      </c>
    </row>
    <row r="129" spans="1:24" ht="15" customHeight="1">
      <c r="A129" s="78">
        <v>115</v>
      </c>
      <c r="B129" s="44" t="s">
        <v>193</v>
      </c>
      <c r="C129" s="44" t="s">
        <v>308</v>
      </c>
      <c r="D129" s="57">
        <f>8541898.1*FX_RATE</f>
        <v>11730200004.366449</v>
      </c>
      <c r="E129" s="57">
        <f>111325.26*FX_RATE</f>
        <v>152877914.25867</v>
      </c>
      <c r="F129" s="57">
        <v>0</v>
      </c>
      <c r="G129" s="57">
        <f>15755.54*FX_RATE</f>
        <v>21636366.20493</v>
      </c>
      <c r="H129" s="46">
        <f t="shared" si="46"/>
        <v>131241548.05373999</v>
      </c>
      <c r="I129" s="47">
        <v>15028321056.264084</v>
      </c>
      <c r="J129" s="48">
        <f t="shared" si="47"/>
        <v>8.0853858157985143E-3</v>
      </c>
      <c r="K129" s="47">
        <f>8483904.68*FX_RATE</f>
        <v>11650560279.38106</v>
      </c>
      <c r="L129" s="48">
        <f t="shared" si="54"/>
        <v>6.326951689253406E-3</v>
      </c>
      <c r="M129" s="48">
        <f t="shared" si="55"/>
        <v>-0.22475968967106347</v>
      </c>
      <c r="N129" s="49">
        <f t="shared" si="56"/>
        <v>1.8571095025551373E-3</v>
      </c>
      <c r="O129" s="50">
        <f t="shared" si="57"/>
        <v>1.1264827176252526E-2</v>
      </c>
      <c r="P129" s="65">
        <f t="shared" si="58"/>
        <v>2102.5759159221338</v>
      </c>
      <c r="Q129" s="65">
        <f t="shared" si="59"/>
        <v>23.685154317813698</v>
      </c>
      <c r="R129" s="45">
        <f>1.53*FX_RATE</f>
        <v>2101.079385</v>
      </c>
      <c r="S129" s="45">
        <f>1.53*FX_RATE</f>
        <v>2101.079385</v>
      </c>
      <c r="T129" s="45">
        <v>118</v>
      </c>
      <c r="U129" s="45">
        <v>7218033</v>
      </c>
      <c r="V129" s="45">
        <v>5541089</v>
      </c>
    </row>
    <row r="130" spans="1:24" ht="15" customHeight="1">
      <c r="A130" s="77">
        <v>116</v>
      </c>
      <c r="B130" s="43" t="s">
        <v>194</v>
      </c>
      <c r="C130" s="159" t="s">
        <v>328</v>
      </c>
      <c r="D130" s="57">
        <v>53643386120.57</v>
      </c>
      <c r="E130" s="57">
        <v>376745653.00999999</v>
      </c>
      <c r="F130" s="57">
        <v>0</v>
      </c>
      <c r="G130" s="57">
        <v>86672997.5</v>
      </c>
      <c r="H130" s="46">
        <f t="shared" si="46"/>
        <v>290072655.50999999</v>
      </c>
      <c r="I130" s="47">
        <v>52804779150.480003</v>
      </c>
      <c r="J130" s="48">
        <f t="shared" si="47"/>
        <v>2.8409495029499961E-2</v>
      </c>
      <c r="K130" s="47">
        <v>53069362391.529999</v>
      </c>
      <c r="L130" s="48">
        <f t="shared" si="54"/>
        <v>2.8819840761214417E-2</v>
      </c>
      <c r="M130" s="48">
        <f t="shared" si="55"/>
        <v>5.010592702149202E-3</v>
      </c>
      <c r="N130" s="49">
        <f t="shared" si="56"/>
        <v>1.6332021640009986E-3</v>
      </c>
      <c r="O130" s="50">
        <f t="shared" si="57"/>
        <v>5.4659155949515663E-3</v>
      </c>
      <c r="P130" s="65">
        <f t="shared" si="58"/>
        <v>181294.36574112964</v>
      </c>
      <c r="Q130" s="65">
        <f t="shared" si="59"/>
        <v>990.93970098129353</v>
      </c>
      <c r="R130" s="45">
        <f>131.83*C249</f>
        <v>181036.14073500002</v>
      </c>
      <c r="S130" s="45">
        <f>131.86*C249</f>
        <v>181077.33837000001</v>
      </c>
      <c r="T130" s="45">
        <v>391</v>
      </c>
      <c r="U130" s="45">
        <v>292519.31</v>
      </c>
      <c r="V130" s="45">
        <v>292724.83</v>
      </c>
    </row>
    <row r="131" spans="1:24">
      <c r="A131" s="78">
        <v>117</v>
      </c>
      <c r="B131" s="43" t="s">
        <v>195</v>
      </c>
      <c r="C131" s="159" t="s">
        <v>328</v>
      </c>
      <c r="D131" s="57">
        <v>163259791054.26001</v>
      </c>
      <c r="E131" s="57">
        <v>1157162731.23</v>
      </c>
      <c r="F131" s="57">
        <v>0</v>
      </c>
      <c r="G131" s="57">
        <v>263123339.94999999</v>
      </c>
      <c r="H131" s="46">
        <f t="shared" si="46"/>
        <v>894039391.27999997</v>
      </c>
      <c r="I131" s="47">
        <v>160250914339.42999</v>
      </c>
      <c r="J131" s="48">
        <f t="shared" si="47"/>
        <v>8.6216581673885795E-2</v>
      </c>
      <c r="K131" s="47">
        <v>161762392834.72</v>
      </c>
      <c r="L131" s="48">
        <f t="shared" si="54"/>
        <v>8.7846663169891481E-2</v>
      </c>
      <c r="M131" s="48">
        <f t="shared" si="55"/>
        <v>9.4319492748011543E-3</v>
      </c>
      <c r="N131" s="49">
        <f t="shared" si="56"/>
        <v>1.6266039055124826E-3</v>
      </c>
      <c r="O131" s="50">
        <f t="shared" si="57"/>
        <v>5.5268679920770008E-3</v>
      </c>
      <c r="P131" s="65">
        <f t="shared" si="58"/>
        <v>176954.65998239515</v>
      </c>
      <c r="Q131" s="65">
        <f t="shared" si="59"/>
        <v>978.00504630556873</v>
      </c>
      <c r="R131" s="45">
        <f>315.85*C249</f>
        <v>433742.43382500001</v>
      </c>
      <c r="S131" s="45">
        <f>315.98*C249</f>
        <v>433920.95691000001</v>
      </c>
      <c r="T131" s="45">
        <v>1520</v>
      </c>
      <c r="U131" s="45">
        <v>909689.95</v>
      </c>
      <c r="V131" s="45">
        <v>914145.99</v>
      </c>
    </row>
    <row r="132" spans="1:24">
      <c r="A132" s="77">
        <v>118</v>
      </c>
      <c r="B132" s="58" t="s">
        <v>196</v>
      </c>
      <c r="C132" s="56" t="s">
        <v>197</v>
      </c>
      <c r="D132" s="57">
        <f>1619000*FX_RATE</f>
        <v>2223299035.5</v>
      </c>
      <c r="E132" s="57">
        <f>11589.97*FX_RATE</f>
        <v>15915978.457364999</v>
      </c>
      <c r="F132" s="57">
        <v>0</v>
      </c>
      <c r="G132" s="57">
        <f>1809.88*FX_RATE</f>
        <v>2485425.8544600001</v>
      </c>
      <c r="H132" s="46">
        <f t="shared" si="46"/>
        <v>13430552.602904998</v>
      </c>
      <c r="I132" s="80">
        <v>1936194928.4177239</v>
      </c>
      <c r="J132" s="48">
        <f t="shared" si="47"/>
        <v>1.0416920793906274E-3</v>
      </c>
      <c r="K132" s="47">
        <f>1639401.74*FX_RATE</f>
        <v>2251315816.7628298</v>
      </c>
      <c r="L132" s="48">
        <f t="shared" si="54"/>
        <v>1.2225992628971843E-3</v>
      </c>
      <c r="M132" s="48">
        <f t="shared" si="55"/>
        <v>0.16275266695519419</v>
      </c>
      <c r="N132" s="49">
        <f t="shared" si="56"/>
        <v>1.1039880926318891E-3</v>
      </c>
      <c r="O132" s="50">
        <f t="shared" si="57"/>
        <v>5.9656457361085876E-3</v>
      </c>
      <c r="P132" s="65">
        <f t="shared" si="58"/>
        <v>171372.29366055154</v>
      </c>
      <c r="Q132" s="65">
        <f t="shared" si="59"/>
        <v>1022.346392963218</v>
      </c>
      <c r="R132" s="45">
        <f>1*FX_RATE</f>
        <v>1373.2545</v>
      </c>
      <c r="S132" s="45">
        <f>1*FX_RATE</f>
        <v>1373.2545</v>
      </c>
      <c r="T132" s="45">
        <v>16</v>
      </c>
      <c r="U132" s="45">
        <v>13132.38</v>
      </c>
      <c r="V132" s="45">
        <v>13136.988300000001</v>
      </c>
    </row>
    <row r="133" spans="1:24" s="36" customFormat="1">
      <c r="A133" s="78">
        <v>119</v>
      </c>
      <c r="B133" s="58" t="s">
        <v>198</v>
      </c>
      <c r="C133" s="56" t="s">
        <v>199</v>
      </c>
      <c r="D133" s="57">
        <f>202392.65*FX_RATE</f>
        <v>277936617.37942499</v>
      </c>
      <c r="E133" s="57">
        <f>507.5*FX_RATE</f>
        <v>696926.65875000006</v>
      </c>
      <c r="F133" s="57">
        <v>0</v>
      </c>
      <c r="G133" s="57">
        <f>5268.05*FX_RATE</f>
        <v>7234373.3687249999</v>
      </c>
      <c r="H133" s="46">
        <f t="shared" si="46"/>
        <v>-6537446.7099749995</v>
      </c>
      <c r="I133" s="47">
        <v>274562621.379327</v>
      </c>
      <c r="J133" s="48">
        <f t="shared" si="47"/>
        <v>1.4771741408356153E-4</v>
      </c>
      <c r="K133" s="47">
        <f>195142.04*FX_RATE</f>
        <v>267979684.56918001</v>
      </c>
      <c r="L133" s="48">
        <f t="shared" si="54"/>
        <v>1.4552901125031921E-4</v>
      </c>
      <c r="M133" s="48">
        <f t="shared" si="55"/>
        <v>-2.3976085226299654E-2</v>
      </c>
      <c r="N133" s="49">
        <f t="shared" si="56"/>
        <v>2.6995976879200401E-2</v>
      </c>
      <c r="O133" s="50">
        <f t="shared" si="57"/>
        <v>-2.4395307131154308E-2</v>
      </c>
      <c r="P133" s="65">
        <f t="shared" si="58"/>
        <v>183598.02998710607</v>
      </c>
      <c r="Q133" s="65">
        <f t="shared" si="59"/>
        <v>-4478.9303302103317</v>
      </c>
      <c r="R133" s="45">
        <f>146.1247*FX_RATE</f>
        <v>200666.40183614998</v>
      </c>
      <c r="S133" s="45">
        <f>146.1247*FX_RATE</f>
        <v>200666.40183614998</v>
      </c>
      <c r="T133" s="45">
        <v>11</v>
      </c>
      <c r="U133" s="45">
        <v>1377.19</v>
      </c>
      <c r="V133" s="45">
        <v>1459.6</v>
      </c>
      <c r="W133" s="35"/>
      <c r="X133" s="35"/>
    </row>
    <row r="134" spans="1:24" s="36" customFormat="1">
      <c r="A134" s="77">
        <v>120</v>
      </c>
      <c r="B134" s="162" t="s">
        <v>321</v>
      </c>
      <c r="C134" s="154" t="s">
        <v>322</v>
      </c>
      <c r="D134" s="57">
        <f>37184.67*FX_RATE</f>
        <v>51064015.408514999</v>
      </c>
      <c r="E134" s="57">
        <f>197.66*FX_RATE</f>
        <v>271437.48447000002</v>
      </c>
      <c r="F134" s="57">
        <v>0</v>
      </c>
      <c r="G134" s="57">
        <f>159.96*FX_RATE</f>
        <v>219665.78982000001</v>
      </c>
      <c r="H134" s="46">
        <f t="shared" si="46"/>
        <v>51771.694650000019</v>
      </c>
      <c r="I134" s="47">
        <v>34476258.250707999</v>
      </c>
      <c r="J134" s="48">
        <f t="shared" si="47"/>
        <v>1.8548568958465999E-5</v>
      </c>
      <c r="K134" s="47">
        <f>37192.6*FX_RATE</f>
        <v>51074905.316699997</v>
      </c>
      <c r="L134" s="48">
        <f t="shared" si="54"/>
        <v>2.7736731171963876E-5</v>
      </c>
      <c r="M134" s="48">
        <f t="shared" si="55"/>
        <v>0.48145152369170258</v>
      </c>
      <c r="N134" s="49">
        <f t="shared" si="56"/>
        <v>4.3008555465334506E-3</v>
      </c>
      <c r="O134" s="50">
        <f t="shared" si="57"/>
        <v>1.0136424987766388E-3</v>
      </c>
      <c r="P134" s="65">
        <f t="shared" si="58"/>
        <v>1373.2711154558151</v>
      </c>
      <c r="Q134" s="65">
        <f t="shared" si="59"/>
        <v>1.3920059649684144</v>
      </c>
      <c r="R134" s="45">
        <f>100*FX_RATE</f>
        <v>137325.45000000001</v>
      </c>
      <c r="S134" s="45">
        <f>100*FX_RATE</f>
        <v>137325.45000000001</v>
      </c>
      <c r="T134" s="45">
        <v>3</v>
      </c>
      <c r="U134" s="45">
        <v>25000</v>
      </c>
      <c r="V134" s="45">
        <v>37192.15</v>
      </c>
      <c r="W134" s="35"/>
      <c r="X134" s="35"/>
    </row>
    <row r="135" spans="1:24" ht="13.95" customHeight="1">
      <c r="A135" s="78">
        <v>121</v>
      </c>
      <c r="B135" s="44" t="s">
        <v>200</v>
      </c>
      <c r="C135" s="44" t="s">
        <v>201</v>
      </c>
      <c r="D135" s="57">
        <v>40111909648.370003</v>
      </c>
      <c r="E135" s="57">
        <v>319720055.25</v>
      </c>
      <c r="F135" s="57">
        <v>26089254.18</v>
      </c>
      <c r="G135" s="57">
        <v>81170585.969999999</v>
      </c>
      <c r="H135" s="46">
        <f t="shared" si="46"/>
        <v>264638723.46000001</v>
      </c>
      <c r="I135" s="47">
        <v>42202329120.57</v>
      </c>
      <c r="J135" s="48">
        <f t="shared" si="47"/>
        <v>2.2705271732459398E-2</v>
      </c>
      <c r="K135" s="47">
        <v>42518354972.18</v>
      </c>
      <c r="L135" s="48">
        <f t="shared" si="54"/>
        <v>2.3090012099383904E-2</v>
      </c>
      <c r="M135" s="48">
        <f t="shared" si="55"/>
        <v>7.4883509558709462E-3</v>
      </c>
      <c r="N135" s="49">
        <f t="shared" si="56"/>
        <v>1.9090716473652467E-3</v>
      </c>
      <c r="O135" s="50">
        <f t="shared" si="57"/>
        <v>6.2241054159586987E-3</v>
      </c>
      <c r="P135" s="65">
        <f t="shared" si="58"/>
        <v>147193.13085594802</v>
      </c>
      <c r="Q135" s="65">
        <f t="shared" si="59"/>
        <v>916.14556295242346</v>
      </c>
      <c r="R135" s="45">
        <v>147186.74</v>
      </c>
      <c r="S135" s="45">
        <v>147186.74</v>
      </c>
      <c r="T135" s="45">
        <v>938</v>
      </c>
      <c r="U135" s="45">
        <v>288168</v>
      </c>
      <c r="V135" s="45">
        <v>288861</v>
      </c>
    </row>
    <row r="136" spans="1:24" ht="13.95" customHeight="1">
      <c r="A136" s="77">
        <v>122</v>
      </c>
      <c r="B136" s="44" t="s">
        <v>202</v>
      </c>
      <c r="C136" s="44" t="s">
        <v>48</v>
      </c>
      <c r="D136" s="57">
        <f>2014525.79*FX_RATE</f>
        <v>2766456606.4835548</v>
      </c>
      <c r="E136" s="57">
        <f>70037.62*FX_RATE</f>
        <v>96179476.834289998</v>
      </c>
      <c r="F136" s="57">
        <v>0</v>
      </c>
      <c r="G136" s="57">
        <f>2695.6*FX_RATE</f>
        <v>3701744.8301999997</v>
      </c>
      <c r="H136" s="46">
        <f t="shared" ref="H136:H137" si="60">(E136+F136)-G136</f>
        <v>92477732.004089996</v>
      </c>
      <c r="I136" s="47">
        <v>2776564963.4385738</v>
      </c>
      <c r="J136" s="48">
        <f t="shared" si="47"/>
        <v>1.4938194950707387E-3</v>
      </c>
      <c r="K136" s="47">
        <f>2015254.65*FX_RATE</f>
        <v>2767457516.7584248</v>
      </c>
      <c r="L136" s="48">
        <f t="shared" si="54"/>
        <v>1.5028951046740522E-3</v>
      </c>
      <c r="M136" s="48">
        <f t="shared" si="55"/>
        <v>-3.2801129453388219E-3</v>
      </c>
      <c r="N136" s="49">
        <f t="shared" si="56"/>
        <v>1.3375977075651456E-3</v>
      </c>
      <c r="O136" s="50">
        <f t="shared" si="57"/>
        <v>3.3416134283575531E-2</v>
      </c>
      <c r="P136" s="65">
        <f t="shared" si="58"/>
        <v>703292.88862984115</v>
      </c>
      <c r="Q136" s="65">
        <f t="shared" si="59"/>
        <v>23501.329607138501</v>
      </c>
      <c r="R136" s="45">
        <f>163.39*FX_RATE</f>
        <v>224376.05275499998</v>
      </c>
      <c r="S136" s="45">
        <f>169.675*FX_RATE</f>
        <v>233006.95728750003</v>
      </c>
      <c r="T136" s="45">
        <v>52</v>
      </c>
      <c r="U136" s="45">
        <v>12606.06</v>
      </c>
      <c r="V136" s="45">
        <v>3935</v>
      </c>
    </row>
    <row r="137" spans="1:24">
      <c r="A137" s="78">
        <v>123</v>
      </c>
      <c r="B137" s="44" t="s">
        <v>203</v>
      </c>
      <c r="C137" s="44" t="s">
        <v>55</v>
      </c>
      <c r="D137" s="57">
        <f>102162837*FX_RATE</f>
        <v>140295575643.01651</v>
      </c>
      <c r="E137" s="57">
        <f>683965*FX_RATE</f>
        <v>939258014.09249997</v>
      </c>
      <c r="F137" s="57">
        <v>0</v>
      </c>
      <c r="G137" s="57">
        <f>161093*FX_RATE</f>
        <v>221221687.16850001</v>
      </c>
      <c r="H137" s="46">
        <f t="shared" si="60"/>
        <v>718036326.92400002</v>
      </c>
      <c r="I137" s="47">
        <v>156660030979.7973</v>
      </c>
      <c r="J137" s="48">
        <f t="shared" si="47"/>
        <v>8.4284650803267386E-2</v>
      </c>
      <c r="K137" s="47">
        <f>111455867*FX_RATE</f>
        <v>153057270909.15149</v>
      </c>
      <c r="L137" s="48">
        <f t="shared" si="54"/>
        <v>8.3119260834605802E-2</v>
      </c>
      <c r="M137" s="48">
        <f t="shared" si="55"/>
        <v>-2.2997314938041986E-2</v>
      </c>
      <c r="N137" s="49">
        <f t="shared" si="56"/>
        <v>1.4453523563725903E-3</v>
      </c>
      <c r="O137" s="50">
        <f t="shared" si="57"/>
        <v>4.6912918455876357E-3</v>
      </c>
      <c r="P137" s="65">
        <f t="shared" si="58"/>
        <v>173756.89506711828</v>
      </c>
      <c r="Q137" s="65">
        <f t="shared" si="59"/>
        <v>815.14430494299847</v>
      </c>
      <c r="R137" s="45">
        <f>126.53*FX_RATE</f>
        <v>173757.89188499999</v>
      </c>
      <c r="S137" s="45">
        <f>126.53*FX_RATE</f>
        <v>173757.89188499999</v>
      </c>
      <c r="T137" s="45">
        <v>978</v>
      </c>
      <c r="U137" s="45">
        <v>896730</v>
      </c>
      <c r="V137" s="45">
        <v>880870.2</v>
      </c>
    </row>
    <row r="138" spans="1:24" ht="5.7" customHeight="1">
      <c r="A138" s="169"/>
      <c r="B138" s="169"/>
      <c r="C138" s="169"/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</row>
    <row r="139" spans="1:24" ht="13.95" customHeight="1">
      <c r="A139" s="178" t="s">
        <v>204</v>
      </c>
      <c r="B139" s="179"/>
      <c r="C139" s="179"/>
      <c r="D139" s="179"/>
      <c r="E139" s="179"/>
      <c r="F139" s="179"/>
      <c r="G139" s="179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  <c r="U139" s="179"/>
      <c r="V139" s="180"/>
    </row>
    <row r="140" spans="1:24">
      <c r="A140" s="81">
        <v>124</v>
      </c>
      <c r="B140" s="70" t="s">
        <v>205</v>
      </c>
      <c r="C140" s="45" t="s">
        <v>66</v>
      </c>
      <c r="D140" s="82">
        <f>204000*FX_RATE</f>
        <v>280143918</v>
      </c>
      <c r="E140" s="45">
        <f>1476.38*FX_RATE</f>
        <v>2027445.4787100002</v>
      </c>
      <c r="F140" s="45">
        <v>0</v>
      </c>
      <c r="G140" s="45">
        <f>568.72*FX_RATE</f>
        <v>780997.29924000008</v>
      </c>
      <c r="H140" s="46">
        <f>(E140+F140)-G140</f>
        <v>1246448.1794700001</v>
      </c>
      <c r="I140" s="45">
        <v>462603758.32316202</v>
      </c>
      <c r="J140" s="48">
        <f t="shared" ref="J140:J159" si="61">(I140/$I$160)</f>
        <v>2.4888541120979968E-4</v>
      </c>
      <c r="K140" s="45">
        <f>349734.35*FX_RATE</f>
        <v>480274269.94207495</v>
      </c>
      <c r="L140" s="48">
        <f t="shared" ref="L140" si="62">(K140/$K$160)</f>
        <v>2.6081768006408598E-4</v>
      </c>
      <c r="M140" s="48">
        <f t="shared" ref="M140:M160" si="63">((K140-I140)/I140)</f>
        <v>3.8197942193476109E-2</v>
      </c>
      <c r="N140" s="49">
        <f t="shared" ref="N140" si="64">(G140/K140)</f>
        <v>1.626148532450416E-3</v>
      </c>
      <c r="O140" s="50">
        <f t="shared" ref="O140" si="65">H140/K140</f>
        <v>2.5952841063510063E-3</v>
      </c>
      <c r="P140" s="51">
        <f t="shared" ref="P140" si="66">K140/V140</f>
        <v>1410.1119809921959</v>
      </c>
      <c r="Q140" s="51">
        <f t="shared" ref="Q140" si="67">H140/V140</f>
        <v>3.6596412124441784</v>
      </c>
      <c r="R140" s="45">
        <f>1.01*FX_RATE</f>
        <v>1386.9870450000001</v>
      </c>
      <c r="S140" s="45">
        <f>1.01*FX_RATE</f>
        <v>1386.9870450000001</v>
      </c>
      <c r="T140" s="45">
        <v>39</v>
      </c>
      <c r="U140" s="57">
        <v>333672</v>
      </c>
      <c r="V140" s="57">
        <v>340593</v>
      </c>
    </row>
    <row r="141" spans="1:24">
      <c r="A141" s="81">
        <v>125</v>
      </c>
      <c r="B141" s="70" t="s">
        <v>206</v>
      </c>
      <c r="C141" s="45" t="s">
        <v>73</v>
      </c>
      <c r="D141" s="83">
        <f>976559.2*FX_RATE</f>
        <v>1341064315.9164</v>
      </c>
      <c r="E141" s="45">
        <f>9629.63*FX_RATE</f>
        <v>13223932.730834998</v>
      </c>
      <c r="F141" s="45">
        <v>0</v>
      </c>
      <c r="G141" s="45">
        <f>2106.54*FX_RATE</f>
        <v>2892815.53443</v>
      </c>
      <c r="H141" s="46">
        <f>(E141+F141)-G141</f>
        <v>10331117.196404997</v>
      </c>
      <c r="I141" s="45">
        <v>1601963007.614682</v>
      </c>
      <c r="J141" s="48">
        <f t="shared" si="61"/>
        <v>8.618719902715173E-4</v>
      </c>
      <c r="K141" s="67">
        <f>1044859.85*FX_RATE</f>
        <v>1434858490.881825</v>
      </c>
      <c r="L141" s="48">
        <f t="shared" ref="L141:L159" si="68">(K141/$K$160)</f>
        <v>7.7921405795315472E-4</v>
      </c>
      <c r="M141" s="48">
        <f t="shared" ref="M141:M159" si="69">((K141-I141)/I141)</f>
        <v>-0.10431234425423787</v>
      </c>
      <c r="N141" s="49">
        <f t="shared" ref="N141:N159" si="70">(G141/K141)</f>
        <v>2.0160981398605754E-3</v>
      </c>
      <c r="O141" s="50">
        <f t="shared" ref="O141:O159" si="71">H141/K141</f>
        <v>7.2000948261147163E-3</v>
      </c>
      <c r="P141" s="51">
        <f t="shared" ref="P141:P159" si="72">K141/V141</f>
        <v>160930.74146274393</v>
      </c>
      <c r="Q141" s="51">
        <f t="shared" ref="Q141:Q159" si="73">H141/V141</f>
        <v>1158.7165989687076</v>
      </c>
      <c r="R141" s="45">
        <f>117.19*FX_RATE</f>
        <v>160931.69485500001</v>
      </c>
      <c r="S141" s="45">
        <f>117.19*FX_RATE</f>
        <v>160931.69485500001</v>
      </c>
      <c r="T141" s="45">
        <v>29</v>
      </c>
      <c r="U141" s="84">
        <v>8918</v>
      </c>
      <c r="V141" s="84">
        <v>8916</v>
      </c>
    </row>
    <row r="142" spans="1:24">
      <c r="A142" s="81">
        <v>126</v>
      </c>
      <c r="B142" s="70" t="s">
        <v>207</v>
      </c>
      <c r="C142" s="45" t="s">
        <v>30</v>
      </c>
      <c r="D142" s="82">
        <f>10502133.4*FX_RATE</f>
        <v>14422101951.150301</v>
      </c>
      <c r="E142" s="45">
        <f>9629.63*FX_RATE</f>
        <v>13223932.730834998</v>
      </c>
      <c r="F142" s="45">
        <v>0</v>
      </c>
      <c r="G142" s="45">
        <f>23353.11*FX_RATE</f>
        <v>32069763.396495</v>
      </c>
      <c r="H142" s="46">
        <f t="shared" ref="H142:H159" si="74">(E142+F142)-G142</f>
        <v>-18845830.665660001</v>
      </c>
      <c r="I142" s="45">
        <v>28026134282.111324</v>
      </c>
      <c r="J142" s="48">
        <f t="shared" si="61"/>
        <v>1.507833827530557E-2</v>
      </c>
      <c r="K142" s="45">
        <f>20349276.13*FX_RATE</f>
        <v>27944735017.265083</v>
      </c>
      <c r="L142" s="48">
        <f t="shared" si="68"/>
        <v>1.5175664018161446E-2</v>
      </c>
      <c r="M142" s="48">
        <f t="shared" si="69"/>
        <v>-2.904405724559629E-3</v>
      </c>
      <c r="N142" s="49">
        <f t="shared" si="70"/>
        <v>1.1476137947517252E-3</v>
      </c>
      <c r="O142" s="50">
        <f t="shared" si="71"/>
        <v>-6.7439647053430603E-4</v>
      </c>
      <c r="P142" s="51">
        <f t="shared" si="72"/>
        <v>189933.62636833254</v>
      </c>
      <c r="Q142" s="51">
        <f t="shared" si="73"/>
        <v>-128.09056725858508</v>
      </c>
      <c r="R142" s="45">
        <f>137.6176*FX_RATE</f>
        <v>188983.98847920002</v>
      </c>
      <c r="S142" s="45">
        <f>139.0007*FX_RATE</f>
        <v>190883.33677815</v>
      </c>
      <c r="T142" s="45">
        <v>683</v>
      </c>
      <c r="U142" s="57">
        <v>147915.57999999999</v>
      </c>
      <c r="V142" s="57">
        <v>147128.95000000001</v>
      </c>
    </row>
    <row r="143" spans="1:24">
      <c r="A143" s="81">
        <v>127</v>
      </c>
      <c r="B143" s="70" t="s">
        <v>208</v>
      </c>
      <c r="C143" s="70" t="s">
        <v>146</v>
      </c>
      <c r="D143" s="82">
        <f>438523.62*FX_RATE</f>
        <v>602204534.52128994</v>
      </c>
      <c r="E143" s="45">
        <f>27485.64*FX_RATE</f>
        <v>37744778.81538</v>
      </c>
      <c r="F143" s="45">
        <v>0</v>
      </c>
      <c r="G143" s="45">
        <f>2016.43*FX_RATE</f>
        <v>2769071.5714350003</v>
      </c>
      <c r="H143" s="46">
        <f t="shared" ref="H143" si="75">(E143+F143)-G143</f>
        <v>34975707.243945003</v>
      </c>
      <c r="I143" s="45">
        <v>575199251.22412395</v>
      </c>
      <c r="J143" s="48">
        <f t="shared" si="61"/>
        <v>3.0946290338713228E-4</v>
      </c>
      <c r="K143" s="45">
        <f>437286.64*FX_RATE</f>
        <v>600505846.16988003</v>
      </c>
      <c r="L143" s="48">
        <f t="shared" si="68"/>
        <v>3.2611062358564195E-4</v>
      </c>
      <c r="M143" s="48">
        <f t="shared" si="69"/>
        <v>4.3996223729254248E-2</v>
      </c>
      <c r="N143" s="49">
        <f t="shared" si="70"/>
        <v>4.6112316626000741E-3</v>
      </c>
      <c r="O143" s="50">
        <f t="shared" si="71"/>
        <v>5.8243741450687815E-2</v>
      </c>
      <c r="P143" s="51">
        <f t="shared" si="72"/>
        <v>144526.07609383395</v>
      </c>
      <c r="Q143" s="51">
        <f t="shared" si="73"/>
        <v>8417.7394088916972</v>
      </c>
      <c r="R143" s="45">
        <f>105.24*FX_RATE</f>
        <v>144521.30358000001</v>
      </c>
      <c r="S143" s="45">
        <f>105.24*FX_RATE</f>
        <v>144521.30358000001</v>
      </c>
      <c r="T143" s="45">
        <v>18</v>
      </c>
      <c r="U143" s="57">
        <v>4045</v>
      </c>
      <c r="V143" s="57">
        <v>4155</v>
      </c>
    </row>
    <row r="144" spans="1:24" ht="14.1" customHeight="1">
      <c r="A144" s="81">
        <v>128</v>
      </c>
      <c r="B144" s="86" t="s">
        <v>209</v>
      </c>
      <c r="C144" s="70" t="s">
        <v>82</v>
      </c>
      <c r="D144" s="82">
        <f>12625937*C249</f>
        <v>17338624801.966499</v>
      </c>
      <c r="E144" s="45">
        <f>86430.88*C249</f>
        <v>118691594.89896001</v>
      </c>
      <c r="F144" s="45">
        <v>0</v>
      </c>
      <c r="G144" s="45">
        <f>22392.3*C249</f>
        <v>30750326.740350001</v>
      </c>
      <c r="H144" s="46">
        <f t="shared" si="74"/>
        <v>87941268.158610016</v>
      </c>
      <c r="I144" s="45">
        <v>17447552071.193089</v>
      </c>
      <c r="J144" s="48">
        <f t="shared" si="61"/>
        <v>9.3869561016617954E-3</v>
      </c>
      <c r="K144" s="45">
        <f>12822007.86*C249</f>
        <v>17607879992.780369</v>
      </c>
      <c r="L144" s="48">
        <f t="shared" si="68"/>
        <v>9.5621329269163172E-3</v>
      </c>
      <c r="M144" s="48">
        <f t="shared" si="69"/>
        <v>9.1891355837814565E-3</v>
      </c>
      <c r="N144" s="49">
        <f t="shared" si="70"/>
        <v>1.7463957474129954E-3</v>
      </c>
      <c r="O144" s="50">
        <f t="shared" si="71"/>
        <v>4.9944268245051609E-3</v>
      </c>
      <c r="P144" s="51">
        <f t="shared" si="72"/>
        <v>159961.1177075872</v>
      </c>
      <c r="Q144" s="51">
        <f t="shared" si="73"/>
        <v>798.91409715660109</v>
      </c>
      <c r="R144" s="45">
        <f>116.21*FX_RATE</f>
        <v>159585.90544499998</v>
      </c>
      <c r="S144" s="45">
        <f>116.21*FX_RATE</f>
        <v>159585.90544499998</v>
      </c>
      <c r="T144" s="45">
        <v>474</v>
      </c>
      <c r="U144" s="57">
        <v>104347</v>
      </c>
      <c r="V144" s="57">
        <v>110076</v>
      </c>
    </row>
    <row r="145" spans="1:22" ht="14.1" customHeight="1">
      <c r="A145" s="81">
        <v>129</v>
      </c>
      <c r="B145" s="70" t="s">
        <v>210</v>
      </c>
      <c r="C145" s="70" t="s">
        <v>84</v>
      </c>
      <c r="D145" s="82">
        <v>342621162.18000001</v>
      </c>
      <c r="E145" s="45">
        <v>907266.18</v>
      </c>
      <c r="F145" s="45">
        <v>267554.89</v>
      </c>
      <c r="G145" s="45">
        <v>446241.12</v>
      </c>
      <c r="H145" s="46">
        <f t="shared" si="74"/>
        <v>728579.95000000007</v>
      </c>
      <c r="I145" s="45">
        <v>156699807.41999999</v>
      </c>
      <c r="J145" s="48">
        <f t="shared" si="61"/>
        <v>8.4306050922696143E-5</v>
      </c>
      <c r="K145" s="45">
        <v>338902554.94999999</v>
      </c>
      <c r="L145" s="48">
        <f t="shared" si="68"/>
        <v>1.8404437564500633E-4</v>
      </c>
      <c r="M145" s="48">
        <f t="shared" si="69"/>
        <v>1.1627502964419407</v>
      </c>
      <c r="N145" s="49">
        <f t="shared" si="70"/>
        <v>1.3167239770908077E-3</v>
      </c>
      <c r="O145" s="50">
        <f t="shared" si="71"/>
        <v>2.1498213553081389E-3</v>
      </c>
      <c r="P145" s="51">
        <f t="shared" si="72"/>
        <v>1448.7427023716709</v>
      </c>
      <c r="Q145" s="51">
        <f t="shared" si="73"/>
        <v>3.1145379999054419</v>
      </c>
      <c r="R145" s="45">
        <v>1.0586</v>
      </c>
      <c r="S145" s="45">
        <v>1.0586</v>
      </c>
      <c r="T145" s="45">
        <v>11</v>
      </c>
      <c r="U145" s="57">
        <v>107541.75</v>
      </c>
      <c r="V145" s="57">
        <v>233928.74</v>
      </c>
    </row>
    <row r="146" spans="1:22" ht="15" customHeight="1">
      <c r="A146" s="81">
        <v>130</v>
      </c>
      <c r="B146" s="70" t="s">
        <v>211</v>
      </c>
      <c r="C146" s="45" t="s">
        <v>80</v>
      </c>
      <c r="D146" s="82">
        <f>9894224.59*FX_RATE</f>
        <v>13587288442.228155</v>
      </c>
      <c r="E146" s="45">
        <f>82864.12*FX_RATE</f>
        <v>113793525.67853999</v>
      </c>
      <c r="F146" s="45">
        <v>0</v>
      </c>
      <c r="G146" s="45">
        <f>12182.5*FX_RATE</f>
        <v>16729672.946250001</v>
      </c>
      <c r="H146" s="46">
        <f t="shared" si="74"/>
        <v>97063852.732289985</v>
      </c>
      <c r="I146" s="45">
        <v>13380568786.070757</v>
      </c>
      <c r="J146" s="48">
        <f t="shared" si="61"/>
        <v>7.1988787480101414E-3</v>
      </c>
      <c r="K146" s="45">
        <f>10412836.95*FX_RATE</f>
        <v>14299475199.353773</v>
      </c>
      <c r="L146" s="48">
        <f t="shared" si="68"/>
        <v>7.7654710673532431E-3</v>
      </c>
      <c r="M146" s="48">
        <f t="shared" si="69"/>
        <v>6.867468999072765E-2</v>
      </c>
      <c r="N146" s="49">
        <f t="shared" si="70"/>
        <v>1.1699501354431564E-3</v>
      </c>
      <c r="O146" s="50">
        <f t="shared" si="71"/>
        <v>6.7879311218831673E-3</v>
      </c>
      <c r="P146" s="51">
        <f t="shared" si="72"/>
        <v>1894.5395329549608</v>
      </c>
      <c r="Q146" s="51">
        <f t="shared" si="73"/>
        <v>12.86000385738298</v>
      </c>
      <c r="R146" s="45">
        <f>1.38*FX_RATE</f>
        <v>1895.0912099999998</v>
      </c>
      <c r="S146" s="45">
        <f>1.38*FX_RATE</f>
        <v>1895.0912099999998</v>
      </c>
      <c r="T146" s="45">
        <v>371</v>
      </c>
      <c r="U146" s="57">
        <v>7104725.9000000004</v>
      </c>
      <c r="V146" s="57">
        <v>7547731.2300000004</v>
      </c>
    </row>
    <row r="147" spans="1:22" ht="15" customHeight="1">
      <c r="A147" s="81">
        <v>131</v>
      </c>
      <c r="B147" s="70" t="s">
        <v>212</v>
      </c>
      <c r="C147" s="45" t="s">
        <v>103</v>
      </c>
      <c r="D147" s="82">
        <v>0</v>
      </c>
      <c r="E147" s="45">
        <f>2759.49*FX_RATE</f>
        <v>3789482.0602049995</v>
      </c>
      <c r="F147" s="45">
        <v>0</v>
      </c>
      <c r="G147" s="45">
        <f>311.72*FX_RATE</f>
        <v>428070.89274000004</v>
      </c>
      <c r="H147" s="46">
        <f t="shared" si="74"/>
        <v>3361411.1674649995</v>
      </c>
      <c r="I147" s="45">
        <v>278624533.28307098</v>
      </c>
      <c r="J147" s="48">
        <f t="shared" si="61"/>
        <v>1.499027629837213E-4</v>
      </c>
      <c r="K147" s="45">
        <f>189894.54*FX_RATE</f>
        <v>260773531.58043</v>
      </c>
      <c r="L147" s="48">
        <f t="shared" si="68"/>
        <v>1.4161563878308431E-4</v>
      </c>
      <c r="M147" s="48">
        <f t="shared" si="69"/>
        <v>-6.4068305444248519E-2</v>
      </c>
      <c r="N147" s="49">
        <f t="shared" si="70"/>
        <v>1.6415427215548169E-3</v>
      </c>
      <c r="O147" s="50">
        <f t="shared" si="71"/>
        <v>1.2890154714295627E-2</v>
      </c>
      <c r="P147" s="51">
        <f t="shared" si="72"/>
        <v>1470.7790143451041</v>
      </c>
      <c r="Q147" s="51">
        <f t="shared" si="73"/>
        <v>18.958569045447621</v>
      </c>
      <c r="R147" s="45">
        <v>1.08</v>
      </c>
      <c r="S147" s="45">
        <v>1.08</v>
      </c>
      <c r="T147" s="45">
        <v>16</v>
      </c>
      <c r="U147" s="57">
        <v>191260</v>
      </c>
      <c r="V147" s="57">
        <v>177303</v>
      </c>
    </row>
    <row r="148" spans="1:22" ht="15" customHeight="1">
      <c r="A148" s="81">
        <v>132</v>
      </c>
      <c r="B148" s="45" t="s">
        <v>213</v>
      </c>
      <c r="C148" s="45" t="s">
        <v>42</v>
      </c>
      <c r="D148" s="82">
        <f>107160747.93*C249</f>
        <v>147158979318.23819</v>
      </c>
      <c r="E148" s="45">
        <f>720476.35*C249</f>
        <v>989397389.781075</v>
      </c>
      <c r="F148" s="45">
        <v>0</v>
      </c>
      <c r="G148" s="45">
        <f>93485.56*C249</f>
        <v>128379465.95502</v>
      </c>
      <c r="H148" s="46">
        <f t="shared" ref="H148" si="76">(E148+F148)-G148</f>
        <v>861017923.82605505</v>
      </c>
      <c r="I148" s="45">
        <v>140606525330.54129</v>
      </c>
      <c r="J148" s="48">
        <f t="shared" si="61"/>
        <v>7.5647705506158944E-2</v>
      </c>
      <c r="K148" s="45">
        <f>106348668*C249</f>
        <v>146043786900.00601</v>
      </c>
      <c r="L148" s="48">
        <f t="shared" si="68"/>
        <v>7.9310519157371029E-2</v>
      </c>
      <c r="M148" s="48">
        <f t="shared" si="69"/>
        <v>3.8670051455170183E-2</v>
      </c>
      <c r="N148" s="49">
        <f t="shared" si="70"/>
        <v>8.7904777519169294E-4</v>
      </c>
      <c r="O148" s="50">
        <f t="shared" si="71"/>
        <v>5.8956148844290174E-3</v>
      </c>
      <c r="P148" s="51">
        <f t="shared" si="72"/>
        <v>137325.45000000001</v>
      </c>
      <c r="Q148" s="51">
        <f t="shared" si="73"/>
        <v>809.61796703091295</v>
      </c>
      <c r="R148" s="45">
        <f>100*C249</f>
        <v>137325.45000000001</v>
      </c>
      <c r="S148" s="45">
        <f>100*C249</f>
        <v>137325.45000000001</v>
      </c>
      <c r="T148" s="45">
        <v>3527</v>
      </c>
      <c r="U148" s="57">
        <v>1022635.23</v>
      </c>
      <c r="V148" s="57">
        <v>1063486.68</v>
      </c>
    </row>
    <row r="149" spans="1:22" ht="15" customHeight="1">
      <c r="A149" s="81">
        <v>133</v>
      </c>
      <c r="B149" s="86" t="s">
        <v>214</v>
      </c>
      <c r="C149" s="70" t="s">
        <v>215</v>
      </c>
      <c r="D149" s="82">
        <f>1219419.68*FX_RATE</f>
        <v>1674573562.94856</v>
      </c>
      <c r="E149" s="45">
        <f>7595.8368*FX_RATE</f>
        <v>10431017.066865601</v>
      </c>
      <c r="F149" s="45">
        <v>0</v>
      </c>
      <c r="G149" s="45">
        <f>2168.22*FX_RATE</f>
        <v>2977517.8719899999</v>
      </c>
      <c r="H149" s="46">
        <f t="shared" si="74"/>
        <v>7453499.1948756007</v>
      </c>
      <c r="I149" s="45">
        <v>1550305666.6278389</v>
      </c>
      <c r="J149" s="48">
        <f t="shared" si="61"/>
        <v>8.3407982835714324E-4</v>
      </c>
      <c r="K149" s="45">
        <f>1185919.01*FX_RATE</f>
        <v>1628568617.1180451</v>
      </c>
      <c r="L149" s="48">
        <f t="shared" si="68"/>
        <v>8.8441025290223168E-4</v>
      </c>
      <c r="M149" s="48">
        <f t="shared" si="69"/>
        <v>5.0482270803047888E-2</v>
      </c>
      <c r="N149" s="49">
        <f t="shared" si="70"/>
        <v>1.8283036039703925E-3</v>
      </c>
      <c r="O149" s="50">
        <f t="shared" si="71"/>
        <v>4.5767179328713185E-3</v>
      </c>
      <c r="P149" s="51">
        <f t="shared" si="72"/>
        <v>1583.1780760503159</v>
      </c>
      <c r="Q149" s="51">
        <f t="shared" si="73"/>
        <v>7.245759491588192</v>
      </c>
      <c r="R149" s="45">
        <f>1.16*FX_RATE</f>
        <v>1592.9752199999998</v>
      </c>
      <c r="S149" s="45">
        <f>1.16*FX_RATE</f>
        <v>1592.9752199999998</v>
      </c>
      <c r="T149" s="45">
        <v>68</v>
      </c>
      <c r="U149" s="57">
        <v>980044.07</v>
      </c>
      <c r="V149" s="57">
        <v>1028670.5215</v>
      </c>
    </row>
    <row r="150" spans="1:22" ht="15" customHeight="1">
      <c r="A150" s="81">
        <v>134</v>
      </c>
      <c r="B150" s="86" t="s">
        <v>216</v>
      </c>
      <c r="C150" s="70" t="s">
        <v>46</v>
      </c>
      <c r="D150" s="82">
        <f>7865357.38*FX_RATE</f>
        <v>10801137416.193211</v>
      </c>
      <c r="E150" s="45">
        <f>44324.12*FX_RATE</f>
        <v>60868297.248540007</v>
      </c>
      <c r="F150" s="45">
        <f>2754.21*FX_RATE</f>
        <v>3782231.276445</v>
      </c>
      <c r="G150" s="45">
        <f>12278.45*FX_RATE</f>
        <v>16861436.715525001</v>
      </c>
      <c r="H150" s="46">
        <f t="shared" si="74"/>
        <v>47789091.809460007</v>
      </c>
      <c r="I150" s="45">
        <v>10712333499.567671</v>
      </c>
      <c r="J150" s="48">
        <f t="shared" si="61"/>
        <v>5.763341693808547E-3</v>
      </c>
      <c r="K150" s="45">
        <f>7831950.07*FX_RATE</f>
        <v>10755260677.402815</v>
      </c>
      <c r="L150" s="48">
        <f t="shared" si="68"/>
        <v>5.8407504085176533E-3</v>
      </c>
      <c r="M150" s="48">
        <f t="shared" si="69"/>
        <v>4.0072667488252212E-3</v>
      </c>
      <c r="N150" s="49">
        <f t="shared" si="70"/>
        <v>1.5677385440737367E-3</v>
      </c>
      <c r="O150" s="50">
        <f t="shared" si="71"/>
        <v>4.4433225044806755E-3</v>
      </c>
      <c r="P150" s="51">
        <f t="shared" si="72"/>
        <v>14646.815386824752</v>
      </c>
      <c r="Q150" s="51">
        <f t="shared" si="73"/>
        <v>65.080524427252257</v>
      </c>
      <c r="R150" s="45">
        <f>10.85*FX_RATE</f>
        <v>14899.811324999999</v>
      </c>
      <c r="S150" s="45">
        <f>10.85*FX_RATE</f>
        <v>14899.811324999999</v>
      </c>
      <c r="T150" s="45">
        <v>170</v>
      </c>
      <c r="U150" s="57">
        <v>724653.92</v>
      </c>
      <c r="V150" s="57">
        <v>734307.11</v>
      </c>
    </row>
    <row r="151" spans="1:22">
      <c r="A151" s="81">
        <v>135</v>
      </c>
      <c r="B151" s="45" t="s">
        <v>217</v>
      </c>
      <c r="C151" s="45" t="s">
        <v>50</v>
      </c>
      <c r="D151" s="87">
        <f>28245459.38*FX_RATE</f>
        <v>38788204198.152206</v>
      </c>
      <c r="E151" s="67">
        <f>185705.46*FX_RATE</f>
        <v>255020858.61956999</v>
      </c>
      <c r="F151" s="67">
        <f>244660.2*FX_RATE</f>
        <v>335980720.62090003</v>
      </c>
      <c r="G151" s="67">
        <f>43696.84*FX_RATE</f>
        <v>60006882.165779993</v>
      </c>
      <c r="H151" s="46">
        <f t="shared" si="74"/>
        <v>530994697.07469004</v>
      </c>
      <c r="I151" s="45">
        <v>32308018368.879734</v>
      </c>
      <c r="J151" s="48">
        <f t="shared" si="61"/>
        <v>1.7382034392152908E-2</v>
      </c>
      <c r="K151" s="67">
        <f>28889047.75*FX_RATE</f>
        <v>39672014823.402374</v>
      </c>
      <c r="L151" s="48">
        <f t="shared" si="68"/>
        <v>2.1544279003236608E-2</v>
      </c>
      <c r="M151" s="48">
        <f t="shared" si="69"/>
        <v>0.22793092322913594</v>
      </c>
      <c r="N151" s="49">
        <f t="shared" si="70"/>
        <v>1.5125746053709921E-3</v>
      </c>
      <c r="O151" s="50">
        <f t="shared" si="71"/>
        <v>1.3384616320556984E-2</v>
      </c>
      <c r="P151" s="51">
        <f t="shared" si="72"/>
        <v>1539.6149079391341</v>
      </c>
      <c r="Q151" s="51">
        <f t="shared" si="73"/>
        <v>20.607154824174973</v>
      </c>
      <c r="R151" s="45">
        <f>1.12*FX_RATE</f>
        <v>1538.0450400000002</v>
      </c>
      <c r="S151" s="45">
        <f>1.13*FX_RATE</f>
        <v>1551.7775849999998</v>
      </c>
      <c r="T151" s="45">
        <v>595</v>
      </c>
      <c r="U151" s="84">
        <v>21134151</v>
      </c>
      <c r="V151" s="84">
        <v>25767492</v>
      </c>
    </row>
    <row r="152" spans="1:22">
      <c r="A152" s="81">
        <v>136</v>
      </c>
      <c r="B152" s="70" t="s">
        <v>218</v>
      </c>
      <c r="C152" s="45" t="s">
        <v>114</v>
      </c>
      <c r="D152" s="82">
        <f>307944*FX_RATE</f>
        <v>422885483.74800003</v>
      </c>
      <c r="E152" s="45">
        <f>8521.75*FX_RATE</f>
        <v>11702531.535375001</v>
      </c>
      <c r="F152" s="45">
        <v>0</v>
      </c>
      <c r="G152" s="45">
        <f>110.2*FX_RATE</f>
        <v>151332.6459</v>
      </c>
      <c r="H152" s="46">
        <f t="shared" si="74"/>
        <v>11551198.889475001</v>
      </c>
      <c r="I152" s="45">
        <v>382190472.35885102</v>
      </c>
      <c r="J152" s="48">
        <f t="shared" si="61"/>
        <v>2.0562226562597643E-4</v>
      </c>
      <c r="K152" s="45">
        <f>304559.24*FX_RATE</f>
        <v>418237346.84657997</v>
      </c>
      <c r="L152" s="48">
        <f t="shared" si="68"/>
        <v>2.2712791700009216E-4</v>
      </c>
      <c r="M152" s="48">
        <f t="shared" si="69"/>
        <v>9.4316517796088267E-2</v>
      </c>
      <c r="N152" s="49">
        <f t="shared" si="70"/>
        <v>3.6183436759298459E-4</v>
      </c>
      <c r="O152" s="50">
        <f t="shared" si="71"/>
        <v>2.7618764743437111E-2</v>
      </c>
      <c r="P152" s="51">
        <f t="shared" si="72"/>
        <v>1742.5467026918316</v>
      </c>
      <c r="Q152" s="51">
        <f t="shared" si="73"/>
        <v>48.12698743609775</v>
      </c>
      <c r="R152" s="45">
        <f>1.26*FX_RATE</f>
        <v>1730.3006700000001</v>
      </c>
      <c r="S152" s="45">
        <f>1.26*FX_RATE</f>
        <v>1730.3006700000001</v>
      </c>
      <c r="T152" s="45">
        <v>2</v>
      </c>
      <c r="U152" s="57">
        <v>240015</v>
      </c>
      <c r="V152" s="57">
        <v>240015</v>
      </c>
    </row>
    <row r="153" spans="1:22">
      <c r="A153" s="81">
        <v>137</v>
      </c>
      <c r="B153" s="70" t="s">
        <v>219</v>
      </c>
      <c r="C153" s="45" t="s">
        <v>119</v>
      </c>
      <c r="D153" s="82">
        <f>438570.47*FX_RATE</f>
        <v>602268871.49461496</v>
      </c>
      <c r="E153" s="45">
        <f>2880.01*FX_RATE</f>
        <v>3954986.6925450005</v>
      </c>
      <c r="F153" s="45">
        <v>0</v>
      </c>
      <c r="G153" s="45">
        <f>3316.65*FX_RATE</f>
        <v>4554604.5374250002</v>
      </c>
      <c r="H153" s="46">
        <f t="shared" si="74"/>
        <v>-599617.84487999976</v>
      </c>
      <c r="I153" s="45">
        <v>771168805.06207502</v>
      </c>
      <c r="J153" s="48">
        <f t="shared" si="61"/>
        <v>4.1489646745577374E-4</v>
      </c>
      <c r="K153" s="45">
        <f>570036.19*FX_RATE</f>
        <v>782804763.08035493</v>
      </c>
      <c r="L153" s="48">
        <f t="shared" si="68"/>
        <v>4.251098487419681E-4</v>
      </c>
      <c r="M153" s="48">
        <f t="shared" si="69"/>
        <v>1.508873017411963E-2</v>
      </c>
      <c r="N153" s="49">
        <f t="shared" si="70"/>
        <v>5.8183147985744563E-3</v>
      </c>
      <c r="O153" s="50">
        <f t="shared" si="71"/>
        <v>-7.659864542986295E-4</v>
      </c>
      <c r="P153" s="51">
        <f t="shared" si="72"/>
        <v>1492.1721542171408</v>
      </c>
      <c r="Q153" s="51">
        <f t="shared" si="73"/>
        <v>-1.1429836576119354</v>
      </c>
      <c r="R153" s="45">
        <f>1.0866*FX_RATE</f>
        <v>1492.1783396999999</v>
      </c>
      <c r="S153" s="45">
        <f>1.0866*FX_RATE</f>
        <v>1492.1783396999999</v>
      </c>
      <c r="T153" s="45">
        <v>16</v>
      </c>
      <c r="U153" s="57">
        <v>516144.29</v>
      </c>
      <c r="V153" s="57">
        <v>524607.54</v>
      </c>
    </row>
    <row r="154" spans="1:22">
      <c r="A154" s="81">
        <v>138</v>
      </c>
      <c r="B154" s="70" t="s">
        <v>220</v>
      </c>
      <c r="C154" s="70" t="s">
        <v>52</v>
      </c>
      <c r="D154" s="82">
        <f>598203991.23*FX_RATE</f>
        <v>821486322874.55811</v>
      </c>
      <c r="E154" s="45">
        <f>3105045.1*FX_RATE</f>
        <v>4264017156.2779503</v>
      </c>
      <c r="F154" s="45">
        <v>0</v>
      </c>
      <c r="G154" s="45">
        <f>1045081.16*FX_RATE</f>
        <v>1435162405.8352201</v>
      </c>
      <c r="H154" s="46">
        <f t="shared" si="74"/>
        <v>2828854750.4427299</v>
      </c>
      <c r="I154" s="45">
        <v>890294557149.10547</v>
      </c>
      <c r="J154" s="48">
        <f t="shared" si="61"/>
        <v>0.47898730385824306</v>
      </c>
      <c r="K154" s="45">
        <f>631151262.38*FX_RATE</f>
        <v>866731311244.01575</v>
      </c>
      <c r="L154" s="48">
        <f t="shared" si="68"/>
        <v>0.47068698863429015</v>
      </c>
      <c r="M154" s="48">
        <f t="shared" si="69"/>
        <v>-2.6466797663622442E-2</v>
      </c>
      <c r="N154" s="49">
        <f t="shared" si="70"/>
        <v>1.6558331136962592E-3</v>
      </c>
      <c r="O154" s="50">
        <f t="shared" si="71"/>
        <v>3.2638197256107974E-3</v>
      </c>
      <c r="P154" s="51">
        <f t="shared" si="72"/>
        <v>2331.6824187013467</v>
      </c>
      <c r="Q154" s="51">
        <f t="shared" si="73"/>
        <v>7.6101910720173498</v>
      </c>
      <c r="R154" s="45">
        <f>1.6979*FX_RATE</f>
        <v>2331.6488155500001</v>
      </c>
      <c r="S154" s="45">
        <f>1.6979*FX_RATE</f>
        <v>2331.6488155500001</v>
      </c>
      <c r="T154" s="45">
        <v>13413</v>
      </c>
      <c r="U154" s="57">
        <v>382571721.33999997</v>
      </c>
      <c r="V154" s="57">
        <v>371719280.58999997</v>
      </c>
    </row>
    <row r="155" spans="1:22">
      <c r="A155" s="81">
        <v>139</v>
      </c>
      <c r="B155" s="70" t="s">
        <v>221</v>
      </c>
      <c r="C155" s="70" t="s">
        <v>126</v>
      </c>
      <c r="D155" s="82">
        <v>526922234.11000001</v>
      </c>
      <c r="E155" s="45">
        <v>12931070.59</v>
      </c>
      <c r="F155" s="45">
        <v>4639250.51</v>
      </c>
      <c r="G155" s="45">
        <v>10337350.27</v>
      </c>
      <c r="H155" s="46">
        <f t="shared" si="74"/>
        <v>7232970.8300000019</v>
      </c>
      <c r="I155" s="45">
        <v>563005257.17999995</v>
      </c>
      <c r="J155" s="48">
        <f t="shared" si="61"/>
        <v>3.0290241362163073E-4</v>
      </c>
      <c r="K155" s="45">
        <v>669383113.36000001</v>
      </c>
      <c r="L155" s="48">
        <f t="shared" si="68"/>
        <v>3.6351510298831315E-4</v>
      </c>
      <c r="M155" s="48">
        <f t="shared" si="69"/>
        <v>0.18894647043409349</v>
      </c>
      <c r="N155" s="49">
        <f t="shared" si="70"/>
        <v>1.5443099868640521E-2</v>
      </c>
      <c r="O155" s="50">
        <f t="shared" si="71"/>
        <v>1.0805427692511938E-2</v>
      </c>
      <c r="P155" s="51">
        <f t="shared" si="72"/>
        <v>160593.13799926467</v>
      </c>
      <c r="Q155" s="51">
        <f t="shared" si="73"/>
        <v>1735.2775405646457</v>
      </c>
      <c r="R155" s="45">
        <v>160849.1925</v>
      </c>
      <c r="S155" s="45">
        <v>160849.28</v>
      </c>
      <c r="T155" s="45">
        <v>2</v>
      </c>
      <c r="U155" s="57">
        <v>4168.1899999999996</v>
      </c>
      <c r="V155" s="57">
        <v>4168.1925000000001</v>
      </c>
    </row>
    <row r="156" spans="1:22">
      <c r="A156" s="81">
        <v>140</v>
      </c>
      <c r="B156" s="70" t="s">
        <v>222</v>
      </c>
      <c r="C156" s="70" t="s">
        <v>55</v>
      </c>
      <c r="D156" s="82">
        <f>72093744*FX_RATE</f>
        <v>99003058369.848007</v>
      </c>
      <c r="E156" s="45">
        <f>1002420*FX_RATE</f>
        <v>1376577775.8900001</v>
      </c>
      <c r="F156" s="45">
        <v>0</v>
      </c>
      <c r="G156" s="45">
        <f>262271*FX_RATE</f>
        <v>360164830.96950001</v>
      </c>
      <c r="H156" s="46">
        <f t="shared" si="74"/>
        <v>1016412944.9205</v>
      </c>
      <c r="I156" s="45">
        <v>186423597508.32788</v>
      </c>
      <c r="J156" s="48">
        <f t="shared" si="61"/>
        <v>0.10029774486323553</v>
      </c>
      <c r="K156" s="45">
        <f>132688768*FX_RATE</f>
        <v>182215447755.45599</v>
      </c>
      <c r="L156" s="48">
        <f t="shared" si="68"/>
        <v>9.8953896408293121E-2</v>
      </c>
      <c r="M156" s="48">
        <f t="shared" si="69"/>
        <v>-2.2573053031464545E-2</v>
      </c>
      <c r="N156" s="49">
        <f t="shared" si="70"/>
        <v>1.976587799805331E-3</v>
      </c>
      <c r="O156" s="50">
        <f t="shared" si="71"/>
        <v>5.578083293380191E-3</v>
      </c>
      <c r="P156" s="51">
        <f t="shared" si="72"/>
        <v>1753.2059158514453</v>
      </c>
      <c r="Q156" s="51">
        <f t="shared" si="73"/>
        <v>9.7795286290662631</v>
      </c>
      <c r="R156" s="45">
        <f>1.28*FX_RATE</f>
        <v>1757.76576</v>
      </c>
      <c r="S156" s="45">
        <f>1.28*FX_RATE</f>
        <v>1757.76576</v>
      </c>
      <c r="T156" s="45">
        <v>431</v>
      </c>
      <c r="U156" s="57">
        <v>106661494.08</v>
      </c>
      <c r="V156" s="57">
        <v>103932713.27</v>
      </c>
    </row>
    <row r="157" spans="1:22">
      <c r="A157" s="81">
        <v>141</v>
      </c>
      <c r="B157" s="70" t="s">
        <v>223</v>
      </c>
      <c r="C157" s="45" t="s">
        <v>121</v>
      </c>
      <c r="D157" s="82">
        <f>1407521.54*FX_RATE</f>
        <v>1932885288.6519301</v>
      </c>
      <c r="E157" s="45">
        <f>9015.35*FX_RATE</f>
        <v>12380369.956575001</v>
      </c>
      <c r="F157" s="45">
        <v>0</v>
      </c>
      <c r="G157" s="45">
        <f>2374.19*FX_RATE</f>
        <v>3260367.1013549999</v>
      </c>
      <c r="H157" s="46">
        <f t="shared" ref="H157:H158" si="77">(E157+F157)-G157</f>
        <v>9120002.8552200012</v>
      </c>
      <c r="I157" s="45">
        <v>2049031338.8486679</v>
      </c>
      <c r="J157" s="48">
        <f t="shared" si="61"/>
        <v>1.1023991875890977E-3</v>
      </c>
      <c r="K157" s="45">
        <f>1524253.15*FX_RATE</f>
        <v>2093187497.3766749</v>
      </c>
      <c r="L157" s="48">
        <f t="shared" si="68"/>
        <v>1.1367261191626596E-3</v>
      </c>
      <c r="M157" s="48">
        <f t="shared" si="69"/>
        <v>2.1549772173234782E-2</v>
      </c>
      <c r="N157" s="49">
        <f t="shared" si="70"/>
        <v>1.5576087213597033E-3</v>
      </c>
      <c r="O157" s="50">
        <f t="shared" si="71"/>
        <v>4.3569928000476831E-3</v>
      </c>
      <c r="P157" s="51">
        <f t="shared" si="72"/>
        <v>158591.63073179539</v>
      </c>
      <c r="Q157" s="51">
        <f t="shared" si="73"/>
        <v>690.98259324625349</v>
      </c>
      <c r="R157" s="45">
        <f>116.42*FX_RATE</f>
        <v>159874.28889</v>
      </c>
      <c r="S157" s="45">
        <f>116.42*FX_RATE</f>
        <v>159874.28889</v>
      </c>
      <c r="T157" s="45">
        <v>33</v>
      </c>
      <c r="U157" s="57">
        <v>12881.86</v>
      </c>
      <c r="V157" s="57">
        <v>13198.6</v>
      </c>
    </row>
    <row r="158" spans="1:22">
      <c r="A158" s="81">
        <v>142</v>
      </c>
      <c r="B158" s="70" t="s">
        <v>224</v>
      </c>
      <c r="C158" s="70" t="s">
        <v>133</v>
      </c>
      <c r="D158" s="87">
        <f>4388987.3*FX_RATE</f>
        <v>6027196560.1678495</v>
      </c>
      <c r="E158" s="67">
        <f>25313.06*FX_RATE</f>
        <v>34761273.553770006</v>
      </c>
      <c r="F158" s="67">
        <f>2976*FX_RATE</f>
        <v>4086805.392</v>
      </c>
      <c r="G158" s="67">
        <f>7746.13*FX_RATE</f>
        <v>10637407.880085001</v>
      </c>
      <c r="H158" s="46">
        <f t="shared" si="77"/>
        <v>28210671.065685004</v>
      </c>
      <c r="I158" s="45">
        <v>5900114114.9463463</v>
      </c>
      <c r="J158" s="48">
        <f t="shared" si="61"/>
        <v>3.1743199255578575E-3</v>
      </c>
      <c r="K158" s="67">
        <f>4381460.64*FX_RATE</f>
        <v>6016860540.4528799</v>
      </c>
      <c r="L158" s="48">
        <f t="shared" si="68"/>
        <v>3.2675154711480454E-3</v>
      </c>
      <c r="M158" s="48">
        <f t="shared" si="69"/>
        <v>1.9787147033442636E-2</v>
      </c>
      <c r="N158" s="49">
        <f t="shared" si="70"/>
        <v>1.7679332616348691E-3</v>
      </c>
      <c r="O158" s="50">
        <f t="shared" si="71"/>
        <v>4.6886031138693518E-3</v>
      </c>
      <c r="P158" s="51">
        <f t="shared" si="72"/>
        <v>1632.4629818916155</v>
      </c>
      <c r="Q158" s="51">
        <f t="shared" si="73"/>
        <v>7.6539710201734765</v>
      </c>
      <c r="R158" s="45">
        <f>1.19*FX_RATE</f>
        <v>1634.172855</v>
      </c>
      <c r="S158" s="45">
        <f>1.19*FX_RATE</f>
        <v>1634.172855</v>
      </c>
      <c r="T158" s="45">
        <v>59</v>
      </c>
      <c r="U158" s="84">
        <v>3627026.3</v>
      </c>
      <c r="V158" s="84">
        <v>3685756.19</v>
      </c>
    </row>
    <row r="159" spans="1:22">
      <c r="A159" s="81">
        <v>143</v>
      </c>
      <c r="B159" s="70" t="s">
        <v>225</v>
      </c>
      <c r="C159" s="45" t="s">
        <v>57</v>
      </c>
      <c r="D159" s="82">
        <f>671973.36*FX_RATE</f>
        <v>922790440.50012004</v>
      </c>
      <c r="E159" s="45">
        <f>9431*FX_RATE</f>
        <v>12951163.1895</v>
      </c>
      <c r="F159" s="45">
        <v>0</v>
      </c>
      <c r="G159" s="45">
        <f>2827.86*FX_RATE</f>
        <v>3883371.4703700002</v>
      </c>
      <c r="H159" s="46">
        <f t="shared" si="74"/>
        <v>9067791.7191300001</v>
      </c>
      <c r="I159" s="45">
        <v>1971247727.809124</v>
      </c>
      <c r="J159" s="48">
        <f t="shared" si="61"/>
        <v>1.0605508332023265E-3</v>
      </c>
      <c r="K159" s="45">
        <f>1542361.23*FX_RATE</f>
        <v>2118054499.7230351</v>
      </c>
      <c r="L159" s="48">
        <f t="shared" si="68"/>
        <v>1.1502303900929097E-3</v>
      </c>
      <c r="M159" s="48">
        <f t="shared" si="69"/>
        <v>7.4474034817062024E-2</v>
      </c>
      <c r="N159" s="49">
        <f t="shared" si="70"/>
        <v>1.833461542598552E-3</v>
      </c>
      <c r="O159" s="50">
        <f t="shared" si="71"/>
        <v>4.2811890441514788E-3</v>
      </c>
      <c r="P159" s="51">
        <f t="shared" si="72"/>
        <v>2101.4016273171164</v>
      </c>
      <c r="Q159" s="51">
        <f t="shared" si="73"/>
        <v>8.9964976242321288</v>
      </c>
      <c r="R159" s="45">
        <f>1.5302*FX_RATE</f>
        <v>2101.3540358999999</v>
      </c>
      <c r="S159" s="45">
        <f>1.5302*FX_RATE</f>
        <v>2101.3540358999999</v>
      </c>
      <c r="T159" s="45">
        <v>9</v>
      </c>
      <c r="U159" s="57">
        <v>935596.65</v>
      </c>
      <c r="V159" s="57">
        <v>1007924.65</v>
      </c>
    </row>
    <row r="160" spans="1:22" ht="15" customHeight="1">
      <c r="A160" s="166" t="s">
        <v>60</v>
      </c>
      <c r="B160" s="166"/>
      <c r="C160" s="166"/>
      <c r="D160" s="166"/>
      <c r="E160" s="166"/>
      <c r="F160" s="166"/>
      <c r="G160" s="166"/>
      <c r="H160" s="166"/>
      <c r="I160" s="63">
        <f>SUM(I120:I159)</f>
        <v>1858701785992.6187</v>
      </c>
      <c r="J160" s="61">
        <f>(I160/$I$247)</f>
        <v>0.20932591270077613</v>
      </c>
      <c r="K160" s="63">
        <f>SUM(K120:K159)</f>
        <v>1841417613346.0964</v>
      </c>
      <c r="L160" s="61">
        <f>(K160/$K$247)</f>
        <v>0.20336710649125583</v>
      </c>
      <c r="M160" s="61">
        <f t="shared" si="63"/>
        <v>-9.2990563503934018E-3</v>
      </c>
      <c r="N160" s="49"/>
      <c r="O160" s="49"/>
      <c r="P160" s="62"/>
      <c r="Q160" s="62"/>
      <c r="R160" s="63"/>
      <c r="S160" s="63"/>
      <c r="T160" s="88">
        <f>SUM(T120:T159)</f>
        <v>25866</v>
      </c>
      <c r="U160" s="88"/>
      <c r="V160" s="63"/>
    </row>
    <row r="161" spans="1:22" ht="4.2" customHeight="1">
      <c r="A161" s="175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</row>
    <row r="162" spans="1:22">
      <c r="A162" s="170" t="s">
        <v>226</v>
      </c>
      <c r="B162" s="170"/>
      <c r="C162" s="170"/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</row>
    <row r="163" spans="1:22">
      <c r="A163" s="85">
        <v>144</v>
      </c>
      <c r="B163" s="89" t="s">
        <v>227</v>
      </c>
      <c r="C163" s="90" t="s">
        <v>228</v>
      </c>
      <c r="D163" s="91">
        <v>2659974452.3200002</v>
      </c>
      <c r="E163" s="91">
        <v>50357901.020000003</v>
      </c>
      <c r="F163" s="91">
        <v>0</v>
      </c>
      <c r="G163" s="91">
        <v>6567266.0800000001</v>
      </c>
      <c r="H163" s="46">
        <f t="shared" ref="H163:H168" si="78">(E163+F163)-G163</f>
        <v>43790634.940000005</v>
      </c>
      <c r="I163" s="92">
        <v>2507102931.3400002</v>
      </c>
      <c r="J163" s="48">
        <f>(I163/$I$169)</f>
        <v>4.7582701948165294E-3</v>
      </c>
      <c r="K163" s="92">
        <v>2548097600</v>
      </c>
      <c r="L163" s="48">
        <f>(K163/$K$169)</f>
        <v>4.8282194459642628E-3</v>
      </c>
      <c r="M163" s="48">
        <f t="shared" ref="M163:M169" si="79">((K163-I163)/I163)</f>
        <v>1.6351410286170005E-2</v>
      </c>
      <c r="N163" s="49">
        <f>(G163/K163)</f>
        <v>2.577321245465637E-3</v>
      </c>
      <c r="O163" s="50">
        <f>H163/K163</f>
        <v>1.7185619161526625E-2</v>
      </c>
      <c r="P163" s="51">
        <f>K163/V163</f>
        <v>120.08</v>
      </c>
      <c r="Q163" s="51">
        <f>H163/V163</f>
        <v>2.0636491489161171</v>
      </c>
      <c r="R163" s="91">
        <v>120.08</v>
      </c>
      <c r="S163" s="91">
        <v>120.08</v>
      </c>
      <c r="T163" s="91">
        <v>8</v>
      </c>
      <c r="U163" s="91">
        <v>21220000</v>
      </c>
      <c r="V163" s="91">
        <v>21220000</v>
      </c>
    </row>
    <row r="164" spans="1:22">
      <c r="A164" s="85">
        <v>145</v>
      </c>
      <c r="B164" s="89" t="s">
        <v>229</v>
      </c>
      <c r="C164" s="90" t="s">
        <v>71</v>
      </c>
      <c r="D164" s="91">
        <v>21034587430</v>
      </c>
      <c r="E164" s="91">
        <v>2785402529</v>
      </c>
      <c r="F164" s="91">
        <v>0</v>
      </c>
      <c r="G164" s="91">
        <v>310692970</v>
      </c>
      <c r="H164" s="46">
        <f t="shared" si="78"/>
        <v>2474709559</v>
      </c>
      <c r="I164" s="92">
        <v>262349733400</v>
      </c>
      <c r="J164" s="48">
        <f t="shared" ref="J164:J168" si="80">(I164/$I$169)</f>
        <v>0.49791769673695563</v>
      </c>
      <c r="K164" s="92">
        <v>262349733400</v>
      </c>
      <c r="L164" s="48">
        <f t="shared" ref="L164:L168" si="81">(K164/$K$169)</f>
        <v>0.49710893509158366</v>
      </c>
      <c r="M164" s="48">
        <f t="shared" ref="M164:M168" si="82">((K164-I164)/I164)</f>
        <v>0</v>
      </c>
      <c r="N164" s="49">
        <f t="shared" ref="N164:N168" si="83">(G164/K164)</f>
        <v>1.1842701952598973E-3</v>
      </c>
      <c r="O164" s="50">
        <f t="shared" ref="O164:O168" si="84">H164/K164</f>
        <v>9.4328647753068387E-3</v>
      </c>
      <c r="P164" s="51">
        <f t="shared" ref="P164:P168" si="85">K164/V164</f>
        <v>104.93989336</v>
      </c>
      <c r="Q164" s="51">
        <f t="shared" ref="Q164:Q168" si="86">H164/V164</f>
        <v>0.98988382360000005</v>
      </c>
      <c r="R164" s="91">
        <v>104.93989999999999</v>
      </c>
      <c r="S164" s="91">
        <v>104.93989999999999</v>
      </c>
      <c r="T164" s="91">
        <v>45</v>
      </c>
      <c r="U164" s="91">
        <v>2500000000</v>
      </c>
      <c r="V164" s="91">
        <v>2500000000</v>
      </c>
    </row>
    <row r="165" spans="1:22">
      <c r="A165" s="81">
        <v>146</v>
      </c>
      <c r="B165" s="70" t="s">
        <v>230</v>
      </c>
      <c r="C165" s="70" t="s">
        <v>50</v>
      </c>
      <c r="D165" s="91">
        <v>193212147596</v>
      </c>
      <c r="E165" s="91">
        <v>1305227569</v>
      </c>
      <c r="F165" s="91">
        <v>0</v>
      </c>
      <c r="G165" s="91">
        <v>515668865</v>
      </c>
      <c r="H165" s="46">
        <f t="shared" si="78"/>
        <v>789558704</v>
      </c>
      <c r="I165" s="92">
        <v>190584767677</v>
      </c>
      <c r="J165" s="48">
        <f t="shared" si="80"/>
        <v>0.36171383643144051</v>
      </c>
      <c r="K165" s="92">
        <v>191529618773</v>
      </c>
      <c r="L165" s="48">
        <f t="shared" si="81"/>
        <v>0.36291664410261226</v>
      </c>
      <c r="M165" s="48">
        <f t="shared" si="82"/>
        <v>4.9576422476811915E-3</v>
      </c>
      <c r="N165" s="49">
        <f t="shared" si="83"/>
        <v>2.6923713851859554E-3</v>
      </c>
      <c r="O165" s="50">
        <f t="shared" si="84"/>
        <v>4.1223843552666457E-3</v>
      </c>
      <c r="P165" s="51">
        <f t="shared" si="85"/>
        <v>115.60386480297085</v>
      </c>
      <c r="Q165" s="51">
        <f t="shared" si="86"/>
        <v>0.47656356367212738</v>
      </c>
      <c r="R165" s="91">
        <v>103</v>
      </c>
      <c r="S165" s="91">
        <v>103</v>
      </c>
      <c r="T165" s="91">
        <v>1509</v>
      </c>
      <c r="U165" s="91">
        <v>1656775222</v>
      </c>
      <c r="V165" s="91">
        <v>1656775222</v>
      </c>
    </row>
    <row r="166" spans="1:22">
      <c r="A166" s="81">
        <v>147</v>
      </c>
      <c r="B166" s="70" t="s">
        <v>231</v>
      </c>
      <c r="C166" s="70" t="s">
        <v>168</v>
      </c>
      <c r="D166" s="93">
        <v>6287343703.9200001</v>
      </c>
      <c r="E166" s="93">
        <v>56845541.340000004</v>
      </c>
      <c r="F166" s="91">
        <v>0</v>
      </c>
      <c r="G166" s="93">
        <v>11015616.5</v>
      </c>
      <c r="H166" s="46">
        <f t="shared" si="78"/>
        <v>45829924.840000004</v>
      </c>
      <c r="I166" s="92">
        <v>6614632675.4399996</v>
      </c>
      <c r="J166" s="48">
        <f t="shared" si="80"/>
        <v>1.2554015679118243E-2</v>
      </c>
      <c r="K166" s="94">
        <v>6094462600.2799997</v>
      </c>
      <c r="L166" s="48">
        <f t="shared" si="81"/>
        <v>1.1547988915092507E-2</v>
      </c>
      <c r="M166" s="48">
        <f t="shared" si="82"/>
        <v>-7.8639298761272278E-2</v>
      </c>
      <c r="N166" s="49">
        <f t="shared" si="83"/>
        <v>1.8074795470061473E-3</v>
      </c>
      <c r="O166" s="50">
        <f t="shared" si="84"/>
        <v>7.5199288019085434E-3</v>
      </c>
      <c r="P166" s="51">
        <f t="shared" si="85"/>
        <v>304.72313001399999</v>
      </c>
      <c r="Q166" s="51">
        <f t="shared" si="86"/>
        <v>2.291496242</v>
      </c>
      <c r="R166" s="91">
        <v>418.75</v>
      </c>
      <c r="S166" s="91">
        <v>418.75</v>
      </c>
      <c r="T166" s="91">
        <v>5533</v>
      </c>
      <c r="U166" s="91">
        <v>20000000</v>
      </c>
      <c r="V166" s="91">
        <v>20000000</v>
      </c>
    </row>
    <row r="167" spans="1:22">
      <c r="A167" s="81">
        <v>148</v>
      </c>
      <c r="B167" s="70" t="s">
        <v>232</v>
      </c>
      <c r="C167" s="70" t="s">
        <v>168</v>
      </c>
      <c r="D167" s="93">
        <v>29155102293.919998</v>
      </c>
      <c r="E167" s="93">
        <v>117604636</v>
      </c>
      <c r="F167" s="91">
        <v>0</v>
      </c>
      <c r="G167" s="93">
        <v>39761061.829999998</v>
      </c>
      <c r="H167" s="46">
        <f t="shared" si="78"/>
        <v>77843574.170000002</v>
      </c>
      <c r="I167" s="92">
        <v>28335344031.259998</v>
      </c>
      <c r="J167" s="48">
        <f t="shared" si="80"/>
        <v>5.3778096335180881E-2</v>
      </c>
      <c r="K167" s="94">
        <v>28413187605.43</v>
      </c>
      <c r="L167" s="48">
        <f t="shared" si="81"/>
        <v>5.3838245802816931E-2</v>
      </c>
      <c r="M167" s="48">
        <f t="shared" si="82"/>
        <v>2.7472253057567865E-3</v>
      </c>
      <c r="N167" s="49">
        <f t="shared" si="83"/>
        <v>1.3993875795337135E-3</v>
      </c>
      <c r="O167" s="50">
        <f t="shared" si="84"/>
        <v>2.7396987360588658E-3</v>
      </c>
      <c r="P167" s="51">
        <f t="shared" si="85"/>
        <v>151.03189673637922</v>
      </c>
      <c r="Q167" s="51">
        <f t="shared" si="86"/>
        <v>0.41378189659323134</v>
      </c>
      <c r="R167" s="91">
        <v>84.7</v>
      </c>
      <c r="S167" s="91">
        <v>84.7</v>
      </c>
      <c r="T167" s="91">
        <v>8119</v>
      </c>
      <c r="U167" s="91">
        <v>188127066</v>
      </c>
      <c r="V167" s="91">
        <v>188127066</v>
      </c>
    </row>
    <row r="168" spans="1:22" ht="16.2" customHeight="1">
      <c r="A168" s="155">
        <v>149</v>
      </c>
      <c r="B168" s="70" t="s">
        <v>233</v>
      </c>
      <c r="C168" s="70" t="s">
        <v>168</v>
      </c>
      <c r="D168" s="93">
        <v>39101861176.809998</v>
      </c>
      <c r="E168" s="93">
        <v>394074834.38999999</v>
      </c>
      <c r="F168" s="91">
        <v>0</v>
      </c>
      <c r="G168" s="93">
        <v>80374595.590000004</v>
      </c>
      <c r="H168" s="46">
        <f t="shared" si="78"/>
        <v>313700238.79999995</v>
      </c>
      <c r="I168" s="92">
        <v>36502191326.559998</v>
      </c>
      <c r="J168" s="48">
        <f t="shared" si="80"/>
        <v>6.9278084622488245E-2</v>
      </c>
      <c r="K168" s="94">
        <v>36815891565.360001</v>
      </c>
      <c r="L168" s="48">
        <f t="shared" si="81"/>
        <v>6.9759966641930377E-2</v>
      </c>
      <c r="M168" s="48">
        <f t="shared" si="82"/>
        <v>8.5940111374011169E-3</v>
      </c>
      <c r="N168" s="49">
        <f t="shared" si="83"/>
        <v>2.1831495088828518E-3</v>
      </c>
      <c r="O168" s="50">
        <f t="shared" si="84"/>
        <v>8.5207834297067481E-3</v>
      </c>
      <c r="P168" s="51">
        <f t="shared" si="85"/>
        <v>1.9836180603908065</v>
      </c>
      <c r="Q168" s="51">
        <f t="shared" si="86"/>
        <v>1.6901979899845026E-2</v>
      </c>
      <c r="R168" s="91">
        <v>10.85</v>
      </c>
      <c r="S168" s="91">
        <v>10.85</v>
      </c>
      <c r="T168" s="91">
        <v>215231</v>
      </c>
      <c r="U168" s="93">
        <v>18559969936</v>
      </c>
      <c r="V168" s="93">
        <v>18559969936</v>
      </c>
    </row>
    <row r="169" spans="1:22" ht="15" customHeight="1">
      <c r="A169" s="166" t="s">
        <v>60</v>
      </c>
      <c r="B169" s="166"/>
      <c r="C169" s="166"/>
      <c r="D169" s="166"/>
      <c r="E169" s="166"/>
      <c r="F169" s="166"/>
      <c r="G169" s="166"/>
      <c r="H169" s="166"/>
      <c r="I169" s="63">
        <f>SUM(I163:I168)</f>
        <v>526893772041.59998</v>
      </c>
      <c r="J169" s="61">
        <f>(I169/$I$247)</f>
        <v>5.9338469764294181E-2</v>
      </c>
      <c r="K169" s="63">
        <f>SUM(K163:K168)</f>
        <v>527750991544.07001</v>
      </c>
      <c r="L169" s="61">
        <f>(K169/$K$247)</f>
        <v>5.8285090421819744E-2</v>
      </c>
      <c r="M169" s="61">
        <f t="shared" si="79"/>
        <v>1.6269304135983439E-3</v>
      </c>
      <c r="N169" s="49"/>
      <c r="O169" s="49"/>
      <c r="P169" s="73"/>
      <c r="Q169" s="73"/>
      <c r="R169" s="63"/>
      <c r="S169" s="63"/>
      <c r="T169" s="63">
        <f>SUM(T163:T168)</f>
        <v>230445</v>
      </c>
      <c r="U169" s="63"/>
      <c r="V169" s="63"/>
    </row>
    <row r="170" spans="1:22" ht="4.95" customHeight="1">
      <c r="A170" s="175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</row>
    <row r="171" spans="1:22" ht="13.95" customHeight="1">
      <c r="A171" s="172" t="s">
        <v>234</v>
      </c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4"/>
    </row>
    <row r="172" spans="1:22">
      <c r="A172" s="85">
        <v>150</v>
      </c>
      <c r="B172" s="86" t="s">
        <v>235</v>
      </c>
      <c r="C172" s="70" t="s">
        <v>64</v>
      </c>
      <c r="D172" s="47">
        <v>956045206.65999997</v>
      </c>
      <c r="E172" s="47">
        <v>49025905.880000003</v>
      </c>
      <c r="F172" s="47">
        <v>5514645.4100000001</v>
      </c>
      <c r="G172" s="45">
        <v>1837378.45</v>
      </c>
      <c r="H172" s="46">
        <f>(E172+F172)-G172</f>
        <v>52703172.840000004</v>
      </c>
      <c r="I172" s="45">
        <v>934782260.58000004</v>
      </c>
      <c r="J172" s="48">
        <f t="shared" ref="J172:J201" si="87">(I172/$I$202)</f>
        <v>6.4834622779256015E-3</v>
      </c>
      <c r="K172" s="45">
        <v>977340776.97000003</v>
      </c>
      <c r="L172" s="48">
        <f t="shared" ref="L172" si="88">(K172/$K$202)</f>
        <v>6.2166644589274978E-3</v>
      </c>
      <c r="M172" s="48">
        <f t="shared" ref="M172:M202" si="89">((K172-I172)/I172)</f>
        <v>4.5527732162561473E-2</v>
      </c>
      <c r="N172" s="49">
        <f t="shared" ref="N172" si="90">(G172/K172)</f>
        <v>1.8799772743508473E-3</v>
      </c>
      <c r="O172" s="50">
        <f t="shared" ref="O172" si="91">H172/K172</f>
        <v>5.3925073098242127E-2</v>
      </c>
      <c r="P172" s="51">
        <f t="shared" ref="P172" si="92">K172/V172</f>
        <v>9.8403521032735348</v>
      </c>
      <c r="Q172" s="51">
        <f t="shared" ref="Q172" si="93">H172/V172</f>
        <v>0.53064170648146602</v>
      </c>
      <c r="R172" s="45">
        <v>9.7741000000000007</v>
      </c>
      <c r="S172" s="45">
        <v>9.9482999999999997</v>
      </c>
      <c r="T172" s="45">
        <v>11994</v>
      </c>
      <c r="U172" s="45">
        <v>95732912.739999995</v>
      </c>
      <c r="V172" s="45">
        <v>99319695.75</v>
      </c>
    </row>
    <row r="173" spans="1:22">
      <c r="A173" s="81">
        <v>151</v>
      </c>
      <c r="B173" s="70" t="s">
        <v>236</v>
      </c>
      <c r="C173" s="70" t="s">
        <v>237</v>
      </c>
      <c r="D173" s="47">
        <v>1497657004.1099999</v>
      </c>
      <c r="E173" s="47">
        <v>17284274.649999999</v>
      </c>
      <c r="F173" s="47">
        <v>535836905.67000002</v>
      </c>
      <c r="G173" s="45">
        <v>3623363.58</v>
      </c>
      <c r="H173" s="46">
        <f>(E173+F173)-G173</f>
        <v>549497816.74000001</v>
      </c>
      <c r="I173" s="45">
        <v>2957993405.25</v>
      </c>
      <c r="J173" s="48">
        <f t="shared" si="87"/>
        <v>2.0516048998824352E-2</v>
      </c>
      <c r="K173" s="45">
        <v>3175527363.1599998</v>
      </c>
      <c r="L173" s="48">
        <f t="shared" ref="L173:L201" si="94">(K173/$K$202)</f>
        <v>2.0198879001151599E-2</v>
      </c>
      <c r="M173" s="48">
        <f t="shared" ref="M173:M201" si="95">((K173-I173)/I173)</f>
        <v>7.3541055745394601E-2</v>
      </c>
      <c r="N173" s="49">
        <f t="shared" ref="N173:N201" si="96">(G173/K173)</f>
        <v>1.1410273525070034E-3</v>
      </c>
      <c r="O173" s="50">
        <f t="shared" ref="O173:O201" si="97">H173/K173</f>
        <v>0.17304143655471105</v>
      </c>
      <c r="P173" s="51">
        <f t="shared" ref="P173:P201" si="98">K173/V173</f>
        <v>3221.753076298734</v>
      </c>
      <c r="Q173" s="51">
        <f t="shared" ref="Q173:Q201" si="99">H173/V173</f>
        <v>557.49678054729259</v>
      </c>
      <c r="R173" s="45">
        <v>3075.07</v>
      </c>
      <c r="S173" s="45">
        <v>3096.43</v>
      </c>
      <c r="T173" s="45">
        <v>250</v>
      </c>
      <c r="U173" s="45">
        <v>980661</v>
      </c>
      <c r="V173" s="45">
        <v>985652</v>
      </c>
    </row>
    <row r="174" spans="1:22">
      <c r="A174" s="85">
        <v>152</v>
      </c>
      <c r="B174" s="86" t="s">
        <v>238</v>
      </c>
      <c r="C174" s="45" t="s">
        <v>71</v>
      </c>
      <c r="D174" s="47">
        <v>11238329320</v>
      </c>
      <c r="E174" s="47">
        <v>490175061</v>
      </c>
      <c r="F174" s="47">
        <v>1375455300</v>
      </c>
      <c r="G174" s="45">
        <v>122574345</v>
      </c>
      <c r="H174" s="46">
        <f t="shared" ref="H174:H201" si="100">(E174+F174)-G174</f>
        <v>1743056016</v>
      </c>
      <c r="I174" s="45">
        <v>15308355504</v>
      </c>
      <c r="J174" s="48">
        <f t="shared" si="87"/>
        <v>0.10617568350695579</v>
      </c>
      <c r="K174" s="45">
        <v>15308355504</v>
      </c>
      <c r="L174" s="48">
        <f t="shared" si="94"/>
        <v>9.7373313207482326E-2</v>
      </c>
      <c r="M174" s="48">
        <f t="shared" si="95"/>
        <v>0</v>
      </c>
      <c r="N174" s="49">
        <f t="shared" si="96"/>
        <v>8.0070223720615785E-3</v>
      </c>
      <c r="O174" s="50">
        <f t="shared" si="97"/>
        <v>0.11386304789855108</v>
      </c>
      <c r="P174" s="51">
        <f t="shared" si="98"/>
        <v>1407.5388102251807</v>
      </c>
      <c r="Q174" s="51">
        <f t="shared" si="99"/>
        <v>160.26665896773935</v>
      </c>
      <c r="R174" s="45">
        <v>1400.5011</v>
      </c>
      <c r="S174" s="45">
        <v>1442.7273</v>
      </c>
      <c r="T174" s="45">
        <v>22951</v>
      </c>
      <c r="U174" s="45">
        <v>10412810</v>
      </c>
      <c r="V174" s="45">
        <v>10875974</v>
      </c>
    </row>
    <row r="175" spans="1:22">
      <c r="A175" s="81">
        <v>153</v>
      </c>
      <c r="B175" s="70" t="s">
        <v>239</v>
      </c>
      <c r="C175" s="70" t="s">
        <v>144</v>
      </c>
      <c r="D175" s="95">
        <v>3935532245.7600002</v>
      </c>
      <c r="E175" s="95">
        <v>86176203.239999995</v>
      </c>
      <c r="F175" s="95">
        <v>36524245.469999999</v>
      </c>
      <c r="G175" s="67">
        <v>12109297.43</v>
      </c>
      <c r="H175" s="46">
        <f t="shared" si="100"/>
        <v>110591151.28</v>
      </c>
      <c r="I175" s="45">
        <v>3699645278.98</v>
      </c>
      <c r="J175" s="48">
        <f t="shared" si="87"/>
        <v>2.5659997648104244E-2</v>
      </c>
      <c r="K175" s="67">
        <v>3759728954.7199998</v>
      </c>
      <c r="L175" s="48">
        <f t="shared" si="94"/>
        <v>2.3914865642330505E-2</v>
      </c>
      <c r="M175" s="48">
        <f t="shared" si="95"/>
        <v>1.6240388255969494E-2</v>
      </c>
      <c r="N175" s="49">
        <f t="shared" si="96"/>
        <v>3.2207900026404489E-3</v>
      </c>
      <c r="O175" s="50">
        <f t="shared" si="97"/>
        <v>2.941466063428929E-2</v>
      </c>
      <c r="P175" s="51">
        <f t="shared" si="98"/>
        <v>9.0298093652251321</v>
      </c>
      <c r="Q175" s="51">
        <f t="shared" si="99"/>
        <v>0.26560877807042449</v>
      </c>
      <c r="R175" s="45">
        <v>9.0634999999999994</v>
      </c>
      <c r="S175" s="45">
        <v>9.3036999999999992</v>
      </c>
      <c r="T175" s="45">
        <v>2736</v>
      </c>
      <c r="U175" s="67">
        <v>416336338.83999997</v>
      </c>
      <c r="V175" s="67">
        <v>416368585.72000003</v>
      </c>
    </row>
    <row r="176" spans="1:22">
      <c r="A176" s="85">
        <v>154</v>
      </c>
      <c r="B176" s="86" t="s">
        <v>240</v>
      </c>
      <c r="C176" s="45" t="s">
        <v>32</v>
      </c>
      <c r="D176" s="47">
        <v>3857829518.04</v>
      </c>
      <c r="E176" s="47">
        <v>29700913.600000001</v>
      </c>
      <c r="F176" s="47">
        <v>64463050.509999998</v>
      </c>
      <c r="G176" s="45">
        <v>3826677.15</v>
      </c>
      <c r="H176" s="46">
        <f t="shared" ref="H176" si="101">(E176+F176)-G176</f>
        <v>90337286.959999993</v>
      </c>
      <c r="I176" s="45">
        <v>2813656624.6700001</v>
      </c>
      <c r="J176" s="48">
        <f t="shared" si="87"/>
        <v>1.9514958037141979E-2</v>
      </c>
      <c r="K176" s="45">
        <v>3877051281.8800001</v>
      </c>
      <c r="L176" s="48">
        <f t="shared" si="94"/>
        <v>2.4661128930101445E-2</v>
      </c>
      <c r="M176" s="48">
        <f t="shared" si="95"/>
        <v>0.37794045225213663</v>
      </c>
      <c r="N176" s="49">
        <f t="shared" si="96"/>
        <v>9.8700710199129131E-4</v>
      </c>
      <c r="O176" s="50">
        <f t="shared" si="97"/>
        <v>2.3300513816313265E-2</v>
      </c>
      <c r="P176" s="51">
        <f t="shared" si="98"/>
        <v>1.8254616990783463</v>
      </c>
      <c r="Q176" s="51">
        <f t="shared" si="99"/>
        <v>4.2534195540525697E-2</v>
      </c>
      <c r="R176" s="45">
        <v>1.8021799999999999</v>
      </c>
      <c r="S176" s="45">
        <v>1.8218000000000001</v>
      </c>
      <c r="T176" s="45">
        <v>18</v>
      </c>
      <c r="U176" s="45">
        <v>1518833133.9200001</v>
      </c>
      <c r="V176" s="45">
        <v>2123874351.26</v>
      </c>
    </row>
    <row r="177" spans="1:22">
      <c r="A177" s="81">
        <v>155</v>
      </c>
      <c r="B177" s="70" t="s">
        <v>241</v>
      </c>
      <c r="C177" s="70" t="s">
        <v>80</v>
      </c>
      <c r="D177" s="47">
        <v>11479197880.709999</v>
      </c>
      <c r="E177" s="47">
        <v>85840352.640000001</v>
      </c>
      <c r="F177" s="47">
        <v>3316700801.5300002</v>
      </c>
      <c r="G177" s="45">
        <v>28713424.699999999</v>
      </c>
      <c r="H177" s="46">
        <f t="shared" si="100"/>
        <v>3373827729.4700003</v>
      </c>
      <c r="I177" s="45">
        <v>10301163535</v>
      </c>
      <c r="J177" s="48">
        <f t="shared" si="87"/>
        <v>7.1446804260573038E-2</v>
      </c>
      <c r="K177" s="45">
        <v>11736948914.209999</v>
      </c>
      <c r="L177" s="48">
        <f t="shared" si="94"/>
        <v>7.4656327547721543E-2</v>
      </c>
      <c r="M177" s="48">
        <f t="shared" si="95"/>
        <v>0.139380893656495</v>
      </c>
      <c r="N177" s="49">
        <f t="shared" si="96"/>
        <v>2.4464130252144552E-3</v>
      </c>
      <c r="O177" s="50">
        <f t="shared" si="97"/>
        <v>0.28745355834217573</v>
      </c>
      <c r="P177" s="51">
        <f t="shared" si="98"/>
        <v>14735.884966701611</v>
      </c>
      <c r="Q177" s="51">
        <f t="shared" si="99"/>
        <v>4235.8825689993519</v>
      </c>
      <c r="R177" s="45">
        <v>14735.88</v>
      </c>
      <c r="S177" s="45">
        <v>14836.46</v>
      </c>
      <c r="T177" s="45">
        <v>1676</v>
      </c>
      <c r="U177" s="45">
        <v>702442.05</v>
      </c>
      <c r="V177" s="45">
        <v>796487.55</v>
      </c>
    </row>
    <row r="178" spans="1:22" ht="14.1" customHeight="1">
      <c r="A178" s="85">
        <v>156</v>
      </c>
      <c r="B178" s="86" t="s">
        <v>242</v>
      </c>
      <c r="C178" s="45" t="s">
        <v>82</v>
      </c>
      <c r="D178" s="47">
        <v>2112465123.3800001</v>
      </c>
      <c r="E178" s="47">
        <v>34442705.469999999</v>
      </c>
      <c r="F178" s="47">
        <v>10747776.75</v>
      </c>
      <c r="G178" s="45">
        <v>4658390.3</v>
      </c>
      <c r="H178" s="46">
        <f t="shared" si="100"/>
        <v>40532091.920000002</v>
      </c>
      <c r="I178" s="45">
        <v>2247674980.1100001</v>
      </c>
      <c r="J178" s="48">
        <f t="shared" si="87"/>
        <v>1.5589422864677061E-2</v>
      </c>
      <c r="K178" s="45">
        <v>2866244358.8200002</v>
      </c>
      <c r="L178" s="48">
        <f t="shared" si="94"/>
        <v>1.8231593171953241E-2</v>
      </c>
      <c r="M178" s="48">
        <f t="shared" si="95"/>
        <v>0.2752041038779226</v>
      </c>
      <c r="N178" s="49">
        <f t="shared" si="96"/>
        <v>1.6252592999146122E-3</v>
      </c>
      <c r="O178" s="50">
        <f t="shared" si="97"/>
        <v>1.4141185065144479E-2</v>
      </c>
      <c r="P178" s="51">
        <f t="shared" si="98"/>
        <v>293.4086602655255</v>
      </c>
      <c r="Q178" s="51">
        <f t="shared" si="99"/>
        <v>4.1491461645309</v>
      </c>
      <c r="R178" s="45">
        <v>302.24</v>
      </c>
      <c r="S178" s="45">
        <v>303.98</v>
      </c>
      <c r="T178" s="45">
        <v>588</v>
      </c>
      <c r="U178" s="45">
        <v>7442640</v>
      </c>
      <c r="V178" s="45">
        <v>9768779</v>
      </c>
    </row>
    <row r="179" spans="1:22">
      <c r="A179" s="81">
        <v>157</v>
      </c>
      <c r="B179" s="70" t="s">
        <v>243</v>
      </c>
      <c r="C179" s="45" t="s">
        <v>84</v>
      </c>
      <c r="D179" s="47">
        <v>6123810263.1099997</v>
      </c>
      <c r="E179" s="47">
        <v>25138762.41</v>
      </c>
      <c r="F179" s="47">
        <v>278040225.41000003</v>
      </c>
      <c r="G179" s="45">
        <v>13399592.1</v>
      </c>
      <c r="H179" s="46">
        <f t="shared" si="100"/>
        <v>289779395.72000003</v>
      </c>
      <c r="I179" s="45">
        <v>5649214414.8000002</v>
      </c>
      <c r="J179" s="48">
        <f t="shared" si="87"/>
        <v>3.9181818165380994E-2</v>
      </c>
      <c r="K179" s="45">
        <v>6227422800.8000002</v>
      </c>
      <c r="L179" s="48">
        <f t="shared" si="94"/>
        <v>3.9611360651983146E-2</v>
      </c>
      <c r="M179" s="48">
        <f t="shared" si="95"/>
        <v>0.10235199862217841</v>
      </c>
      <c r="N179" s="49">
        <f t="shared" si="96"/>
        <v>2.1517074604728353E-3</v>
      </c>
      <c r="O179" s="50">
        <f t="shared" si="97"/>
        <v>4.6532796148476344E-2</v>
      </c>
      <c r="P179" s="51">
        <f t="shared" si="98"/>
        <v>2.7642471284038765</v>
      </c>
      <c r="Q179" s="51">
        <f t="shared" si="99"/>
        <v>0.12862814813002871</v>
      </c>
      <c r="R179" s="45">
        <v>2.7376</v>
      </c>
      <c r="S179" s="45">
        <v>2.7814000000000001</v>
      </c>
      <c r="T179" s="45">
        <v>5429</v>
      </c>
      <c r="U179" s="45">
        <v>2061628500.27</v>
      </c>
      <c r="V179" s="45">
        <v>2252845896.7399998</v>
      </c>
    </row>
    <row r="180" spans="1:22">
      <c r="A180" s="85">
        <v>158</v>
      </c>
      <c r="B180" s="86" t="s">
        <v>244</v>
      </c>
      <c r="C180" s="70" t="s">
        <v>34</v>
      </c>
      <c r="D180" s="47">
        <v>1311782004.98</v>
      </c>
      <c r="E180" s="47">
        <v>8219564.9900000002</v>
      </c>
      <c r="F180" s="47">
        <v>287314682.94999999</v>
      </c>
      <c r="G180" s="45">
        <v>2112671.5499999998</v>
      </c>
      <c r="H180" s="46">
        <f t="shared" si="100"/>
        <v>293421576.38999999</v>
      </c>
      <c r="I180" s="45">
        <v>1189829302.1199999</v>
      </c>
      <c r="J180" s="48">
        <f t="shared" si="87"/>
        <v>8.2524174053957341E-3</v>
      </c>
      <c r="K180" s="45">
        <v>1386739809.54</v>
      </c>
      <c r="L180" s="48">
        <f t="shared" si="94"/>
        <v>8.8207678333796034E-3</v>
      </c>
      <c r="M180" s="48">
        <f t="shared" si="95"/>
        <v>0.16549475380136563</v>
      </c>
      <c r="N180" s="49">
        <f t="shared" si="96"/>
        <v>1.5234808544948321E-3</v>
      </c>
      <c r="O180" s="50">
        <f t="shared" si="97"/>
        <v>0.21159093751504243</v>
      </c>
      <c r="P180" s="51">
        <f t="shared" si="98"/>
        <v>285.09377855160392</v>
      </c>
      <c r="Q180" s="51">
        <f t="shared" si="99"/>
        <v>60.323259883439775</v>
      </c>
      <c r="R180" s="45">
        <v>285.08999999999997</v>
      </c>
      <c r="S180" s="45">
        <v>285.08999999999997</v>
      </c>
      <c r="T180" s="45">
        <v>211</v>
      </c>
      <c r="U180" s="45">
        <v>4152409.08</v>
      </c>
      <c r="V180" s="45">
        <v>4864153.18</v>
      </c>
    </row>
    <row r="181" spans="1:22">
      <c r="A181" s="81">
        <v>159</v>
      </c>
      <c r="B181" s="70" t="s">
        <v>245</v>
      </c>
      <c r="C181" s="70" t="s">
        <v>191</v>
      </c>
      <c r="D181" s="47">
        <v>1851137655.8399999</v>
      </c>
      <c r="E181" s="47">
        <v>11420585.57</v>
      </c>
      <c r="F181" s="47">
        <v>0</v>
      </c>
      <c r="G181" s="45">
        <v>4786881.9400000004</v>
      </c>
      <c r="H181" s="46">
        <f t="shared" si="100"/>
        <v>6633703.6299999999</v>
      </c>
      <c r="I181" s="45">
        <v>1983816848.9400001</v>
      </c>
      <c r="J181" s="48">
        <f t="shared" si="87"/>
        <v>1.3759355786699777E-2</v>
      </c>
      <c r="K181" s="45">
        <v>2540360434.8499999</v>
      </c>
      <c r="L181" s="48">
        <f t="shared" si="94"/>
        <v>1.615871229394367E-2</v>
      </c>
      <c r="M181" s="48">
        <f t="shared" si="95"/>
        <v>0.2805418182668295</v>
      </c>
      <c r="N181" s="49">
        <f t="shared" si="96"/>
        <v>1.8843317957290774E-3</v>
      </c>
      <c r="O181" s="50">
        <f t="shared" si="97"/>
        <v>2.61132378657586E-3</v>
      </c>
      <c r="P181" s="51">
        <f t="shared" si="98"/>
        <v>192.86988579926657</v>
      </c>
      <c r="Q181" s="51">
        <f t="shared" si="99"/>
        <v>0.50364572050179446</v>
      </c>
      <c r="R181" s="45">
        <v>175.05</v>
      </c>
      <c r="S181" s="45">
        <v>176.13</v>
      </c>
      <c r="T181" s="45">
        <v>247</v>
      </c>
      <c r="U181" s="45">
        <v>9118950</v>
      </c>
      <c r="V181" s="45">
        <v>13171369</v>
      </c>
    </row>
    <row r="182" spans="1:22">
      <c r="A182" s="85">
        <v>160</v>
      </c>
      <c r="B182" s="70" t="s">
        <v>246</v>
      </c>
      <c r="C182" s="45" t="s">
        <v>91</v>
      </c>
      <c r="D182" s="95">
        <v>1077556105</v>
      </c>
      <c r="E182" s="95">
        <v>11096244</v>
      </c>
      <c r="F182" s="95">
        <v>97889393</v>
      </c>
      <c r="G182" s="67">
        <v>3310213</v>
      </c>
      <c r="H182" s="46">
        <f t="shared" si="100"/>
        <v>105675424</v>
      </c>
      <c r="I182" s="45">
        <v>1070231083.12</v>
      </c>
      <c r="J182" s="48">
        <f t="shared" si="87"/>
        <v>7.4229081452259187E-3</v>
      </c>
      <c r="K182" s="67">
        <v>1115379604</v>
      </c>
      <c r="L182" s="48">
        <f t="shared" si="94"/>
        <v>7.0947011582760018E-3</v>
      </c>
      <c r="M182" s="48">
        <f t="shared" si="95"/>
        <v>4.2185768655102408E-2</v>
      </c>
      <c r="N182" s="49">
        <f t="shared" si="96"/>
        <v>2.9677905065942016E-3</v>
      </c>
      <c r="O182" s="50">
        <f t="shared" si="97"/>
        <v>9.4743909267324206E-2</v>
      </c>
      <c r="P182" s="51">
        <f t="shared" si="98"/>
        <v>2.1218994500397441</v>
      </c>
      <c r="Q182" s="51">
        <f t="shared" si="99"/>
        <v>0.20103704896895067</v>
      </c>
      <c r="R182" s="45">
        <v>2.1674000000000002</v>
      </c>
      <c r="S182" s="45">
        <v>2.1875</v>
      </c>
      <c r="T182" s="45">
        <v>276</v>
      </c>
      <c r="U182" s="67">
        <v>512756147.97000003</v>
      </c>
      <c r="V182" s="67">
        <v>525651488.32999998</v>
      </c>
    </row>
    <row r="183" spans="1:22">
      <c r="A183" s="81">
        <v>161</v>
      </c>
      <c r="B183" s="96" t="s">
        <v>247</v>
      </c>
      <c r="C183" s="159" t="s">
        <v>328</v>
      </c>
      <c r="D183" s="47">
        <v>22227672612.040001</v>
      </c>
      <c r="E183" s="47">
        <v>127404408.08</v>
      </c>
      <c r="F183" s="47">
        <v>649261588.57000005</v>
      </c>
      <c r="G183" s="45">
        <v>34615449.049999997</v>
      </c>
      <c r="H183" s="46">
        <f t="shared" si="100"/>
        <v>742050547.60000014</v>
      </c>
      <c r="I183" s="45">
        <v>20301919439.139999</v>
      </c>
      <c r="J183" s="48">
        <f t="shared" si="87"/>
        <v>0.14081004144374631</v>
      </c>
      <c r="K183" s="45">
        <v>21503282872.200001</v>
      </c>
      <c r="L183" s="48">
        <f t="shared" si="94"/>
        <v>0.13677797706988898</v>
      </c>
      <c r="M183" s="48">
        <f t="shared" si="95"/>
        <v>5.9174869482729646E-2</v>
      </c>
      <c r="N183" s="49">
        <f t="shared" si="96"/>
        <v>1.6097750867032374E-3</v>
      </c>
      <c r="O183" s="50">
        <f t="shared" si="97"/>
        <v>3.4508709763537655E-2</v>
      </c>
      <c r="P183" s="51">
        <f t="shared" si="98"/>
        <v>620.00742431175047</v>
      </c>
      <c r="Q183" s="51">
        <f t="shared" si="99"/>
        <v>21.395656256812739</v>
      </c>
      <c r="R183" s="45">
        <v>620.01</v>
      </c>
      <c r="S183" s="45">
        <v>625.65</v>
      </c>
      <c r="T183" s="45">
        <v>6904</v>
      </c>
      <c r="U183" s="45">
        <v>33275286</v>
      </c>
      <c r="V183" s="45">
        <v>34682299</v>
      </c>
    </row>
    <row r="184" spans="1:22" ht="15.6" customHeight="1">
      <c r="A184" s="85">
        <v>162</v>
      </c>
      <c r="B184" s="45" t="s">
        <v>248</v>
      </c>
      <c r="C184" s="70" t="s">
        <v>249</v>
      </c>
      <c r="D184" s="47">
        <v>6867870182.2200003</v>
      </c>
      <c r="E184" s="47">
        <v>79343075.900000006</v>
      </c>
      <c r="F184" s="47">
        <v>22763534.98</v>
      </c>
      <c r="G184" s="45">
        <v>26230334.960000001</v>
      </c>
      <c r="H184" s="46">
        <f t="shared" si="100"/>
        <v>75876275.920000017</v>
      </c>
      <c r="I184" s="45">
        <v>6531563271.7299995</v>
      </c>
      <c r="J184" s="48">
        <f t="shared" si="87"/>
        <v>4.5301612871719285E-2</v>
      </c>
      <c r="K184" s="45">
        <v>6836037592.8400002</v>
      </c>
      <c r="L184" s="48">
        <f t="shared" si="94"/>
        <v>4.348263465999351E-2</v>
      </c>
      <c r="M184" s="48">
        <f t="shared" si="95"/>
        <v>4.6615841942132058E-2</v>
      </c>
      <c r="N184" s="49">
        <f t="shared" si="96"/>
        <v>3.8370671026551114E-3</v>
      </c>
      <c r="O184" s="50">
        <f t="shared" si="97"/>
        <v>1.1099452700416993E-2</v>
      </c>
      <c r="P184" s="51">
        <f t="shared" si="98"/>
        <v>4.0236179330376221</v>
      </c>
      <c r="Q184" s="51">
        <f t="shared" si="99"/>
        <v>4.4659956932300668E-2</v>
      </c>
      <c r="R184" s="45">
        <v>3.9803999999999999</v>
      </c>
      <c r="S184" s="45">
        <v>4.0598999999999998</v>
      </c>
      <c r="T184" s="45">
        <v>10276</v>
      </c>
      <c r="U184" s="45">
        <v>1632608813.24</v>
      </c>
      <c r="V184" s="45">
        <v>1698977812.1600001</v>
      </c>
    </row>
    <row r="185" spans="1:22">
      <c r="A185" s="81">
        <v>163</v>
      </c>
      <c r="B185" s="86" t="s">
        <v>250</v>
      </c>
      <c r="C185" s="45" t="s">
        <v>103</v>
      </c>
      <c r="D185" s="47">
        <v>336458428.82999998</v>
      </c>
      <c r="E185" s="47">
        <v>24722141.489999998</v>
      </c>
      <c r="F185" s="47">
        <v>17291837.809999999</v>
      </c>
      <c r="G185" s="45">
        <v>665908.4</v>
      </c>
      <c r="H185" s="46">
        <f t="shared" si="100"/>
        <v>41348070.899999999</v>
      </c>
      <c r="I185" s="45">
        <v>345628274.94999999</v>
      </c>
      <c r="J185" s="48">
        <f t="shared" si="87"/>
        <v>2.397208395281744E-3</v>
      </c>
      <c r="K185" s="45">
        <v>393836476.48000002</v>
      </c>
      <c r="L185" s="48">
        <f t="shared" si="94"/>
        <v>2.5051131433940005E-3</v>
      </c>
      <c r="M185" s="48">
        <f t="shared" si="95"/>
        <v>0.13947991244921737</v>
      </c>
      <c r="N185" s="49">
        <f t="shared" si="96"/>
        <v>1.6908245928658071E-3</v>
      </c>
      <c r="O185" s="50">
        <f t="shared" si="97"/>
        <v>0.10498791597354684</v>
      </c>
      <c r="P185" s="51">
        <f t="shared" si="98"/>
        <v>365.01229506684956</v>
      </c>
      <c r="Q185" s="51">
        <f t="shared" si="99"/>
        <v>38.321880163789892</v>
      </c>
      <c r="R185" s="45">
        <v>374.45</v>
      </c>
      <c r="S185" s="45">
        <v>377.53</v>
      </c>
      <c r="T185" s="45">
        <v>70</v>
      </c>
      <c r="U185" s="45">
        <v>880681.02</v>
      </c>
      <c r="V185" s="45">
        <v>1078967.7</v>
      </c>
    </row>
    <row r="186" spans="1:22">
      <c r="A186" s="85">
        <v>164</v>
      </c>
      <c r="B186" s="70" t="s">
        <v>251</v>
      </c>
      <c r="C186" s="70" t="s">
        <v>105</v>
      </c>
      <c r="D186" s="47">
        <v>71545254.150000006</v>
      </c>
      <c r="E186" s="47">
        <v>481359.58</v>
      </c>
      <c r="F186" s="47">
        <v>0</v>
      </c>
      <c r="G186" s="45">
        <v>137331.5</v>
      </c>
      <c r="H186" s="46">
        <f t="shared" si="100"/>
        <v>344028.08</v>
      </c>
      <c r="I186" s="45">
        <v>87044500.609999999</v>
      </c>
      <c r="J186" s="48">
        <f t="shared" si="87"/>
        <v>6.037231984437184E-4</v>
      </c>
      <c r="K186" s="45">
        <v>71587262.560000002</v>
      </c>
      <c r="L186" s="48">
        <f t="shared" si="94"/>
        <v>4.5535191138589286E-4</v>
      </c>
      <c r="M186" s="48">
        <f t="shared" si="95"/>
        <v>-0.1775785712098647</v>
      </c>
      <c r="N186" s="49">
        <f t="shared" si="96"/>
        <v>1.918378983759817E-3</v>
      </c>
      <c r="O186" s="50">
        <f t="shared" si="97"/>
        <v>4.8057163760334741E-3</v>
      </c>
      <c r="P186" s="51">
        <f t="shared" si="98"/>
        <v>1.3838100703626384</v>
      </c>
      <c r="Q186" s="51">
        <f t="shared" si="99"/>
        <v>6.6501987164617644E-3</v>
      </c>
      <c r="R186" s="45">
        <v>1.76</v>
      </c>
      <c r="S186" s="45">
        <v>1.76</v>
      </c>
      <c r="T186" s="45">
        <v>29</v>
      </c>
      <c r="U186" s="45">
        <v>51599000</v>
      </c>
      <c r="V186" s="45">
        <v>51732000</v>
      </c>
    </row>
    <row r="187" spans="1:22">
      <c r="A187" s="81">
        <v>165</v>
      </c>
      <c r="B187" s="45" t="s">
        <v>252</v>
      </c>
      <c r="C187" s="45" t="s">
        <v>42</v>
      </c>
      <c r="D187" s="47">
        <v>15580970866.799999</v>
      </c>
      <c r="E187" s="47">
        <v>133814735.76000001</v>
      </c>
      <c r="F187" s="47">
        <v>93085982.670000002</v>
      </c>
      <c r="G187" s="45">
        <v>31846018.510000002</v>
      </c>
      <c r="H187" s="46">
        <f t="shared" si="100"/>
        <v>195054699.92000002</v>
      </c>
      <c r="I187" s="45">
        <v>13609285823.92</v>
      </c>
      <c r="J187" s="48">
        <f t="shared" si="87"/>
        <v>9.4391276974111621E-2</v>
      </c>
      <c r="K187" s="45">
        <v>14993078092.48</v>
      </c>
      <c r="L187" s="48">
        <f t="shared" si="94"/>
        <v>9.5367898182259034E-2</v>
      </c>
      <c r="M187" s="48">
        <f t="shared" si="95"/>
        <v>0.10168000631802543</v>
      </c>
      <c r="N187" s="49">
        <f t="shared" si="96"/>
        <v>2.1240480649515753E-3</v>
      </c>
      <c r="O187" s="50">
        <f t="shared" si="97"/>
        <v>1.3009650100991109E-2</v>
      </c>
      <c r="P187" s="51">
        <f t="shared" si="98"/>
        <v>8.2065701711873213</v>
      </c>
      <c r="Q187" s="51">
        <f t="shared" si="99"/>
        <v>0.10676460645637777</v>
      </c>
      <c r="R187" s="45">
        <v>8.2100000000000009</v>
      </c>
      <c r="S187" s="45">
        <v>8.32</v>
      </c>
      <c r="T187" s="45">
        <v>11910</v>
      </c>
      <c r="U187" s="45">
        <v>1635911766.6800001</v>
      </c>
      <c r="V187" s="45">
        <v>1826960323.22</v>
      </c>
    </row>
    <row r="188" spans="1:22">
      <c r="A188" s="85">
        <v>166</v>
      </c>
      <c r="B188" s="86" t="s">
        <v>253</v>
      </c>
      <c r="C188" s="70" t="s">
        <v>254</v>
      </c>
      <c r="D188" s="57">
        <v>157881780.37</v>
      </c>
      <c r="E188" s="57">
        <v>1109011.73</v>
      </c>
      <c r="F188" s="57">
        <v>4034702.34</v>
      </c>
      <c r="G188" s="57">
        <v>466522.45</v>
      </c>
      <c r="H188" s="46">
        <f t="shared" si="100"/>
        <v>4677191.62</v>
      </c>
      <c r="I188" s="57">
        <v>162636048.74000001</v>
      </c>
      <c r="J188" s="48">
        <f t="shared" si="87"/>
        <v>1.1280110155090163E-3</v>
      </c>
      <c r="K188" s="57">
        <v>171599069.47999999</v>
      </c>
      <c r="L188" s="48">
        <f t="shared" si="94"/>
        <v>1.0915065262380752E-3</v>
      </c>
      <c r="M188" s="48">
        <f t="shared" si="95"/>
        <v>5.5110910584951656E-2</v>
      </c>
      <c r="N188" s="49">
        <f t="shared" si="96"/>
        <v>2.718677038364556E-3</v>
      </c>
      <c r="O188" s="50">
        <f t="shared" si="97"/>
        <v>2.72565092233506E-2</v>
      </c>
      <c r="P188" s="51">
        <f t="shared" si="98"/>
        <v>3.422380175807187</v>
      </c>
      <c r="Q188" s="51">
        <f t="shared" si="99"/>
        <v>9.328213682770084E-2</v>
      </c>
      <c r="R188" s="57">
        <v>3.4070999999999998</v>
      </c>
      <c r="S188" s="57">
        <v>3.4310999999999998</v>
      </c>
      <c r="T188" s="57">
        <v>131</v>
      </c>
      <c r="U188" s="57">
        <v>48866296</v>
      </c>
      <c r="V188" s="57">
        <v>50140271</v>
      </c>
    </row>
    <row r="189" spans="1:22">
      <c r="A189" s="81">
        <v>167</v>
      </c>
      <c r="B189" s="96" t="s">
        <v>255</v>
      </c>
      <c r="C189" s="45" t="s">
        <v>159</v>
      </c>
      <c r="D189" s="47">
        <v>660120837.09000003</v>
      </c>
      <c r="E189" s="47">
        <v>11050552.1</v>
      </c>
      <c r="F189" s="47">
        <v>15032259.35</v>
      </c>
      <c r="G189" s="45">
        <v>2394820.39</v>
      </c>
      <c r="H189" s="46">
        <f t="shared" si="100"/>
        <v>23687991.059999999</v>
      </c>
      <c r="I189" s="45">
        <v>2107216261.9200001</v>
      </c>
      <c r="J189" s="48">
        <f t="shared" si="87"/>
        <v>1.46152293659412E-2</v>
      </c>
      <c r="K189" s="45">
        <v>2107216261.9200001</v>
      </c>
      <c r="L189" s="48">
        <f t="shared" si="94"/>
        <v>1.340357094622097E-2</v>
      </c>
      <c r="M189" s="48">
        <f t="shared" si="95"/>
        <v>0</v>
      </c>
      <c r="N189" s="49">
        <f t="shared" si="96"/>
        <v>1.1364853400561497E-3</v>
      </c>
      <c r="O189" s="50">
        <f t="shared" si="97"/>
        <v>1.1241366863036912E-2</v>
      </c>
      <c r="P189" s="51">
        <f t="shared" si="98"/>
        <v>499.91460259521574</v>
      </c>
      <c r="Q189" s="51">
        <f t="shared" si="99"/>
        <v>5.6197234479621248</v>
      </c>
      <c r="R189" s="45">
        <v>494.72</v>
      </c>
      <c r="S189" s="45">
        <v>499.95</v>
      </c>
      <c r="T189" s="45">
        <v>284</v>
      </c>
      <c r="U189" s="45">
        <v>3657854.37</v>
      </c>
      <c r="V189" s="45">
        <v>4215152.45</v>
      </c>
    </row>
    <row r="190" spans="1:22">
      <c r="A190" s="85">
        <v>168</v>
      </c>
      <c r="B190" s="162" t="s">
        <v>323</v>
      </c>
      <c r="C190" s="154" t="s">
        <v>324</v>
      </c>
      <c r="D190" s="47">
        <v>51402797.259999998</v>
      </c>
      <c r="E190" s="47">
        <v>469213.29</v>
      </c>
      <c r="F190" s="47">
        <v>1402797.26</v>
      </c>
      <c r="G190" s="45">
        <v>1608890.56</v>
      </c>
      <c r="H190" s="46">
        <f t="shared" si="100"/>
        <v>263119.99</v>
      </c>
      <c r="I190" s="45">
        <v>49371993.75</v>
      </c>
      <c r="J190" s="48">
        <f t="shared" si="87"/>
        <v>3.4243424652227749E-4</v>
      </c>
      <c r="K190" s="45">
        <v>50691992.719999999</v>
      </c>
      <c r="L190" s="48">
        <f t="shared" si="94"/>
        <v>3.2244138065295178E-4</v>
      </c>
      <c r="M190" s="48">
        <f t="shared" si="95"/>
        <v>2.67357841914172E-2</v>
      </c>
      <c r="N190" s="49">
        <f t="shared" si="96"/>
        <v>3.1738554230582243E-2</v>
      </c>
      <c r="O190" s="50">
        <f t="shared" si="97"/>
        <v>5.1905631615895963E-3</v>
      </c>
      <c r="P190" s="51">
        <f t="shared" si="98"/>
        <v>1.0138398544</v>
      </c>
      <c r="Q190" s="51">
        <f t="shared" si="99"/>
        <v>5.2623997999999995E-3</v>
      </c>
      <c r="R190" s="45">
        <v>1</v>
      </c>
      <c r="S190" s="45">
        <v>1</v>
      </c>
      <c r="T190" s="45">
        <v>3</v>
      </c>
      <c r="U190" s="45">
        <v>50000000</v>
      </c>
      <c r="V190" s="45">
        <v>50000000</v>
      </c>
    </row>
    <row r="191" spans="1:22">
      <c r="A191" s="81">
        <v>169</v>
      </c>
      <c r="B191" s="70" t="s">
        <v>256</v>
      </c>
      <c r="C191" s="45" t="s">
        <v>38</v>
      </c>
      <c r="D191" s="95">
        <v>3290242736.8699999</v>
      </c>
      <c r="E191" s="95">
        <v>19010574.350000001</v>
      </c>
      <c r="F191" s="95">
        <v>483817808.05000001</v>
      </c>
      <c r="G191" s="67">
        <v>9090726.0299999993</v>
      </c>
      <c r="H191" s="46">
        <f t="shared" si="100"/>
        <v>493737656.37000006</v>
      </c>
      <c r="I191" s="45">
        <v>2175791805.7199998</v>
      </c>
      <c r="J191" s="48">
        <f t="shared" si="87"/>
        <v>1.5090855584114906E-2</v>
      </c>
      <c r="K191" s="67">
        <v>3181950046.3099999</v>
      </c>
      <c r="L191" s="48">
        <f t="shared" si="94"/>
        <v>2.0239732372882742E-2</v>
      </c>
      <c r="M191" s="48">
        <f t="shared" si="95"/>
        <v>0.46243314178538714</v>
      </c>
      <c r="N191" s="49">
        <f t="shared" si="96"/>
        <v>2.856966922074156E-3</v>
      </c>
      <c r="O191" s="50">
        <f t="shared" si="97"/>
        <v>0.15516826134419393</v>
      </c>
      <c r="P191" s="51">
        <f t="shared" si="98"/>
        <v>4265.634487981768</v>
      </c>
      <c r="Q191" s="51">
        <f t="shared" si="99"/>
        <v>661.89108702996191</v>
      </c>
      <c r="R191" s="45">
        <v>552.20000000000005</v>
      </c>
      <c r="S191" s="45">
        <v>552.20000000000005</v>
      </c>
      <c r="T191" s="45">
        <v>823</v>
      </c>
      <c r="U191" s="67">
        <v>745950</v>
      </c>
      <c r="V191" s="45">
        <v>745950</v>
      </c>
    </row>
    <row r="192" spans="1:22">
      <c r="A192" s="85">
        <v>170</v>
      </c>
      <c r="B192" s="70" t="s">
        <v>257</v>
      </c>
      <c r="C192" s="45" t="s">
        <v>114</v>
      </c>
      <c r="D192" s="47">
        <v>86974334.310000002</v>
      </c>
      <c r="E192" s="47">
        <v>1386447.67</v>
      </c>
      <c r="F192" s="47"/>
      <c r="G192" s="45">
        <v>25322.13</v>
      </c>
      <c r="H192" s="46">
        <f t="shared" si="100"/>
        <v>1361125.54</v>
      </c>
      <c r="I192" s="45">
        <v>81201665.049999997</v>
      </c>
      <c r="J192" s="48">
        <f t="shared" si="87"/>
        <v>5.6319846284820334E-4</v>
      </c>
      <c r="K192" s="45">
        <v>86774541.659999996</v>
      </c>
      <c r="L192" s="48">
        <f t="shared" si="94"/>
        <v>5.5195508239190571E-4</v>
      </c>
      <c r="M192" s="48">
        <f t="shared" si="95"/>
        <v>6.8630078047888496E-2</v>
      </c>
      <c r="N192" s="49">
        <f t="shared" si="96"/>
        <v>2.9181519735612283E-4</v>
      </c>
      <c r="O192" s="50">
        <f t="shared" si="97"/>
        <v>1.5685770434065351E-2</v>
      </c>
      <c r="P192" s="51">
        <f t="shared" si="98"/>
        <v>4.784684303613262</v>
      </c>
      <c r="Q192" s="51">
        <f t="shared" si="99"/>
        <v>7.5051459585953467E-2</v>
      </c>
      <c r="R192" s="45">
        <v>3.69</v>
      </c>
      <c r="S192" s="45">
        <v>3.69</v>
      </c>
      <c r="T192" s="45">
        <v>10</v>
      </c>
      <c r="U192" s="45">
        <v>17610251.379999999</v>
      </c>
      <c r="V192" s="45">
        <v>18135896.989999998</v>
      </c>
    </row>
    <row r="193" spans="1:22">
      <c r="A193" s="81">
        <v>171</v>
      </c>
      <c r="B193" s="45" t="s">
        <v>258</v>
      </c>
      <c r="C193" s="45" t="s">
        <v>48</v>
      </c>
      <c r="D193" s="47">
        <v>623459372.73000002</v>
      </c>
      <c r="E193" s="47">
        <v>11284277.109999999</v>
      </c>
      <c r="F193" s="47">
        <v>306455920.93000001</v>
      </c>
      <c r="G193" s="45">
        <v>1037405.26</v>
      </c>
      <c r="H193" s="46">
        <f t="shared" si="100"/>
        <v>316702792.78000003</v>
      </c>
      <c r="I193" s="45">
        <v>690845140.98000002</v>
      </c>
      <c r="J193" s="48">
        <f t="shared" si="87"/>
        <v>4.7915633408072136E-3</v>
      </c>
      <c r="K193" s="45">
        <v>662149758.54999995</v>
      </c>
      <c r="L193" s="48">
        <f t="shared" si="94"/>
        <v>4.2117989625143435E-3</v>
      </c>
      <c r="M193" s="48">
        <f t="shared" si="95"/>
        <v>-4.1536634953086828E-2</v>
      </c>
      <c r="N193" s="49">
        <f t="shared" si="96"/>
        <v>1.5667230057921466E-3</v>
      </c>
      <c r="O193" s="50">
        <f t="shared" si="97"/>
        <v>0.47829480973235955</v>
      </c>
      <c r="P193" s="51">
        <f t="shared" si="98"/>
        <v>4.2954023445746232</v>
      </c>
      <c r="Q193" s="51">
        <f t="shared" si="99"/>
        <v>2.0544686471222504</v>
      </c>
      <c r="R193" s="45">
        <v>4.87</v>
      </c>
      <c r="S193" s="45">
        <v>4.92</v>
      </c>
      <c r="T193" s="45">
        <v>137</v>
      </c>
      <c r="U193" s="45">
        <v>154346155.5</v>
      </c>
      <c r="V193" s="45">
        <v>154153139.90000001</v>
      </c>
    </row>
    <row r="194" spans="1:22">
      <c r="A194" s="85">
        <v>172</v>
      </c>
      <c r="B194" s="45" t="s">
        <v>259</v>
      </c>
      <c r="C194" s="45" t="s">
        <v>260</v>
      </c>
      <c r="D194" s="47">
        <v>296543996.55000001</v>
      </c>
      <c r="E194" s="47">
        <v>1620389.07</v>
      </c>
      <c r="F194" s="47">
        <v>10478404.4</v>
      </c>
      <c r="G194" s="45">
        <v>408419.47</v>
      </c>
      <c r="H194" s="46">
        <f t="shared" ref="H194" si="102">(E194+F194)-G194</f>
        <v>11690374</v>
      </c>
      <c r="I194" s="45">
        <v>233811647.09</v>
      </c>
      <c r="J194" s="48">
        <f t="shared" si="87"/>
        <v>1.6216706905703359E-3</v>
      </c>
      <c r="K194" s="45">
        <v>296853466.67000002</v>
      </c>
      <c r="L194" s="48">
        <f t="shared" si="94"/>
        <v>1.8882240864625812E-3</v>
      </c>
      <c r="M194" s="48">
        <f t="shared" si="95"/>
        <v>0.26962651503726681</v>
      </c>
      <c r="N194" s="49">
        <f t="shared" si="96"/>
        <v>1.3758285344668835E-3</v>
      </c>
      <c r="O194" s="50">
        <f t="shared" si="97"/>
        <v>3.9380958326471947E-2</v>
      </c>
      <c r="P194" s="51">
        <f t="shared" si="98"/>
        <v>145.79036820131981</v>
      </c>
      <c r="Q194" s="51">
        <f t="shared" si="99"/>
        <v>5.7413644145371761</v>
      </c>
      <c r="R194" s="45">
        <v>145.30000000000001</v>
      </c>
      <c r="S194" s="45">
        <v>144.44</v>
      </c>
      <c r="T194" s="45">
        <v>117</v>
      </c>
      <c r="U194" s="45">
        <v>1688616.69</v>
      </c>
      <c r="V194" s="45">
        <v>2036166.52</v>
      </c>
    </row>
    <row r="195" spans="1:22">
      <c r="A195" s="81">
        <v>173</v>
      </c>
      <c r="B195" s="86" t="s">
        <v>261</v>
      </c>
      <c r="C195" s="70" t="s">
        <v>52</v>
      </c>
      <c r="D195" s="47">
        <v>15655051552.139999</v>
      </c>
      <c r="E195" s="47">
        <v>146093218.52000001</v>
      </c>
      <c r="F195" s="47">
        <v>82457121.280000001</v>
      </c>
      <c r="G195" s="45">
        <v>30164584.300000001</v>
      </c>
      <c r="H195" s="46">
        <f t="shared" si="100"/>
        <v>198385755.5</v>
      </c>
      <c r="I195" s="45">
        <v>13443064702.879999</v>
      </c>
      <c r="J195" s="48">
        <f t="shared" si="87"/>
        <v>9.3238400616157749E-2</v>
      </c>
      <c r="K195" s="45">
        <v>16121989938.190001</v>
      </c>
      <c r="L195" s="48">
        <f t="shared" si="94"/>
        <v>0.10254867515776328</v>
      </c>
      <c r="M195" s="48">
        <f t="shared" si="95"/>
        <v>0.19927935292434298</v>
      </c>
      <c r="N195" s="49">
        <f t="shared" si="96"/>
        <v>1.8710211590286198E-3</v>
      </c>
      <c r="O195" s="50">
        <f t="shared" si="97"/>
        <v>1.2305289623712082E-2</v>
      </c>
      <c r="P195" s="51">
        <f t="shared" si="98"/>
        <v>13917.170304636707</v>
      </c>
      <c r="Q195" s="51">
        <f t="shared" si="99"/>
        <v>171.25481134108</v>
      </c>
      <c r="R195" s="45">
        <v>13839.98</v>
      </c>
      <c r="S195" s="45">
        <v>13970.08</v>
      </c>
      <c r="T195" s="45">
        <v>7894</v>
      </c>
      <c r="U195" s="45">
        <v>978885.38</v>
      </c>
      <c r="V195" s="45">
        <v>1158424.42</v>
      </c>
    </row>
    <row r="196" spans="1:22">
      <c r="A196" s="85">
        <v>174</v>
      </c>
      <c r="B196" s="70" t="s">
        <v>262</v>
      </c>
      <c r="C196" s="70" t="s">
        <v>126</v>
      </c>
      <c r="D196" s="47">
        <v>265076381.13999999</v>
      </c>
      <c r="E196" s="47">
        <v>7756636.5999999996</v>
      </c>
      <c r="F196" s="47">
        <v>43078796.340000004</v>
      </c>
      <c r="G196" s="45">
        <v>2216065.9500000002</v>
      </c>
      <c r="H196" s="46">
        <f t="shared" si="100"/>
        <v>48619366.990000002</v>
      </c>
      <c r="I196" s="45">
        <v>227581991.90000001</v>
      </c>
      <c r="J196" s="48">
        <f t="shared" si="87"/>
        <v>1.5784630516023179E-3</v>
      </c>
      <c r="K196" s="45">
        <v>281170975.76999998</v>
      </c>
      <c r="L196" s="48">
        <f t="shared" si="94"/>
        <v>1.7884709746485668E-3</v>
      </c>
      <c r="M196" s="48">
        <f t="shared" si="95"/>
        <v>0.2354711083359666</v>
      </c>
      <c r="N196" s="49">
        <f t="shared" si="96"/>
        <v>7.8815601216704508E-3</v>
      </c>
      <c r="O196" s="50">
        <f t="shared" si="97"/>
        <v>0.172917445895166</v>
      </c>
      <c r="P196" s="51">
        <f t="shared" si="98"/>
        <v>1893.4850237619187</v>
      </c>
      <c r="Q196" s="51">
        <f t="shared" si="99"/>
        <v>327.41659414965869</v>
      </c>
      <c r="R196" s="45">
        <v>1876.53</v>
      </c>
      <c r="S196" s="45">
        <v>1904.38</v>
      </c>
      <c r="T196" s="45">
        <v>118</v>
      </c>
      <c r="U196" s="45">
        <v>122622.64</v>
      </c>
      <c r="V196" s="45">
        <v>148493.9</v>
      </c>
    </row>
    <row r="197" spans="1:22">
      <c r="A197" s="81">
        <v>175</v>
      </c>
      <c r="B197" s="70" t="s">
        <v>263</v>
      </c>
      <c r="C197" s="70" t="s">
        <v>105</v>
      </c>
      <c r="D197" s="47">
        <v>805673660.27999997</v>
      </c>
      <c r="E197" s="47">
        <v>13108187.869999999</v>
      </c>
      <c r="F197" s="47">
        <v>0</v>
      </c>
      <c r="G197" s="45">
        <v>1306117.44</v>
      </c>
      <c r="H197" s="46">
        <f t="shared" si="100"/>
        <v>11802070.43</v>
      </c>
      <c r="I197" s="45">
        <v>803966140.60000002</v>
      </c>
      <c r="J197" s="48">
        <f t="shared" si="87"/>
        <v>5.5761479064390515E-3</v>
      </c>
      <c r="K197" s="45">
        <v>803942481.25999999</v>
      </c>
      <c r="L197" s="48">
        <f t="shared" si="94"/>
        <v>5.1137134232397208E-3</v>
      </c>
      <c r="M197" s="48">
        <f t="shared" si="95"/>
        <v>-2.94282791342138E-5</v>
      </c>
      <c r="N197" s="49">
        <f t="shared" si="96"/>
        <v>1.6246404070512023E-3</v>
      </c>
      <c r="O197" s="50">
        <f t="shared" si="97"/>
        <v>1.4680242312239669E-2</v>
      </c>
      <c r="P197" s="51">
        <f t="shared" si="98"/>
        <v>1.5307358744478294</v>
      </c>
      <c r="Q197" s="51">
        <f t="shared" si="99"/>
        <v>2.2471573552932216E-2</v>
      </c>
      <c r="R197" s="45">
        <v>1.63</v>
      </c>
      <c r="S197" s="45">
        <v>1.63</v>
      </c>
      <c r="T197" s="45">
        <v>47</v>
      </c>
      <c r="U197" s="45">
        <v>525100000</v>
      </c>
      <c r="V197" s="45">
        <v>525200000</v>
      </c>
    </row>
    <row r="198" spans="1:22">
      <c r="A198" s="85">
        <v>176</v>
      </c>
      <c r="B198" s="70" t="s">
        <v>264</v>
      </c>
      <c r="C198" s="70" t="s">
        <v>55</v>
      </c>
      <c r="D198" s="47">
        <v>7073839642</v>
      </c>
      <c r="E198" s="47">
        <v>64844484</v>
      </c>
      <c r="F198" s="47">
        <v>69108758</v>
      </c>
      <c r="G198" s="45">
        <v>14209768</v>
      </c>
      <c r="H198" s="46">
        <f t="shared" si="100"/>
        <v>119743474</v>
      </c>
      <c r="I198" s="45">
        <v>8241633617.7587671</v>
      </c>
      <c r="J198" s="48">
        <f t="shared" si="87"/>
        <v>5.716231781727258E-2</v>
      </c>
      <c r="K198" s="45">
        <v>8908284497.8999996</v>
      </c>
      <c r="L198" s="48">
        <f t="shared" si="94"/>
        <v>5.6663772691241787E-2</v>
      </c>
      <c r="M198" s="48">
        <f t="shared" si="95"/>
        <v>8.0888196571218332E-2</v>
      </c>
      <c r="N198" s="49">
        <f t="shared" si="96"/>
        <v>1.59511834218471E-3</v>
      </c>
      <c r="O198" s="50">
        <f t="shared" si="97"/>
        <v>1.3441810713188136E-2</v>
      </c>
      <c r="P198" s="51">
        <f t="shared" si="98"/>
        <v>3.0297387278020427</v>
      </c>
      <c r="Q198" s="51">
        <f t="shared" si="99"/>
        <v>4.0725174489530488E-2</v>
      </c>
      <c r="R198" s="45">
        <v>3.03</v>
      </c>
      <c r="S198" s="45">
        <v>3.05</v>
      </c>
      <c r="T198" s="45">
        <v>1784</v>
      </c>
      <c r="U198" s="45">
        <v>2605169048</v>
      </c>
      <c r="V198" s="45">
        <v>2940281423</v>
      </c>
    </row>
    <row r="199" spans="1:22">
      <c r="A199" s="81">
        <v>177</v>
      </c>
      <c r="B199" s="70" t="s">
        <v>265</v>
      </c>
      <c r="C199" s="70" t="s">
        <v>55</v>
      </c>
      <c r="D199" s="47">
        <v>3783164445.3099999</v>
      </c>
      <c r="E199" s="47">
        <v>29798051</v>
      </c>
      <c r="F199" s="47">
        <v>138545182.72</v>
      </c>
      <c r="G199" s="45">
        <v>8330189.2599999998</v>
      </c>
      <c r="H199" s="46">
        <f t="shared" si="100"/>
        <v>160013044.46000001</v>
      </c>
      <c r="I199" s="45">
        <v>4940561257.0799999</v>
      </c>
      <c r="J199" s="48">
        <f t="shared" si="87"/>
        <v>3.4266741992070068E-2</v>
      </c>
      <c r="K199" s="45">
        <v>5302739404.8000002</v>
      </c>
      <c r="L199" s="48">
        <f t="shared" si="94"/>
        <v>3.3729639005726661E-2</v>
      </c>
      <c r="M199" s="48">
        <f t="shared" si="95"/>
        <v>7.3307085748807607E-2</v>
      </c>
      <c r="N199" s="49">
        <f t="shared" si="96"/>
        <v>1.5709218620963297E-3</v>
      </c>
      <c r="O199" s="50">
        <f t="shared" si="97"/>
        <v>3.0175543666195889E-2</v>
      </c>
      <c r="P199" s="51">
        <f t="shared" si="98"/>
        <v>2.5126795753935047</v>
      </c>
      <c r="Q199" s="51">
        <f t="shared" si="99"/>
        <v>7.5821472246445254E-2</v>
      </c>
      <c r="R199" s="45">
        <v>2.5126795753934998</v>
      </c>
      <c r="S199" s="45">
        <v>2.5299999999999998</v>
      </c>
      <c r="T199" s="45">
        <v>742</v>
      </c>
      <c r="U199" s="45">
        <v>1902584231.4000001</v>
      </c>
      <c r="V199" s="45">
        <v>2110392211.0599999</v>
      </c>
    </row>
    <row r="200" spans="1:22">
      <c r="A200" s="85">
        <v>178</v>
      </c>
      <c r="B200" s="97" t="s">
        <v>266</v>
      </c>
      <c r="C200" s="70" t="s">
        <v>131</v>
      </c>
      <c r="D200" s="47">
        <v>12901286651.48</v>
      </c>
      <c r="E200" s="47">
        <v>68296354.560000002</v>
      </c>
      <c r="F200" s="47">
        <v>230617321.53999999</v>
      </c>
      <c r="G200" s="45">
        <v>27399880.219999999</v>
      </c>
      <c r="H200" s="46">
        <f t="shared" si="100"/>
        <v>271513795.88</v>
      </c>
      <c r="I200" s="45">
        <v>14120852180.940001</v>
      </c>
      <c r="J200" s="48">
        <f t="shared" si="87"/>
        <v>9.7939398625818061E-2</v>
      </c>
      <c r="K200" s="45">
        <v>14394357407.040001</v>
      </c>
      <c r="L200" s="48">
        <f t="shared" si="94"/>
        <v>9.1559558559370466E-2</v>
      </c>
      <c r="M200" s="48">
        <f t="shared" si="95"/>
        <v>1.9368889539766686E-2</v>
      </c>
      <c r="N200" s="49">
        <f t="shared" si="96"/>
        <v>1.9035153459923989E-3</v>
      </c>
      <c r="O200" s="50">
        <f t="shared" si="97"/>
        <v>1.8862515929138169E-2</v>
      </c>
      <c r="P200" s="51">
        <f t="shared" si="98"/>
        <v>917.2892841147592</v>
      </c>
      <c r="Q200" s="51">
        <f t="shared" si="99"/>
        <v>17.302383733242394</v>
      </c>
      <c r="R200" s="45">
        <v>909.7</v>
      </c>
      <c r="S200" s="45">
        <v>921.18</v>
      </c>
      <c r="T200" s="45">
        <v>42</v>
      </c>
      <c r="U200" s="45">
        <v>15690052</v>
      </c>
      <c r="V200" s="45">
        <v>15692276.859999999</v>
      </c>
    </row>
    <row r="201" spans="1:22">
      <c r="A201" s="81">
        <v>179</v>
      </c>
      <c r="B201" s="70" t="s">
        <v>267</v>
      </c>
      <c r="C201" s="70" t="s">
        <v>136</v>
      </c>
      <c r="D201" s="47">
        <v>8011925556.0500002</v>
      </c>
      <c r="E201" s="47">
        <v>27179003.5</v>
      </c>
      <c r="F201" s="47">
        <v>68398140.349999994</v>
      </c>
      <c r="G201" s="45">
        <v>72585448.739999995</v>
      </c>
      <c r="H201" s="46">
        <f t="shared" si="100"/>
        <v>22991695.109999999</v>
      </c>
      <c r="I201" s="45">
        <v>7869147282.75</v>
      </c>
      <c r="J201" s="48">
        <f t="shared" si="87"/>
        <v>5.4578827304119629E-2</v>
      </c>
      <c r="K201" s="45">
        <v>8074407504.1300001</v>
      </c>
      <c r="L201" s="48">
        <f t="shared" si="94"/>
        <v>5.1359651966473963E-2</v>
      </c>
      <c r="M201" s="48">
        <f t="shared" si="95"/>
        <v>2.6084175833123894E-2</v>
      </c>
      <c r="N201" s="49">
        <f t="shared" si="96"/>
        <v>8.989569662278386E-3</v>
      </c>
      <c r="O201" s="50">
        <f t="shared" si="97"/>
        <v>2.8474776753885551E-3</v>
      </c>
      <c r="P201" s="51">
        <f t="shared" si="98"/>
        <v>47.021724574692932</v>
      </c>
      <c r="Q201" s="51">
        <f t="shared" si="99"/>
        <v>0.13389331098470753</v>
      </c>
      <c r="R201" s="45">
        <v>47.613</v>
      </c>
      <c r="S201" s="45">
        <v>47.613</v>
      </c>
      <c r="T201" s="45">
        <v>6275</v>
      </c>
      <c r="U201" s="45">
        <v>171759501.63</v>
      </c>
      <c r="V201" s="45">
        <v>171716532.66999999</v>
      </c>
    </row>
    <row r="202" spans="1:22" ht="15" customHeight="1">
      <c r="A202" s="166" t="s">
        <v>60</v>
      </c>
      <c r="B202" s="166"/>
      <c r="C202" s="166"/>
      <c r="D202" s="166"/>
      <c r="E202" s="166"/>
      <c r="F202" s="166"/>
      <c r="G202" s="166"/>
      <c r="H202" s="166"/>
      <c r="I202" s="63">
        <f>SUM(I172:I201)</f>
        <v>144179486285.0788</v>
      </c>
      <c r="J202" s="61">
        <f>(I202/$I$247)</f>
        <v>1.6237409780738763E-2</v>
      </c>
      <c r="K202" s="63">
        <f>SUM(K172:K201)</f>
        <v>157213049445.91</v>
      </c>
      <c r="L202" s="61">
        <f>(K202/$K$247)</f>
        <v>1.7362689884552703E-2</v>
      </c>
      <c r="M202" s="61">
        <f t="shared" si="89"/>
        <v>9.0398180050805577E-2</v>
      </c>
      <c r="N202" s="49"/>
      <c r="O202" s="49"/>
      <c r="P202" s="62"/>
      <c r="Q202" s="62"/>
      <c r="R202" s="63"/>
      <c r="S202" s="63"/>
      <c r="T202" s="63">
        <f>SUM(T172:T201)</f>
        <v>93972</v>
      </c>
      <c r="U202" s="63"/>
      <c r="V202" s="98"/>
    </row>
    <row r="203" spans="1:22" ht="6" customHeight="1">
      <c r="A203" s="175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</row>
    <row r="204" spans="1:22">
      <c r="A204" s="170" t="s">
        <v>268</v>
      </c>
      <c r="B204" s="170"/>
      <c r="C204" s="170"/>
      <c r="D204" s="170"/>
      <c r="E204" s="170"/>
      <c r="F204" s="170"/>
      <c r="G204" s="170"/>
      <c r="H204" s="170"/>
      <c r="I204" s="170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</row>
    <row r="205" spans="1:22">
      <c r="A205" s="81">
        <v>180</v>
      </c>
      <c r="B205" s="45" t="s">
        <v>269</v>
      </c>
      <c r="C205" s="70" t="s">
        <v>270</v>
      </c>
      <c r="D205" s="45">
        <f>125000000+457740294.02+5713887.31</f>
        <v>588454181.32999992</v>
      </c>
      <c r="E205" s="45">
        <v>11162936.77</v>
      </c>
      <c r="F205" s="70">
        <v>0</v>
      </c>
      <c r="G205" s="45">
        <v>1711158.03</v>
      </c>
      <c r="H205" s="46">
        <f>(E205+F205)-G205</f>
        <v>9451778.7400000002</v>
      </c>
      <c r="I205" s="45">
        <v>599890716.47000003</v>
      </c>
      <c r="J205" s="48">
        <f t="shared" ref="J205:J207" si="103">(I205/$I$208)</f>
        <v>3.0718753828522165E-2</v>
      </c>
      <c r="K205" s="45">
        <v>163480086.50999999</v>
      </c>
      <c r="L205" s="48">
        <f t="shared" ref="L205" si="104">(K205/$K$208)</f>
        <v>7.6641269512115456E-3</v>
      </c>
      <c r="M205" s="48">
        <f t="shared" ref="M205" si="105">((K205-I205)/I205)</f>
        <v>-0.7274835532178543</v>
      </c>
      <c r="N205" s="49">
        <f t="shared" ref="N205" si="106">(G205/K205)</f>
        <v>1.0467073186282719E-2</v>
      </c>
      <c r="O205" s="50">
        <f t="shared" ref="O205" si="107">H205/K205</f>
        <v>5.781608599419135E-2</v>
      </c>
      <c r="P205" s="51">
        <f t="shared" ref="P205" si="108">K205/V205</f>
        <v>281.43279050070151</v>
      </c>
      <c r="Q205" s="51">
        <f t="shared" ref="Q205" si="109">H205/V205</f>
        <v>16.271342417173795</v>
      </c>
      <c r="R205" s="45">
        <v>1056.1199999999999</v>
      </c>
      <c r="S205" s="45">
        <v>1056.1199999999999</v>
      </c>
      <c r="T205" s="45">
        <v>34</v>
      </c>
      <c r="U205" s="45">
        <v>577275</v>
      </c>
      <c r="V205" s="45">
        <v>580885</v>
      </c>
    </row>
    <row r="206" spans="1:22">
      <c r="A206" s="81">
        <v>181</v>
      </c>
      <c r="B206" s="45" t="s">
        <v>271</v>
      </c>
      <c r="C206" s="70" t="s">
        <v>52</v>
      </c>
      <c r="D206" s="45">
        <v>19301994962.209999</v>
      </c>
      <c r="E206" s="45">
        <v>172842451.40000001</v>
      </c>
      <c r="F206" s="70">
        <v>41712529.880000003</v>
      </c>
      <c r="G206" s="45">
        <v>74497047.159999996</v>
      </c>
      <c r="H206" s="46">
        <f>(E206+F206)-G206</f>
        <v>140057934.12</v>
      </c>
      <c r="I206" s="45">
        <v>16999668422.290001</v>
      </c>
      <c r="J206" s="48">
        <f t="shared" si="103"/>
        <v>0.870506269047995</v>
      </c>
      <c r="K206" s="45">
        <v>19205840006.720001</v>
      </c>
      <c r="L206" s="48">
        <f t="shared" ref="L206:L207" si="110">(K206/$K$208)</f>
        <v>0.90039098436099607</v>
      </c>
      <c r="M206" s="48">
        <f t="shared" ref="M206:M207" si="111">((K206-I206)/I206)</f>
        <v>0.12977733033529429</v>
      </c>
      <c r="N206" s="49">
        <f t="shared" ref="N206:N207" si="112">(G206/K206)</f>
        <v>3.8788747138336025E-3</v>
      </c>
      <c r="O206" s="50">
        <f t="shared" ref="O206:O207" si="113">H206/K206</f>
        <v>7.2924659411405402E-3</v>
      </c>
      <c r="P206" s="51">
        <f t="shared" ref="P206:P207" si="114">K206/V206</f>
        <v>7.2983977262913236</v>
      </c>
      <c r="Q206" s="51">
        <f t="shared" ref="Q206:Q207" si="115">H206/V206</f>
        <v>5.322331684387703E-2</v>
      </c>
      <c r="R206" s="45">
        <v>7.23</v>
      </c>
      <c r="S206" s="45">
        <v>7.34</v>
      </c>
      <c r="T206" s="45">
        <v>14203</v>
      </c>
      <c r="U206" s="45">
        <v>2348103949.2399998</v>
      </c>
      <c r="V206" s="45">
        <v>2631514577.1700001</v>
      </c>
    </row>
    <row r="207" spans="1:22">
      <c r="A207" s="81">
        <v>182</v>
      </c>
      <c r="B207" s="45" t="s">
        <v>272</v>
      </c>
      <c r="C207" s="70" t="s">
        <v>136</v>
      </c>
      <c r="D207" s="45">
        <v>1953733431.1700001</v>
      </c>
      <c r="E207" s="45">
        <v>13709913.6</v>
      </c>
      <c r="F207" s="45">
        <v>1904857.6</v>
      </c>
      <c r="G207" s="45">
        <v>16728563.130000001</v>
      </c>
      <c r="H207" s="46">
        <f>(E207+F207)-G207</f>
        <v>-1113791.9300000016</v>
      </c>
      <c r="I207" s="45">
        <v>1928925636.98</v>
      </c>
      <c r="J207" s="48">
        <f t="shared" si="103"/>
        <v>9.8774977123482766E-2</v>
      </c>
      <c r="K207" s="45">
        <v>1961235565.71</v>
      </c>
      <c r="L207" s="48">
        <f t="shared" si="110"/>
        <v>9.1944888687792478E-2</v>
      </c>
      <c r="M207" s="48">
        <f t="shared" si="111"/>
        <v>1.6750219972494991E-2</v>
      </c>
      <c r="N207" s="49">
        <f t="shared" si="112"/>
        <v>8.5296042058792577E-3</v>
      </c>
      <c r="O207" s="50">
        <f t="shared" si="113"/>
        <v>-5.6790318790531937E-4</v>
      </c>
      <c r="P207" s="51">
        <f t="shared" si="114"/>
        <v>53.981307690815797</v>
      </c>
      <c r="Q207" s="51">
        <f t="shared" si="115"/>
        <v>-3.0656156724912228E-2</v>
      </c>
      <c r="R207" s="45">
        <v>53.979599999999998</v>
      </c>
      <c r="S207" s="45">
        <v>54.5289</v>
      </c>
      <c r="T207" s="45">
        <v>1555</v>
      </c>
      <c r="U207" s="45">
        <v>36420385.219999999</v>
      </c>
      <c r="V207" s="45">
        <v>36331753.520000003</v>
      </c>
    </row>
    <row r="208" spans="1:22" ht="15" customHeight="1">
      <c r="A208" s="166" t="s">
        <v>60</v>
      </c>
      <c r="B208" s="166"/>
      <c r="C208" s="166"/>
      <c r="D208" s="166"/>
      <c r="E208" s="166"/>
      <c r="F208" s="166"/>
      <c r="G208" s="166"/>
      <c r="H208" s="166"/>
      <c r="I208" s="63">
        <f>SUM(I205:I207)</f>
        <v>19528484775.740002</v>
      </c>
      <c r="J208" s="61">
        <f>(I208/$I$247)</f>
        <v>2.1992865827919427E-3</v>
      </c>
      <c r="K208" s="63">
        <f>SUM(K205:K207)</f>
        <v>21330555658.939999</v>
      </c>
      <c r="L208" s="61">
        <f>(K208/$K$247)</f>
        <v>2.3557575168007211E-3</v>
      </c>
      <c r="M208" s="61">
        <f t="shared" ref="M208" si="116">((K208-I208)/I208)</f>
        <v>9.2279094046184659E-2</v>
      </c>
      <c r="N208" s="49"/>
      <c r="O208" s="99"/>
      <c r="P208" s="62"/>
      <c r="Q208" s="62"/>
      <c r="R208" s="63"/>
      <c r="S208" s="63"/>
      <c r="T208" s="63">
        <f>SUM(T205:T207)</f>
        <v>15792</v>
      </c>
      <c r="U208" s="63"/>
      <c r="V208" s="98"/>
    </row>
    <row r="209" spans="1:22" ht="4.95" customHeight="1">
      <c r="A209" s="169"/>
      <c r="B209" s="169"/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</row>
    <row r="210" spans="1:22">
      <c r="A210" s="170" t="s">
        <v>273</v>
      </c>
      <c r="B210" s="170"/>
      <c r="C210" s="170"/>
      <c r="D210" s="170"/>
      <c r="E210" s="170"/>
      <c r="F210" s="170"/>
      <c r="G210" s="170"/>
      <c r="H210" s="170"/>
      <c r="I210" s="170"/>
      <c r="J210" s="170"/>
      <c r="K210" s="170"/>
      <c r="L210" s="170"/>
      <c r="M210" s="170"/>
      <c r="N210" s="170"/>
      <c r="O210" s="170"/>
      <c r="P210" s="170"/>
      <c r="Q210" s="170"/>
      <c r="R210" s="170"/>
      <c r="S210" s="170"/>
      <c r="T210" s="170"/>
      <c r="U210" s="170"/>
      <c r="V210" s="170"/>
    </row>
    <row r="211" spans="1:22" ht="13.2" customHeight="1">
      <c r="A211" s="164" t="s">
        <v>274</v>
      </c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64"/>
      <c r="Q211" s="164"/>
      <c r="R211" s="164"/>
      <c r="S211" s="164"/>
      <c r="T211" s="164"/>
      <c r="U211" s="164"/>
      <c r="V211" s="164"/>
    </row>
    <row r="212" spans="1:22" ht="15" customHeight="1">
      <c r="A212" s="53">
        <v>183</v>
      </c>
      <c r="B212" s="52" t="s">
        <v>275</v>
      </c>
      <c r="C212" s="44" t="s">
        <v>276</v>
      </c>
      <c r="D212" s="100">
        <v>12738736834.780001</v>
      </c>
      <c r="E212" s="47">
        <v>196790059.59999999</v>
      </c>
      <c r="F212" s="47">
        <v>43699766.390000001</v>
      </c>
      <c r="G212" s="57">
        <v>50623356.420000002</v>
      </c>
      <c r="H212" s="46">
        <f>(E212+F212)-G212</f>
        <v>189866469.56999999</v>
      </c>
      <c r="I212" s="47">
        <v>16708578408.42</v>
      </c>
      <c r="J212" s="48">
        <f>(I212/$I$236)</f>
        <v>0.12495102288054521</v>
      </c>
      <c r="K212" s="47">
        <v>17490743715.630001</v>
      </c>
      <c r="L212" s="48">
        <f>(K212/$K$236)</f>
        <v>0.12150252684581465</v>
      </c>
      <c r="M212" s="48">
        <f>((K212-I212)/I212)</f>
        <v>4.681219958340934E-2</v>
      </c>
      <c r="N212" s="49">
        <f>(G212/K212)</f>
        <v>2.8942941045303969E-3</v>
      </c>
      <c r="O212" s="50">
        <f>H212/K212</f>
        <v>1.0855254222285149E-2</v>
      </c>
      <c r="P212" s="51">
        <f>K212/V212</f>
        <v>4.0492605787843132</v>
      </c>
      <c r="Q212" s="51">
        <f>H212/V212</f>
        <v>4.3955752994981216E-2</v>
      </c>
      <c r="R212" s="47">
        <v>4.01</v>
      </c>
      <c r="S212" s="47">
        <v>4.09</v>
      </c>
      <c r="T212" s="47">
        <v>16715</v>
      </c>
      <c r="U212" s="45">
        <v>3903603548.4899998</v>
      </c>
      <c r="V212" s="45">
        <v>4319490775</v>
      </c>
    </row>
    <row r="213" spans="1:22">
      <c r="A213" s="53">
        <v>184</v>
      </c>
      <c r="B213" s="44" t="s">
        <v>277</v>
      </c>
      <c r="C213" s="44" t="s">
        <v>52</v>
      </c>
      <c r="D213" s="84">
        <v>40734184512.010002</v>
      </c>
      <c r="E213" s="84">
        <v>129505397.11</v>
      </c>
      <c r="F213" s="84">
        <v>488857816.94999999</v>
      </c>
      <c r="G213" s="84">
        <v>123820107.67</v>
      </c>
      <c r="H213" s="46">
        <f>(E213+F213)-G213</f>
        <v>494543106.38999993</v>
      </c>
      <c r="I213" s="57">
        <v>33994011307.759998</v>
      </c>
      <c r="J213" s="48">
        <f>(I213/$I$236)</f>
        <v>0.25421591118589326</v>
      </c>
      <c r="K213" s="84">
        <v>42483217673.209999</v>
      </c>
      <c r="L213" s="48">
        <f>(K213/$K$236)</f>
        <v>0.29511714194423327</v>
      </c>
      <c r="M213" s="48">
        <f>((K213-I213)/I213)</f>
        <v>0.24972652649298036</v>
      </c>
      <c r="N213" s="49">
        <f>(G213/K213)</f>
        <v>2.9145651966018854E-3</v>
      </c>
      <c r="O213" s="50">
        <f>H213/K213</f>
        <v>1.1640905126210809E-2</v>
      </c>
      <c r="P213" s="51">
        <f>K213/V213</f>
        <v>1596.8249355137282</v>
      </c>
      <c r="Q213" s="51">
        <f>H213/V213</f>
        <v>18.588487577483004</v>
      </c>
      <c r="R213" s="84">
        <v>1584.32</v>
      </c>
      <c r="S213" s="84">
        <v>1605.39</v>
      </c>
      <c r="T213" s="57">
        <v>9173</v>
      </c>
      <c r="U213" s="84">
        <v>21632803.93</v>
      </c>
      <c r="V213" s="84">
        <v>26604806.030000001</v>
      </c>
    </row>
    <row r="214" spans="1:22" ht="7.2" customHeight="1">
      <c r="A214" s="169"/>
      <c r="B214" s="169"/>
      <c r="C214" s="169"/>
      <c r="D214" s="169"/>
      <c r="E214" s="169"/>
      <c r="F214" s="169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</row>
    <row r="215" spans="1:22">
      <c r="A215" s="171" t="s">
        <v>204</v>
      </c>
      <c r="B215" s="171"/>
      <c r="C215" s="171"/>
      <c r="D215" s="171"/>
      <c r="E215" s="171"/>
      <c r="F215" s="171"/>
      <c r="G215" s="171"/>
      <c r="H215" s="171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S215" s="171"/>
      <c r="T215" s="171"/>
      <c r="U215" s="171"/>
      <c r="V215" s="171"/>
    </row>
    <row r="216" spans="1:22">
      <c r="A216" s="101">
        <v>185</v>
      </c>
      <c r="B216" s="102" t="s">
        <v>278</v>
      </c>
      <c r="C216" s="103" t="s">
        <v>71</v>
      </c>
      <c r="D216" s="104">
        <v>891426309</v>
      </c>
      <c r="E216" s="104">
        <v>20690143</v>
      </c>
      <c r="F216" s="45">
        <v>11278922</v>
      </c>
      <c r="G216" s="104">
        <v>4693716</v>
      </c>
      <c r="H216" s="104">
        <f>(E216+F216)-G216</f>
        <v>27275349</v>
      </c>
      <c r="I216" s="104">
        <v>1492193185</v>
      </c>
      <c r="J216" s="48">
        <f t="shared" ref="J216:J229" si="117">(I216/$I$236)</f>
        <v>1.1159002294723639E-2</v>
      </c>
      <c r="K216" s="104">
        <v>1492193185</v>
      </c>
      <c r="L216" s="48">
        <f t="shared" ref="L216" si="118">(K216/$K$236)</f>
        <v>1.0365782351358049E-2</v>
      </c>
      <c r="M216" s="48">
        <f t="shared" ref="M216:M236" si="119">((K216-I216)/I216)</f>
        <v>0</v>
      </c>
      <c r="N216" s="49">
        <f>(G216/K216)</f>
        <v>3.1455149689616092E-3</v>
      </c>
      <c r="O216" s="50">
        <f>H216/K216</f>
        <v>1.8278698277260929E-2</v>
      </c>
      <c r="P216" s="51">
        <f>K216/V216</f>
        <v>1.1763624470640985</v>
      </c>
      <c r="Q216" s="51">
        <f>H216/V216</f>
        <v>2.1502374234584988E-2</v>
      </c>
      <c r="R216" s="104">
        <v>1.1763999999999999</v>
      </c>
      <c r="S216" s="104">
        <v>1.1763999999999999</v>
      </c>
      <c r="T216" s="104">
        <v>905</v>
      </c>
      <c r="U216" s="104">
        <v>1303266444</v>
      </c>
      <c r="V216" s="104">
        <v>1268480806</v>
      </c>
    </row>
    <row r="217" spans="1:22">
      <c r="A217" s="105">
        <v>186</v>
      </c>
      <c r="B217" s="106" t="s">
        <v>279</v>
      </c>
      <c r="C217" s="103" t="s">
        <v>280</v>
      </c>
      <c r="D217" s="104">
        <v>238521350</v>
      </c>
      <c r="E217" s="104">
        <v>2010106</v>
      </c>
      <c r="F217" s="45">
        <v>0</v>
      </c>
      <c r="G217" s="104">
        <v>954914</v>
      </c>
      <c r="H217" s="104">
        <f>(E217+F217)-G217</f>
        <v>1055192</v>
      </c>
      <c r="I217" s="104">
        <v>373458551.10190916</v>
      </c>
      <c r="J217" s="48">
        <f t="shared" si="117"/>
        <v>2.7928185643941068E-3</v>
      </c>
      <c r="K217" s="104">
        <v>325044846</v>
      </c>
      <c r="L217" s="48">
        <f t="shared" ref="L217:L229" si="120">(K217/$K$236)</f>
        <v>2.2579811796062418E-3</v>
      </c>
      <c r="M217" s="48">
        <f t="shared" ref="M217:M229" si="121">((K217-I217)/I217)</f>
        <v>-0.12963608667966489</v>
      </c>
      <c r="N217" s="49">
        <f t="shared" ref="N217:N229" si="122">(G217/K217)</f>
        <v>2.9377915440012854E-3</v>
      </c>
      <c r="O217" s="50">
        <f t="shared" ref="O217:O229" si="123">H217/K217</f>
        <v>3.2462966663990727E-3</v>
      </c>
      <c r="P217" s="51">
        <f t="shared" ref="P217:P229" si="124">K217/V217</f>
        <v>1145.5526828666584</v>
      </c>
      <c r="Q217" s="51">
        <f t="shared" ref="Q217:Q229" si="125">H217/V217</f>
        <v>3.7188038555745475</v>
      </c>
      <c r="R217" s="104">
        <v>1145.55</v>
      </c>
      <c r="S217" s="104">
        <v>1145.55</v>
      </c>
      <c r="T217" s="104">
        <v>19</v>
      </c>
      <c r="U217" s="104">
        <v>327318</v>
      </c>
      <c r="V217" s="104">
        <v>283745</v>
      </c>
    </row>
    <row r="218" spans="1:22" ht="15" customHeight="1">
      <c r="A218" s="101">
        <v>187</v>
      </c>
      <c r="B218" s="102" t="s">
        <v>281</v>
      </c>
      <c r="C218" s="103" t="s">
        <v>82</v>
      </c>
      <c r="D218" s="104">
        <v>162812838.56999999</v>
      </c>
      <c r="E218" s="104">
        <v>5394886.0300000003</v>
      </c>
      <c r="F218" s="45">
        <v>0</v>
      </c>
      <c r="G218" s="104">
        <v>609767.32999999996</v>
      </c>
      <c r="H218" s="104">
        <f t="shared" ref="H218:H229" si="126">(E218+F218)-G218</f>
        <v>4785118.7</v>
      </c>
      <c r="I218" s="104">
        <v>350276262.82999998</v>
      </c>
      <c r="J218" s="48">
        <f t="shared" si="117"/>
        <v>2.6194554833777707E-3</v>
      </c>
      <c r="K218" s="104">
        <v>367995889.92000002</v>
      </c>
      <c r="L218" s="48">
        <f t="shared" si="120"/>
        <v>2.5563481588377819E-3</v>
      </c>
      <c r="M218" s="48">
        <f t="shared" si="121"/>
        <v>5.0587576065923491E-2</v>
      </c>
      <c r="N218" s="49">
        <f t="shared" si="122"/>
        <v>1.6569949466896479E-3</v>
      </c>
      <c r="O218" s="50">
        <f t="shared" si="123"/>
        <v>1.3003185174269894E-2</v>
      </c>
      <c r="P218" s="51">
        <f t="shared" si="124"/>
        <v>126.58095180307637</v>
      </c>
      <c r="Q218" s="51">
        <f t="shared" si="125"/>
        <v>1.6459555558307346</v>
      </c>
      <c r="R218" s="104">
        <v>125.01</v>
      </c>
      <c r="S218" s="104">
        <v>125.01</v>
      </c>
      <c r="T218" s="104">
        <v>84</v>
      </c>
      <c r="U218" s="104">
        <v>2740689</v>
      </c>
      <c r="V218" s="104">
        <v>2907198</v>
      </c>
    </row>
    <row r="219" spans="1:22" ht="15" customHeight="1">
      <c r="A219" s="105">
        <v>188</v>
      </c>
      <c r="B219" s="106" t="s">
        <v>282</v>
      </c>
      <c r="C219" s="103" t="s">
        <v>283</v>
      </c>
      <c r="D219" s="107">
        <v>49649950</v>
      </c>
      <c r="E219" s="107">
        <v>778172.77</v>
      </c>
      <c r="F219" s="45"/>
      <c r="G219" s="107">
        <v>109385.91</v>
      </c>
      <c r="H219" s="104">
        <f t="shared" ref="H219" si="127">(E219+F219)-G219</f>
        <v>668786.86</v>
      </c>
      <c r="I219" s="104">
        <v>53899954</v>
      </c>
      <c r="J219" s="48">
        <f t="shared" si="117"/>
        <v>4.0307764196865608E-4</v>
      </c>
      <c r="K219" s="107">
        <v>54531943.43</v>
      </c>
      <c r="L219" s="48">
        <f t="shared" si="120"/>
        <v>3.7881573409809504E-4</v>
      </c>
      <c r="M219" s="48">
        <f t="shared" si="121"/>
        <v>1.1725231342497986E-2</v>
      </c>
      <c r="N219" s="49">
        <f t="shared" si="122"/>
        <v>2.0059052203120794E-3</v>
      </c>
      <c r="O219" s="50">
        <f t="shared" si="123"/>
        <v>1.2264130304809127E-2</v>
      </c>
      <c r="P219" s="51">
        <f t="shared" si="124"/>
        <v>106.6355814003512</v>
      </c>
      <c r="Q219" s="51">
        <f t="shared" si="125"/>
        <v>1.3077926654229877</v>
      </c>
      <c r="R219" s="104">
        <v>106.64</v>
      </c>
      <c r="S219" s="104">
        <v>106.64</v>
      </c>
      <c r="T219" s="104">
        <v>14</v>
      </c>
      <c r="U219" s="107">
        <v>511386</v>
      </c>
      <c r="V219" s="107">
        <v>511386</v>
      </c>
    </row>
    <row r="220" spans="1:22" ht="15" customHeight="1">
      <c r="A220" s="101">
        <v>189</v>
      </c>
      <c r="B220" s="106" t="s">
        <v>284</v>
      </c>
      <c r="C220" s="103" t="s">
        <v>191</v>
      </c>
      <c r="D220" s="104">
        <v>93935796.709999993</v>
      </c>
      <c r="E220" s="104">
        <v>565834.93000000005</v>
      </c>
      <c r="F220" s="45">
        <v>0</v>
      </c>
      <c r="G220" s="104">
        <v>364075.21</v>
      </c>
      <c r="H220" s="104">
        <f t="shared" si="126"/>
        <v>201759.72000000003</v>
      </c>
      <c r="I220" s="104">
        <v>85417467.579999998</v>
      </c>
      <c r="J220" s="48">
        <f t="shared" si="117"/>
        <v>6.3877366973412496E-4</v>
      </c>
      <c r="K220" s="104">
        <v>242810958.09</v>
      </c>
      <c r="L220" s="48">
        <f t="shared" si="120"/>
        <v>1.6867290169842594E-3</v>
      </c>
      <c r="M220" s="48">
        <f t="shared" si="121"/>
        <v>1.842638221070988</v>
      </c>
      <c r="N220" s="49">
        <f t="shared" si="122"/>
        <v>1.4994183658920879E-3</v>
      </c>
      <c r="O220" s="50">
        <f t="shared" si="123"/>
        <v>8.3093333837600534E-4</v>
      </c>
      <c r="P220" s="51">
        <f t="shared" si="124"/>
        <v>282.50256904013963</v>
      </c>
      <c r="Q220" s="51">
        <f t="shared" si="125"/>
        <v>0.23474080279232115</v>
      </c>
      <c r="R220" s="104">
        <v>101.29</v>
      </c>
      <c r="S220" s="104">
        <v>101.86</v>
      </c>
      <c r="T220" s="104">
        <v>29</v>
      </c>
      <c r="U220" s="104">
        <v>744927</v>
      </c>
      <c r="V220" s="104">
        <v>859500</v>
      </c>
    </row>
    <row r="221" spans="1:22" ht="15" customHeight="1">
      <c r="A221" s="105">
        <v>190</v>
      </c>
      <c r="B221" s="44" t="s">
        <v>285</v>
      </c>
      <c r="C221" s="52" t="s">
        <v>91</v>
      </c>
      <c r="D221" s="74">
        <v>329814037.47000003</v>
      </c>
      <c r="E221" s="47">
        <v>4248099</v>
      </c>
      <c r="F221" s="47">
        <v>0</v>
      </c>
      <c r="G221" s="45">
        <v>1130700</v>
      </c>
      <c r="H221" s="46">
        <f t="shared" si="126"/>
        <v>3117399</v>
      </c>
      <c r="I221" s="57">
        <v>309066860</v>
      </c>
      <c r="J221" s="48">
        <f t="shared" si="117"/>
        <v>2.3112810289125062E-3</v>
      </c>
      <c r="K221" s="57">
        <v>334421437</v>
      </c>
      <c r="L221" s="48">
        <f t="shared" si="120"/>
        <v>2.3231173177958174E-3</v>
      </c>
      <c r="M221" s="48">
        <f t="shared" si="121"/>
        <v>8.2035896698856678E-2</v>
      </c>
      <c r="N221" s="49">
        <f t="shared" si="122"/>
        <v>3.3810631583405344E-3</v>
      </c>
      <c r="O221" s="50">
        <f t="shared" si="123"/>
        <v>9.3217678506656264E-3</v>
      </c>
      <c r="P221" s="51">
        <f t="shared" si="124"/>
        <v>1.2245439456789957</v>
      </c>
      <c r="Q221" s="51">
        <f t="shared" si="125"/>
        <v>1.1414914384557696E-2</v>
      </c>
      <c r="R221" s="45">
        <v>1.2275</v>
      </c>
      <c r="S221" s="45">
        <v>1.2275</v>
      </c>
      <c r="T221" s="45">
        <v>110</v>
      </c>
      <c r="U221" s="45">
        <v>272807869.41000003</v>
      </c>
      <c r="V221" s="45">
        <v>273098763.16000003</v>
      </c>
    </row>
    <row r="222" spans="1:22" ht="15" customHeight="1">
      <c r="A222" s="101">
        <v>191</v>
      </c>
      <c r="B222" s="108" t="s">
        <v>286</v>
      </c>
      <c r="C222" s="159" t="s">
        <v>328</v>
      </c>
      <c r="D222" s="104">
        <v>5735623042.8100004</v>
      </c>
      <c r="E222" s="104">
        <v>71814300.400000006</v>
      </c>
      <c r="F222" s="45">
        <v>0</v>
      </c>
      <c r="G222" s="104">
        <v>9278735.5</v>
      </c>
      <c r="H222" s="104">
        <f t="shared" si="126"/>
        <v>62535564.900000006</v>
      </c>
      <c r="I222" s="104">
        <v>5684684412.5799999</v>
      </c>
      <c r="J222" s="48">
        <f t="shared" si="117"/>
        <v>4.2511524005358542E-2</v>
      </c>
      <c r="K222" s="104">
        <v>5707842120.1099997</v>
      </c>
      <c r="L222" s="48">
        <f t="shared" si="120"/>
        <v>3.9650528971538188E-2</v>
      </c>
      <c r="M222" s="48">
        <f t="shared" si="121"/>
        <v>4.0737015196046006E-3</v>
      </c>
      <c r="N222" s="49">
        <f t="shared" si="122"/>
        <v>1.6256117994765389E-3</v>
      </c>
      <c r="O222" s="50">
        <f t="shared" si="123"/>
        <v>1.0956078248848769E-2</v>
      </c>
      <c r="P222" s="51">
        <f t="shared" si="124"/>
        <v>150.39010475587608</v>
      </c>
      <c r="Q222" s="51">
        <f t="shared" si="125"/>
        <v>1.6476857555579416</v>
      </c>
      <c r="R222" s="104">
        <v>150.38999999999999</v>
      </c>
      <c r="S222" s="104">
        <v>150.38999999999999</v>
      </c>
      <c r="T222" s="104">
        <v>1685</v>
      </c>
      <c r="U222" s="104">
        <v>38216384</v>
      </c>
      <c r="V222" s="104">
        <v>37953575</v>
      </c>
    </row>
    <row r="223" spans="1:22" ht="15" customHeight="1">
      <c r="A223" s="105">
        <v>192</v>
      </c>
      <c r="B223" s="103" t="s">
        <v>287</v>
      </c>
      <c r="C223" s="103" t="s">
        <v>80</v>
      </c>
      <c r="D223" s="104">
        <v>974037978.62</v>
      </c>
      <c r="E223" s="104">
        <v>12948282.109999999</v>
      </c>
      <c r="F223" s="45">
        <v>0</v>
      </c>
      <c r="G223" s="104">
        <v>1773929.72</v>
      </c>
      <c r="H223" s="104">
        <f t="shared" si="126"/>
        <v>11174352.389999999</v>
      </c>
      <c r="I223" s="104">
        <v>1005836457.28</v>
      </c>
      <c r="J223" s="48">
        <f t="shared" si="117"/>
        <v>7.5219022896852433E-3</v>
      </c>
      <c r="K223" s="104">
        <v>995150824.54999995</v>
      </c>
      <c r="L223" s="48">
        <f t="shared" si="120"/>
        <v>6.9129901930625693E-3</v>
      </c>
      <c r="M223" s="48">
        <f t="shared" si="121"/>
        <v>-1.0623628376820113E-2</v>
      </c>
      <c r="N223" s="49">
        <f t="shared" si="122"/>
        <v>1.7825737327828255E-3</v>
      </c>
      <c r="O223" s="50">
        <f t="shared" si="123"/>
        <v>1.122880282499184E-2</v>
      </c>
      <c r="P223" s="51">
        <f t="shared" si="124"/>
        <v>1392.4730962848835</v>
      </c>
      <c r="Q223" s="51">
        <f t="shared" si="125"/>
        <v>15.635805837288835</v>
      </c>
      <c r="R223" s="104">
        <v>1392.47</v>
      </c>
      <c r="S223" s="104">
        <v>1392.47</v>
      </c>
      <c r="T223" s="104">
        <v>341</v>
      </c>
      <c r="U223" s="104">
        <v>730507.41</v>
      </c>
      <c r="V223" s="104">
        <v>714664.31</v>
      </c>
    </row>
    <row r="224" spans="1:22" ht="15" customHeight="1">
      <c r="A224" s="101">
        <v>193</v>
      </c>
      <c r="B224" s="102" t="s">
        <v>288</v>
      </c>
      <c r="C224" s="103" t="s">
        <v>276</v>
      </c>
      <c r="D224" s="104">
        <v>19397412721.419998</v>
      </c>
      <c r="E224" s="104">
        <v>802253553.21000004</v>
      </c>
      <c r="F224" s="45"/>
      <c r="G224" s="104">
        <v>74620682.870000005</v>
      </c>
      <c r="H224" s="104">
        <f t="shared" si="126"/>
        <v>727632870.34000003</v>
      </c>
      <c r="I224" s="104">
        <v>45316092545.82</v>
      </c>
      <c r="J224" s="48">
        <f t="shared" si="117"/>
        <v>0.33888533052556069</v>
      </c>
      <c r="K224" s="104">
        <v>45681347066.419998</v>
      </c>
      <c r="L224" s="48">
        <f t="shared" si="120"/>
        <v>0.31733351014289629</v>
      </c>
      <c r="M224" s="48">
        <f t="shared" si="121"/>
        <v>8.0601503810303673E-3</v>
      </c>
      <c r="N224" s="49">
        <f t="shared" si="122"/>
        <v>1.6335044315024826E-3</v>
      </c>
      <c r="O224" s="50">
        <f t="shared" si="123"/>
        <v>1.5928446008433874E-2</v>
      </c>
      <c r="P224" s="51">
        <f t="shared" si="124"/>
        <v>1303.9278107735636</v>
      </c>
      <c r="Q224" s="51">
        <f t="shared" si="125"/>
        <v>20.769543732802088</v>
      </c>
      <c r="R224" s="104">
        <v>1303.93</v>
      </c>
      <c r="S224" s="104">
        <v>1303.93</v>
      </c>
      <c r="T224" s="104">
        <v>13534</v>
      </c>
      <c r="U224" s="104">
        <v>35231207.799999997</v>
      </c>
      <c r="V224" s="104">
        <v>35033647.329999998</v>
      </c>
    </row>
    <row r="225" spans="1:22" ht="15" customHeight="1">
      <c r="A225" s="105">
        <v>194</v>
      </c>
      <c r="B225" s="109" t="s">
        <v>289</v>
      </c>
      <c r="C225" s="109" t="s">
        <v>290</v>
      </c>
      <c r="D225" s="107">
        <v>569017974.70000005</v>
      </c>
      <c r="E225" s="107">
        <v>1329793.23</v>
      </c>
      <c r="F225" s="45">
        <v>122691118.02</v>
      </c>
      <c r="G225" s="107">
        <v>978944.92</v>
      </c>
      <c r="H225" s="104">
        <f t="shared" si="126"/>
        <v>123041966.33</v>
      </c>
      <c r="I225" s="104">
        <v>538533901.98000002</v>
      </c>
      <c r="J225" s="48">
        <f t="shared" si="117"/>
        <v>4.0272942594770629E-3</v>
      </c>
      <c r="K225" s="107">
        <v>576150317.52999997</v>
      </c>
      <c r="L225" s="48">
        <f t="shared" si="120"/>
        <v>4.0023294927337503E-3</v>
      </c>
      <c r="M225" s="48">
        <f t="shared" si="121"/>
        <v>6.9849670395304E-2</v>
      </c>
      <c r="N225" s="49">
        <f t="shared" si="122"/>
        <v>1.6991137385757437E-3</v>
      </c>
      <c r="O225" s="50">
        <f t="shared" si="123"/>
        <v>0.21355879288150048</v>
      </c>
      <c r="P225" s="51">
        <f t="shared" si="124"/>
        <v>142.07578276648212</v>
      </c>
      <c r="Q225" s="51">
        <f t="shared" si="125"/>
        <v>30.341532665304214</v>
      </c>
      <c r="R225" s="104">
        <v>141.66999999999999</v>
      </c>
      <c r="S225" s="104">
        <v>142.15</v>
      </c>
      <c r="T225" s="104">
        <v>145</v>
      </c>
      <c r="U225" s="107">
        <v>3931479.05</v>
      </c>
      <c r="V225" s="107">
        <v>4055232.4</v>
      </c>
    </row>
    <row r="226" spans="1:22" ht="15" customHeight="1">
      <c r="A226" s="101">
        <v>195</v>
      </c>
      <c r="B226" s="109" t="s">
        <v>291</v>
      </c>
      <c r="C226" s="109" t="s">
        <v>290</v>
      </c>
      <c r="D226" s="104">
        <v>1002856393.04</v>
      </c>
      <c r="E226" s="104"/>
      <c r="F226" s="45">
        <v>84556643.430000007</v>
      </c>
      <c r="G226" s="104">
        <v>1685720.37</v>
      </c>
      <c r="H226" s="104">
        <f t="shared" si="126"/>
        <v>82870923.060000002</v>
      </c>
      <c r="I226" s="104">
        <v>944161420.05999994</v>
      </c>
      <c r="J226" s="48">
        <f t="shared" si="117"/>
        <v>7.0606805867693793E-3</v>
      </c>
      <c r="K226" s="104">
        <v>1003801508.39</v>
      </c>
      <c r="L226" s="48">
        <f t="shared" si="120"/>
        <v>6.9730836895194976E-3</v>
      </c>
      <c r="M226" s="48">
        <f t="shared" si="121"/>
        <v>6.3167258334078102E-2</v>
      </c>
      <c r="N226" s="49">
        <f t="shared" si="122"/>
        <v>1.6793363587426081E-3</v>
      </c>
      <c r="O226" s="50">
        <f t="shared" si="123"/>
        <v>8.2557081621561723E-2</v>
      </c>
      <c r="P226" s="51">
        <f t="shared" si="124"/>
        <v>147.86226759621348</v>
      </c>
      <c r="Q226" s="51">
        <f t="shared" si="125"/>
        <v>12.207077294689798</v>
      </c>
      <c r="R226" s="104">
        <v>147.61000000000001</v>
      </c>
      <c r="S226" s="104">
        <v>147.61000000000001</v>
      </c>
      <c r="T226" s="104">
        <v>138</v>
      </c>
      <c r="U226" s="104">
        <v>6514119.3099999996</v>
      </c>
      <c r="V226" s="104">
        <v>6788760.4100000001</v>
      </c>
    </row>
    <row r="227" spans="1:22" ht="13.95" customHeight="1">
      <c r="A227" s="105">
        <v>196</v>
      </c>
      <c r="B227" s="103" t="s">
        <v>292</v>
      </c>
      <c r="C227" s="103" t="s">
        <v>201</v>
      </c>
      <c r="D227" s="104">
        <v>2592433293.52</v>
      </c>
      <c r="E227" s="104">
        <v>57708551.170000002</v>
      </c>
      <c r="F227" s="45">
        <v>0</v>
      </c>
      <c r="G227" s="104">
        <v>742307.46</v>
      </c>
      <c r="H227" s="104">
        <f t="shared" si="126"/>
        <v>56966243.710000001</v>
      </c>
      <c r="I227" s="104">
        <v>3183479959</v>
      </c>
      <c r="J227" s="48">
        <f t="shared" si="117"/>
        <v>2.380687737002881E-2</v>
      </c>
      <c r="K227" s="104">
        <v>3369921531</v>
      </c>
      <c r="L227" s="48">
        <f t="shared" si="120"/>
        <v>2.3409752492269488E-2</v>
      </c>
      <c r="M227" s="48">
        <f t="shared" si="121"/>
        <v>5.8565335545120042E-2</v>
      </c>
      <c r="N227" s="49">
        <f t="shared" si="122"/>
        <v>2.2027440495913433E-4</v>
      </c>
      <c r="O227" s="50">
        <f t="shared" si="123"/>
        <v>1.6904323494172185E-2</v>
      </c>
      <c r="P227" s="51">
        <f t="shared" si="124"/>
        <v>107.86003087557275</v>
      </c>
      <c r="Q227" s="51">
        <f t="shared" si="125"/>
        <v>1.8233008540120816</v>
      </c>
      <c r="R227" s="104">
        <v>107.86</v>
      </c>
      <c r="S227" s="104">
        <v>107.86</v>
      </c>
      <c r="T227" s="104">
        <v>924</v>
      </c>
      <c r="U227" s="104">
        <v>29986513</v>
      </c>
      <c r="V227" s="104">
        <v>31243469</v>
      </c>
    </row>
    <row r="228" spans="1:22">
      <c r="A228" s="101">
        <v>197</v>
      </c>
      <c r="B228" s="102" t="s">
        <v>293</v>
      </c>
      <c r="C228" s="106" t="s">
        <v>52</v>
      </c>
      <c r="D228" s="104">
        <v>2483813423.23</v>
      </c>
      <c r="E228" s="104">
        <v>32457845.18</v>
      </c>
      <c r="F228" s="45">
        <v>0</v>
      </c>
      <c r="G228" s="104">
        <v>4514905.75</v>
      </c>
      <c r="H228" s="104">
        <f t="shared" si="126"/>
        <v>27942939.43</v>
      </c>
      <c r="I228" s="104">
        <v>2605471951.7600002</v>
      </c>
      <c r="J228" s="48">
        <f t="shared" si="117"/>
        <v>1.9484385655150892E-2</v>
      </c>
      <c r="K228" s="104">
        <v>2579660041.1300001</v>
      </c>
      <c r="L228" s="48">
        <f t="shared" si="120"/>
        <v>1.7920062090920844E-2</v>
      </c>
      <c r="M228" s="48">
        <f t="shared" si="121"/>
        <v>-9.9068080976899911E-3</v>
      </c>
      <c r="N228" s="49">
        <f t="shared" si="122"/>
        <v>1.7501940868232702E-3</v>
      </c>
      <c r="O228" s="50">
        <f t="shared" si="123"/>
        <v>1.0832023981640546E-2</v>
      </c>
      <c r="P228" s="51">
        <f t="shared" si="124"/>
        <v>153.69479234750492</v>
      </c>
      <c r="Q228" s="51">
        <f t="shared" si="125"/>
        <v>1.6648256765614373</v>
      </c>
      <c r="R228" s="104">
        <v>153.69</v>
      </c>
      <c r="S228" s="104">
        <v>153.69</v>
      </c>
      <c r="T228" s="104">
        <v>3064</v>
      </c>
      <c r="U228" s="104">
        <v>17091669.149999999</v>
      </c>
      <c r="V228" s="104">
        <v>16784303.5</v>
      </c>
    </row>
    <row r="229" spans="1:22" ht="15" customHeight="1">
      <c r="A229" s="105">
        <v>198</v>
      </c>
      <c r="B229" s="103" t="s">
        <v>294</v>
      </c>
      <c r="C229" s="103" t="s">
        <v>55</v>
      </c>
      <c r="D229" s="104">
        <v>2470198722.1999998</v>
      </c>
      <c r="E229" s="104">
        <v>47597919</v>
      </c>
      <c r="F229" s="45">
        <v>0</v>
      </c>
      <c r="G229" s="104">
        <v>7135095.3099999996</v>
      </c>
      <c r="H229" s="104">
        <f t="shared" si="126"/>
        <v>40462823.689999998</v>
      </c>
      <c r="I229" s="104">
        <v>4044608291.9900002</v>
      </c>
      <c r="J229" s="48">
        <f t="shared" si="117"/>
        <v>3.0246615294369322E-2</v>
      </c>
      <c r="K229" s="104">
        <v>4099349191.3600001</v>
      </c>
      <c r="L229" s="48">
        <f t="shared" si="120"/>
        <v>2.8476849999722643E-2</v>
      </c>
      <c r="M229" s="48">
        <f t="shared" si="121"/>
        <v>1.35342894584896E-2</v>
      </c>
      <c r="N229" s="49">
        <f t="shared" si="122"/>
        <v>1.7405434318789662E-3</v>
      </c>
      <c r="O229" s="50">
        <f t="shared" si="123"/>
        <v>9.8705481775696324E-3</v>
      </c>
      <c r="P229" s="51">
        <f t="shared" si="124"/>
        <v>1.2478646490344019</v>
      </c>
      <c r="Q229" s="51">
        <f t="shared" si="125"/>
        <v>1.2317108137380083E-2</v>
      </c>
      <c r="R229" s="104">
        <v>1.2478646490344001</v>
      </c>
      <c r="S229" s="104">
        <v>1.2478646490344001</v>
      </c>
      <c r="T229" s="104">
        <v>230</v>
      </c>
      <c r="U229" s="104">
        <v>3247522321.8299999</v>
      </c>
      <c r="V229" s="104">
        <v>3285091211.2399998</v>
      </c>
    </row>
    <row r="230" spans="1:22" ht="4.95" customHeight="1">
      <c r="A230" s="53"/>
      <c r="B230" s="44"/>
      <c r="C230" s="44"/>
      <c r="D230" s="110"/>
      <c r="E230" s="110"/>
      <c r="F230" s="110"/>
      <c r="G230" s="111"/>
      <c r="H230" s="46"/>
      <c r="I230" s="112"/>
      <c r="J230" s="48"/>
      <c r="K230" s="113"/>
      <c r="L230" s="48"/>
      <c r="M230" s="48"/>
      <c r="N230" s="49"/>
      <c r="O230" s="50"/>
      <c r="P230" s="51"/>
      <c r="Q230" s="51"/>
      <c r="R230" s="46"/>
      <c r="S230" s="46"/>
      <c r="T230" s="114"/>
      <c r="U230" s="111"/>
      <c r="V230" s="114"/>
    </row>
    <row r="231" spans="1:22" ht="15" customHeight="1">
      <c r="A231" s="164" t="s">
        <v>295</v>
      </c>
      <c r="B231" s="165"/>
      <c r="C231" s="165"/>
      <c r="D231" s="164"/>
      <c r="E231" s="164"/>
      <c r="F231" s="164"/>
      <c r="G231" s="164"/>
      <c r="H231" s="164"/>
      <c r="I231" s="164"/>
      <c r="J231" s="164"/>
      <c r="K231" s="164"/>
      <c r="L231" s="164"/>
      <c r="M231" s="164"/>
      <c r="N231" s="164"/>
      <c r="O231" s="164"/>
      <c r="P231" s="164"/>
      <c r="Q231" s="164"/>
      <c r="R231" s="164"/>
      <c r="S231" s="164"/>
      <c r="T231" s="164"/>
      <c r="U231" s="164"/>
      <c r="V231" s="164"/>
    </row>
    <row r="232" spans="1:22" ht="15" customHeight="1">
      <c r="A232" s="115">
        <v>199</v>
      </c>
      <c r="B232" s="116" t="s">
        <v>296</v>
      </c>
      <c r="C232" s="117" t="s">
        <v>297</v>
      </c>
      <c r="D232" s="118">
        <v>653629658.45000005</v>
      </c>
      <c r="E232" s="74">
        <v>6374557.5199999996</v>
      </c>
      <c r="F232" s="74">
        <v>49587733.149999999</v>
      </c>
      <c r="G232" s="74">
        <v>1659894.86</v>
      </c>
      <c r="H232" s="74">
        <f>(E232+F232)-G232</f>
        <v>54302395.810000002</v>
      </c>
      <c r="I232" s="119">
        <v>556428720.67999995</v>
      </c>
      <c r="J232" s="120">
        <f t="shared" ref="J232:J235" si="128">(I232/$I$236)</f>
        <v>4.1611162906619618E-3</v>
      </c>
      <c r="K232" s="119">
        <v>670398065.79999995</v>
      </c>
      <c r="L232" s="48">
        <f t="shared" ref="L232" si="129">(K232/$K$236)</f>
        <v>4.6570380488999566E-3</v>
      </c>
      <c r="M232" s="48">
        <f>((K232-I232)/I232)</f>
        <v>0.20482290163009639</v>
      </c>
      <c r="N232" s="49">
        <f t="shared" ref="N232" si="130">(G232/K232)</f>
        <v>2.4759839633773603E-3</v>
      </c>
      <c r="O232" s="50">
        <f t="shared" ref="O232" si="131">H232/K232</f>
        <v>8.1000227447255269E-2</v>
      </c>
      <c r="P232" s="51">
        <f t="shared" ref="P232" si="132">K232/V232</f>
        <v>120.6075344665269</v>
      </c>
      <c r="Q232" s="51">
        <f t="shared" ref="Q232" si="133">H232/V232</f>
        <v>9.7692377236413588</v>
      </c>
      <c r="R232" s="119">
        <v>120.61</v>
      </c>
      <c r="S232" s="119">
        <v>120.61</v>
      </c>
      <c r="T232" s="119">
        <v>111</v>
      </c>
      <c r="U232" s="119">
        <v>4684723</v>
      </c>
      <c r="V232" s="119">
        <v>5558509</v>
      </c>
    </row>
    <row r="233" spans="1:22" ht="15" customHeight="1">
      <c r="A233" s="121">
        <v>200</v>
      </c>
      <c r="B233" s="122" t="s">
        <v>298</v>
      </c>
      <c r="C233" s="123" t="s">
        <v>71</v>
      </c>
      <c r="D233" s="74">
        <v>8835548917</v>
      </c>
      <c r="E233" s="74">
        <v>118364452</v>
      </c>
      <c r="F233" s="74">
        <v>1757511678</v>
      </c>
      <c r="G233" s="74">
        <v>32315325</v>
      </c>
      <c r="H233" s="74">
        <f>(E233+F233)-G233</f>
        <v>1843560805</v>
      </c>
      <c r="I233" s="119">
        <v>15850049353</v>
      </c>
      <c r="J233" s="120">
        <f t="shared" si="128"/>
        <v>0.11853072301868872</v>
      </c>
      <c r="K233" s="119">
        <v>15850049353</v>
      </c>
      <c r="L233" s="48">
        <f t="shared" ref="L233:L235" si="134">(K233/$K$236)</f>
        <v>0.1101051549511543</v>
      </c>
      <c r="M233" s="48">
        <f t="shared" ref="M233:M235" si="135">((K233-I233)/I233)</f>
        <v>0</v>
      </c>
      <c r="N233" s="49">
        <f t="shared" ref="N233:N235" si="136">(G233/K233)</f>
        <v>2.0388154181919661E-3</v>
      </c>
      <c r="O233" s="50">
        <f t="shared" ref="O233:O235" si="137">H233/K233</f>
        <v>0.11631262237370019</v>
      </c>
      <c r="P233" s="51">
        <f t="shared" ref="P233:P235" si="138">K233/V233</f>
        <v>153.2197132913318</v>
      </c>
      <c r="Q233" s="51">
        <f t="shared" ref="Q233:Q235" si="139">H233/V233</f>
        <v>17.821386652261289</v>
      </c>
      <c r="R233" s="119">
        <v>152.453</v>
      </c>
      <c r="S233" s="119">
        <v>157.0496</v>
      </c>
      <c r="T233" s="119">
        <v>6456</v>
      </c>
      <c r="U233" s="119">
        <v>87491532</v>
      </c>
      <c r="V233" s="119">
        <v>103446541</v>
      </c>
    </row>
    <row r="234" spans="1:22" ht="15" customHeight="1">
      <c r="A234" s="124">
        <v>201</v>
      </c>
      <c r="B234" s="96" t="s">
        <v>299</v>
      </c>
      <c r="C234" s="70" t="s">
        <v>276</v>
      </c>
      <c r="D234" s="74">
        <v>400346729.88</v>
      </c>
      <c r="E234" s="74">
        <v>4284997.24</v>
      </c>
      <c r="F234" s="74">
        <v>2000000</v>
      </c>
      <c r="G234" s="45">
        <v>920292.69</v>
      </c>
      <c r="H234" s="46">
        <f>(E234+F234)-G234</f>
        <v>5364704.5500000007</v>
      </c>
      <c r="I234" s="57">
        <v>426452316.73000002</v>
      </c>
      <c r="J234" s="120">
        <f t="shared" si="128"/>
        <v>3.1891194979424076E-3</v>
      </c>
      <c r="K234" s="57">
        <v>425115641.63</v>
      </c>
      <c r="L234" s="48">
        <f t="shared" si="134"/>
        <v>2.953140558200919E-3</v>
      </c>
      <c r="M234" s="48">
        <f t="shared" si="135"/>
        <v>-3.1344069373324887E-3</v>
      </c>
      <c r="N234" s="49">
        <f t="shared" si="136"/>
        <v>2.1648055255538631E-3</v>
      </c>
      <c r="O234" s="50">
        <f t="shared" si="137"/>
        <v>1.2619400522244672E-2</v>
      </c>
      <c r="P234" s="51">
        <f t="shared" si="138"/>
        <v>1752.2906993596109</v>
      </c>
      <c r="Q234" s="51">
        <f t="shared" si="139"/>
        <v>22.112858166623155</v>
      </c>
      <c r="R234" s="46">
        <v>1752.29</v>
      </c>
      <c r="S234" s="46">
        <v>1752.29</v>
      </c>
      <c r="T234" s="45">
        <v>276</v>
      </c>
      <c r="U234" s="45">
        <v>242451.51</v>
      </c>
      <c r="V234" s="45">
        <v>242605.66</v>
      </c>
    </row>
    <row r="235" spans="1:22" ht="15" customHeight="1">
      <c r="A235" s="125">
        <v>202</v>
      </c>
      <c r="B235" s="45" t="s">
        <v>300</v>
      </c>
      <c r="C235" s="45" t="s">
        <v>301</v>
      </c>
      <c r="D235" s="57">
        <v>107237148.5</v>
      </c>
      <c r="E235" s="84">
        <v>6445347.9699999997</v>
      </c>
      <c r="F235" s="57">
        <v>0</v>
      </c>
      <c r="G235" s="84">
        <v>327004.56</v>
      </c>
      <c r="H235" s="57">
        <f>(E235+F235)-G235</f>
        <v>6118343.4100000001</v>
      </c>
      <c r="I235" s="57">
        <v>198320103.31</v>
      </c>
      <c r="J235" s="120">
        <f t="shared" si="128"/>
        <v>1.4830884567577751E-3</v>
      </c>
      <c r="K235" s="84">
        <v>203999272.80000001</v>
      </c>
      <c r="L235" s="48">
        <f t="shared" si="134"/>
        <v>1.4171168203533353E-3</v>
      </c>
      <c r="M235" s="48">
        <f t="shared" si="135"/>
        <v>2.8636378235053318E-2</v>
      </c>
      <c r="N235" s="49">
        <f t="shared" si="136"/>
        <v>1.6029692435256563E-3</v>
      </c>
      <c r="O235" s="50">
        <f t="shared" si="137"/>
        <v>2.999198637339456E-2</v>
      </c>
      <c r="P235" s="51">
        <f t="shared" si="138"/>
        <v>130.72685743965576</v>
      </c>
      <c r="Q235" s="51">
        <f t="shared" si="139"/>
        <v>3.9207581269668492</v>
      </c>
      <c r="R235" s="57">
        <v>132.25</v>
      </c>
      <c r="S235" s="57">
        <v>130.91999999999999</v>
      </c>
      <c r="T235" s="57">
        <v>318</v>
      </c>
      <c r="U235" s="57">
        <v>1542412.07</v>
      </c>
      <c r="V235" s="84">
        <v>1560500.09</v>
      </c>
    </row>
    <row r="236" spans="1:22" ht="15" customHeight="1">
      <c r="A236" s="166" t="s">
        <v>60</v>
      </c>
      <c r="B236" s="166"/>
      <c r="C236" s="166"/>
      <c r="D236" s="166"/>
      <c r="E236" s="166"/>
      <c r="F236" s="166"/>
      <c r="G236" s="166"/>
      <c r="H236" s="166"/>
      <c r="I236" s="63">
        <f>SUM(I212:I235)</f>
        <v>133721021430.8819</v>
      </c>
      <c r="J236" s="61">
        <f>(I236/$I$247)</f>
        <v>1.5059583559473998E-2</v>
      </c>
      <c r="K236" s="63">
        <f>SUM(K212:K235)</f>
        <v>143953744582</v>
      </c>
      <c r="L236" s="61">
        <f>(K236/$K$247)</f>
        <v>1.5898325448850958E-2</v>
      </c>
      <c r="M236" s="61">
        <f t="shared" si="119"/>
        <v>7.6522920941096931E-2</v>
      </c>
      <c r="N236" s="49"/>
      <c r="O236" s="49"/>
      <c r="P236" s="62"/>
      <c r="Q236" s="62"/>
      <c r="R236" s="63"/>
      <c r="S236" s="63"/>
      <c r="T236" s="63">
        <f>SUM(T212:T235)</f>
        <v>54271</v>
      </c>
      <c r="U236" s="63"/>
      <c r="V236" s="63"/>
    </row>
    <row r="237" spans="1:22" ht="15" customHeight="1">
      <c r="A237" s="167" t="s">
        <v>302</v>
      </c>
      <c r="B237" s="167"/>
      <c r="C237" s="167"/>
      <c r="D237" s="167"/>
      <c r="E237" s="167"/>
      <c r="F237" s="167"/>
      <c r="G237" s="167"/>
      <c r="H237" s="167"/>
      <c r="I237" s="126">
        <f>SUM(I25,I75,I116,I160,I169,I202,I208,I236)</f>
        <v>8848634347883.1406</v>
      </c>
      <c r="J237" s="127"/>
      <c r="K237" s="126">
        <f>SUM(K25,K75,K116,K160,K169,K202,K208,K236)</f>
        <v>9023551397069.5176</v>
      </c>
      <c r="L237" s="127"/>
      <c r="M237" s="127"/>
      <c r="N237" s="128"/>
      <c r="O237" s="128"/>
      <c r="P237" s="129"/>
      <c r="Q237" s="129"/>
      <c r="R237" s="126"/>
      <c r="S237" s="126"/>
      <c r="T237" s="126">
        <f>SUM(T25,T75,T116,T160,T169,T202,T208,T236)</f>
        <v>1297018</v>
      </c>
      <c r="U237" s="126"/>
      <c r="V237" s="126"/>
    </row>
    <row r="238" spans="1:22" s="35" customFormat="1" ht="6.6" customHeight="1">
      <c r="A238" s="130"/>
      <c r="B238" s="130"/>
      <c r="C238" s="130"/>
      <c r="D238" s="130"/>
      <c r="E238" s="130"/>
      <c r="F238" s="130"/>
      <c r="G238" s="130"/>
      <c r="H238" s="130"/>
      <c r="I238" s="63"/>
      <c r="J238" s="131"/>
      <c r="K238" s="63"/>
      <c r="L238" s="131"/>
      <c r="M238" s="131"/>
      <c r="N238" s="132"/>
      <c r="O238" s="132"/>
      <c r="P238" s="133"/>
      <c r="Q238" s="133"/>
      <c r="R238" s="63"/>
      <c r="S238" s="63"/>
      <c r="T238" s="63"/>
      <c r="U238" s="63"/>
      <c r="V238" s="63"/>
    </row>
    <row r="239" spans="1:22" s="35" customFormat="1" ht="15" customHeight="1">
      <c r="A239" s="168" t="s">
        <v>303</v>
      </c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68"/>
      <c r="U239" s="168"/>
      <c r="V239" s="168"/>
    </row>
    <row r="240" spans="1:22" s="35" customFormat="1" ht="15" customHeight="1">
      <c r="A240" s="134">
        <v>1</v>
      </c>
      <c r="B240" s="86" t="s">
        <v>304</v>
      </c>
      <c r="C240" s="70" t="s">
        <v>71</v>
      </c>
      <c r="D240" s="57">
        <f>1031963*FX_RATE</f>
        <v>1417147833.5834999</v>
      </c>
      <c r="E240" s="74">
        <f>9887*FX_RATE</f>
        <v>13577367.2415</v>
      </c>
      <c r="F240" s="74">
        <f>8288*FX_RATE</f>
        <v>11381533.296</v>
      </c>
      <c r="G240" s="74">
        <f>4422*FX_RATE</f>
        <v>6072531.3990000002</v>
      </c>
      <c r="H240" s="57">
        <f t="shared" ref="H240:H245" si="140">(E240+F240)-G240</f>
        <v>18886369.138500001</v>
      </c>
      <c r="I240" s="45">
        <v>2175892674.5288</v>
      </c>
      <c r="J240" s="48">
        <f t="shared" ref="J240:J245" si="141">(I240/$I$246)</f>
        <v>7.0579232007691187E-2</v>
      </c>
      <c r="K240" s="45">
        <f>1735959*FX_RATE</f>
        <v>2383913508.5654998</v>
      </c>
      <c r="L240" s="48">
        <f t="shared" ref="L240" si="142">(K240/$K$246)</f>
        <v>7.6660943765888681E-2</v>
      </c>
      <c r="M240" s="48">
        <f>((K240-I240)/I240)</f>
        <v>9.5602525102368704E-2</v>
      </c>
      <c r="N240" s="49">
        <f t="shared" ref="N240" si="143">(G240/K240)</f>
        <v>2.5472951838148255E-3</v>
      </c>
      <c r="O240" s="50">
        <f t="shared" ref="O240" si="144">H240/K240</f>
        <v>7.922422130937426E-3</v>
      </c>
      <c r="P240" s="51">
        <f t="shared" ref="P240" si="145">K240/V240</f>
        <v>1447.1439472195191</v>
      </c>
      <c r="Q240" s="51">
        <f t="shared" ref="Q240" si="146">H240/V240</f>
        <v>11.464885234104059</v>
      </c>
      <c r="R240" s="45">
        <f>1.0538*FX_RATE</f>
        <v>1447.1355921000002</v>
      </c>
      <c r="S240" s="45">
        <f>1.0538*FX_RATE</f>
        <v>1447.1355921000002</v>
      </c>
      <c r="T240" s="45">
        <v>58</v>
      </c>
      <c r="U240" s="45">
        <v>1501740</v>
      </c>
      <c r="V240" s="45">
        <v>1647323</v>
      </c>
    </row>
    <row r="241" spans="1:22" s="35" customFormat="1" ht="15" customHeight="1">
      <c r="A241" s="134">
        <v>2</v>
      </c>
      <c r="B241" s="86" t="s">
        <v>305</v>
      </c>
      <c r="C241" s="70" t="s">
        <v>306</v>
      </c>
      <c r="D241" s="74">
        <v>11921820841.700001</v>
      </c>
      <c r="E241" s="74">
        <v>264042000.78999999</v>
      </c>
      <c r="F241" s="59">
        <v>0</v>
      </c>
      <c r="G241" s="74">
        <v>70929680.709999993</v>
      </c>
      <c r="H241" s="57">
        <f t="shared" si="140"/>
        <v>193112320.07999998</v>
      </c>
      <c r="I241" s="45">
        <v>15321181828.01</v>
      </c>
      <c r="J241" s="48">
        <f t="shared" si="141"/>
        <v>0.49697177601156872</v>
      </c>
      <c r="K241" s="45">
        <v>15586051362.889999</v>
      </c>
      <c r="L241" s="48">
        <f t="shared" ref="L241:L245" si="147">(K241/$K$246)</f>
        <v>0.50121004926128754</v>
      </c>
      <c r="M241" s="48">
        <f t="shared" ref="M241:M245" si="148">((K241-I241)/I241)</f>
        <v>1.7287800500857438E-2</v>
      </c>
      <c r="N241" s="49">
        <f t="shared" ref="N241:N245" si="149">(G241/K241)</f>
        <v>4.5508435111975701E-3</v>
      </c>
      <c r="O241" s="50">
        <f t="shared" ref="O241:O245" si="150">H241/K241</f>
        <v>1.2390073379316304E-2</v>
      </c>
      <c r="P241" s="51">
        <f t="shared" ref="P241:P245" si="151">K241/V241</f>
        <v>109.07046221076784</v>
      </c>
      <c r="Q241" s="51">
        <f t="shared" ref="Q241:Q245" si="152">H241/V241</f>
        <v>1.3513910303073595</v>
      </c>
      <c r="R241" s="45">
        <v>123.3</v>
      </c>
      <c r="S241" s="45">
        <v>123.3</v>
      </c>
      <c r="T241" s="45">
        <v>12</v>
      </c>
      <c r="U241" s="45">
        <v>142898921</v>
      </c>
      <c r="V241" s="45">
        <v>142898921</v>
      </c>
    </row>
    <row r="242" spans="1:22" s="35" customFormat="1" ht="15" customHeight="1">
      <c r="A242" s="134">
        <v>3</v>
      </c>
      <c r="B242" s="70" t="s">
        <v>307</v>
      </c>
      <c r="C242" s="70" t="s">
        <v>308</v>
      </c>
      <c r="D242" s="74">
        <v>10918064082.629999</v>
      </c>
      <c r="E242" s="74">
        <v>215475094.02000001</v>
      </c>
      <c r="F242" s="59">
        <v>0</v>
      </c>
      <c r="G242" s="74">
        <v>21814292.710000001</v>
      </c>
      <c r="H242" s="57">
        <f t="shared" si="140"/>
        <v>193660801.31</v>
      </c>
      <c r="I242" s="45">
        <v>11152475253.540001</v>
      </c>
      <c r="J242" s="48">
        <f t="shared" si="141"/>
        <v>0.36175182149096202</v>
      </c>
      <c r="K242" s="45">
        <v>10810002174.219999</v>
      </c>
      <c r="L242" s="48">
        <f t="shared" si="147"/>
        <v>0.34762375640284032</v>
      </c>
      <c r="M242" s="48">
        <f t="shared" si="148"/>
        <v>-3.0708257273316462E-2</v>
      </c>
      <c r="N242" s="49">
        <f t="shared" si="149"/>
        <v>2.017973017805986E-3</v>
      </c>
      <c r="O242" s="50">
        <f t="shared" si="150"/>
        <v>1.7914964140511257E-2</v>
      </c>
      <c r="P242" s="51">
        <f t="shared" si="151"/>
        <v>1.0364335737507191</v>
      </c>
      <c r="Q242" s="51">
        <f t="shared" si="152"/>
        <v>1.8567670307766061E-2</v>
      </c>
      <c r="R242" s="45">
        <v>1.04</v>
      </c>
      <c r="S242" s="45">
        <v>1.04</v>
      </c>
      <c r="T242" s="45">
        <v>16</v>
      </c>
      <c r="U242" s="45">
        <v>10430000000</v>
      </c>
      <c r="V242" s="45">
        <v>10430000000</v>
      </c>
    </row>
    <row r="243" spans="1:22" s="35" customFormat="1" ht="15" customHeight="1">
      <c r="A243" s="134">
        <v>4</v>
      </c>
      <c r="B243" s="86" t="s">
        <v>309</v>
      </c>
      <c r="C243" s="44" t="s">
        <v>328</v>
      </c>
      <c r="D243" s="74">
        <v>1636056551.54</v>
      </c>
      <c r="E243" s="74">
        <v>4265007.82</v>
      </c>
      <c r="F243" s="74">
        <v>7210889.5800000001</v>
      </c>
      <c r="G243" s="74">
        <v>1065446.54</v>
      </c>
      <c r="H243" s="57">
        <f t="shared" si="140"/>
        <v>10410450.859999999</v>
      </c>
      <c r="I243" s="45">
        <v>1264111173.9200001</v>
      </c>
      <c r="J243" s="48">
        <f t="shared" si="141"/>
        <v>4.1003858725217487E-2</v>
      </c>
      <c r="K243" s="45">
        <v>1285596418.55</v>
      </c>
      <c r="L243" s="48">
        <f t="shared" si="147"/>
        <v>4.1341699014656834E-2</v>
      </c>
      <c r="M243" s="48">
        <f t="shared" si="148"/>
        <v>1.6996325223021549E-2</v>
      </c>
      <c r="N243" s="49">
        <f t="shared" si="149"/>
        <v>8.2875661803857327E-4</v>
      </c>
      <c r="O243" s="50">
        <f t="shared" si="150"/>
        <v>8.0977596933116472E-3</v>
      </c>
      <c r="P243" s="51">
        <f t="shared" si="151"/>
        <v>155955.95694337119</v>
      </c>
      <c r="Q243" s="51">
        <f t="shared" si="152"/>
        <v>1262.8938620678778</v>
      </c>
      <c r="R243" s="45">
        <f>113.4*FX_RATE</f>
        <v>155727.06030000001</v>
      </c>
      <c r="S243" s="45">
        <f>113.4*FX_RATE</f>
        <v>155727.06030000001</v>
      </c>
      <c r="T243" s="45">
        <v>18</v>
      </c>
      <c r="U243" s="45">
        <v>8243.33</v>
      </c>
      <c r="V243" s="45">
        <v>8243.33</v>
      </c>
    </row>
    <row r="244" spans="1:22" s="35" customFormat="1" ht="15" customHeight="1">
      <c r="A244" s="134">
        <v>5</v>
      </c>
      <c r="B244" s="86" t="s">
        <v>310</v>
      </c>
      <c r="C244" s="70" t="s">
        <v>55</v>
      </c>
      <c r="D244" s="57">
        <v>272677129.45589</v>
      </c>
      <c r="E244" s="74">
        <v>2184345</v>
      </c>
      <c r="F244" s="74">
        <v>985943.28999999899</v>
      </c>
      <c r="G244" s="74">
        <v>1039283.07</v>
      </c>
      <c r="H244" s="57">
        <f t="shared" si="140"/>
        <v>2131005.2199999993</v>
      </c>
      <c r="I244" s="45">
        <v>378980106.00534248</v>
      </c>
      <c r="J244" s="48">
        <f t="shared" si="141"/>
        <v>1.2292943094650982E-2</v>
      </c>
      <c r="K244" s="45">
        <v>449489324.78588998</v>
      </c>
      <c r="L244" s="48">
        <f t="shared" si="147"/>
        <v>1.4454499178333599E-2</v>
      </c>
      <c r="M244" s="48">
        <f t="shared" si="148"/>
        <v>0.18604992099388334</v>
      </c>
      <c r="N244" s="49">
        <f t="shared" si="149"/>
        <v>2.3121418300535894E-3</v>
      </c>
      <c r="O244" s="50">
        <f t="shared" si="150"/>
        <v>4.7409473428875835E-3</v>
      </c>
      <c r="P244" s="51">
        <f t="shared" si="151"/>
        <v>1.5426097721299625</v>
      </c>
      <c r="Q244" s="51">
        <f t="shared" si="152"/>
        <v>7.3134317002919672E-3</v>
      </c>
      <c r="R244" s="45">
        <v>1.54</v>
      </c>
      <c r="S244" s="45">
        <v>1.54</v>
      </c>
      <c r="T244" s="45">
        <v>37</v>
      </c>
      <c r="U244" s="45">
        <v>241056641.69</v>
      </c>
      <c r="V244" s="45">
        <v>291382391.64999998</v>
      </c>
    </row>
    <row r="245" spans="1:22" ht="15" customHeight="1">
      <c r="A245" s="160">
        <v>6</v>
      </c>
      <c r="B245" s="161" t="s">
        <v>330</v>
      </c>
      <c r="C245" s="157" t="s">
        <v>131</v>
      </c>
      <c r="D245" s="57">
        <v>448915173.81999999</v>
      </c>
      <c r="E245" s="74">
        <v>2730073.2</v>
      </c>
      <c r="F245" s="74">
        <v>0</v>
      </c>
      <c r="G245" s="74">
        <v>1405993.19</v>
      </c>
      <c r="H245" s="57">
        <f t="shared" si="140"/>
        <v>1324080.0100000002</v>
      </c>
      <c r="I245" s="45">
        <v>536437329.31</v>
      </c>
      <c r="J245" s="48">
        <f t="shared" si="141"/>
        <v>1.7400368669909596E-2</v>
      </c>
      <c r="K245" s="45">
        <v>581792507.40999997</v>
      </c>
      <c r="L245" s="48">
        <f t="shared" si="147"/>
        <v>1.8709052376993125E-2</v>
      </c>
      <c r="M245" s="48">
        <f t="shared" si="148"/>
        <v>8.4548885064241699E-2</v>
      </c>
      <c r="N245" s="49">
        <f t="shared" si="149"/>
        <v>2.4166574373037956E-3</v>
      </c>
      <c r="O245" s="50">
        <f t="shared" si="150"/>
        <v>2.2758629462151128E-3</v>
      </c>
      <c r="P245" s="51">
        <f t="shared" si="151"/>
        <v>13598.81137214662</v>
      </c>
      <c r="Q245" s="51">
        <f t="shared" si="152"/>
        <v>30.949030914437184</v>
      </c>
      <c r="R245" s="45">
        <v>3598.81</v>
      </c>
      <c r="S245" s="45">
        <v>13598.81</v>
      </c>
      <c r="T245" s="45">
        <v>12</v>
      </c>
      <c r="U245" s="45">
        <v>39505.51</v>
      </c>
      <c r="V245" s="45">
        <v>42782.6</v>
      </c>
    </row>
    <row r="246" spans="1:22" ht="15" customHeight="1">
      <c r="A246" s="166" t="s">
        <v>60</v>
      </c>
      <c r="B246" s="166"/>
      <c r="C246" s="166"/>
      <c r="D246" s="166"/>
      <c r="E246" s="166"/>
      <c r="F246" s="166"/>
      <c r="G246" s="166"/>
      <c r="H246" s="166"/>
      <c r="I246" s="63">
        <f>SUM(I240:I245)</f>
        <v>30829078365.314144</v>
      </c>
      <c r="J246" s="61">
        <f>(I246/$I$247)</f>
        <v>3.4719528518109264E-3</v>
      </c>
      <c r="K246" s="135">
        <f>SUM(K240:K245)</f>
        <v>31096845296.421387</v>
      </c>
      <c r="L246" s="61">
        <f>(K246/$K$247)</f>
        <v>3.4343515577912632E-3</v>
      </c>
      <c r="M246" s="131"/>
      <c r="N246" s="132"/>
      <c r="O246" s="132"/>
      <c r="P246" s="133"/>
      <c r="Q246" s="133"/>
      <c r="R246" s="63"/>
      <c r="S246" s="63"/>
      <c r="T246" s="63">
        <f>SUM(T240:T245)</f>
        <v>153</v>
      </c>
      <c r="U246" s="63"/>
      <c r="V246" s="63"/>
    </row>
    <row r="247" spans="1:22" ht="15.6" customHeight="1">
      <c r="A247" s="163" t="s">
        <v>311</v>
      </c>
      <c r="B247" s="163"/>
      <c r="C247" s="163"/>
      <c r="D247" s="163"/>
      <c r="E247" s="163"/>
      <c r="F247" s="163"/>
      <c r="G247" s="163"/>
      <c r="H247" s="163"/>
      <c r="I247" s="136">
        <f>I237+I246</f>
        <v>8879463426248.4551</v>
      </c>
      <c r="J247" s="137"/>
      <c r="K247" s="136">
        <f>K237+K246</f>
        <v>9054648242365.9395</v>
      </c>
      <c r="L247" s="137"/>
      <c r="M247" s="137"/>
      <c r="N247" s="137"/>
      <c r="O247" s="137"/>
      <c r="P247" s="137"/>
      <c r="Q247" s="137"/>
      <c r="R247" s="138"/>
      <c r="S247" s="138"/>
      <c r="T247" s="136">
        <f>T237+T246</f>
        <v>1297171</v>
      </c>
      <c r="U247" s="138"/>
      <c r="V247" s="138"/>
    </row>
    <row r="248" spans="1:22" ht="4.95" customHeight="1">
      <c r="A248" s="139"/>
      <c r="B248" s="139"/>
      <c r="C248" s="140"/>
      <c r="D248" s="35"/>
      <c r="E248" s="35"/>
      <c r="F248" s="35"/>
      <c r="G248" s="35"/>
      <c r="H248" s="141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</row>
    <row r="249" spans="1:22">
      <c r="A249" s="142" t="s">
        <v>312</v>
      </c>
      <c r="B249" s="152" t="s">
        <v>318</v>
      </c>
      <c r="C249" s="143">
        <v>1373.2545</v>
      </c>
      <c r="D249" s="144"/>
      <c r="E249" s="35"/>
      <c r="F249" s="35"/>
      <c r="G249" s="35"/>
      <c r="H249" s="141"/>
      <c r="I249" s="145"/>
      <c r="J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146"/>
    </row>
    <row r="252" spans="1:22">
      <c r="B252" s="147"/>
    </row>
    <row r="254" spans="1:22">
      <c r="B254" s="148"/>
    </row>
  </sheetData>
  <sheetProtection algorithmName="SHA-512" hashValue="y4tigGYJsLBLsIOuTiL8THZ7+eyMIYCfvIuuOyVo3jC/lCdb3BVYDMvlFKfgnKuBwWPcmiTaR9alegfvvEihPQ==" saltValue="Vsjb2SIibU/SLEDRr4LIGw==" spinCount="100000" sheet="1" objects="1" scenarios="1"/>
  <mergeCells count="36">
    <mergeCell ref="A1:V1"/>
    <mergeCell ref="A3:V3"/>
    <mergeCell ref="A4:V4"/>
    <mergeCell ref="A25:H25"/>
    <mergeCell ref="A26:V26"/>
    <mergeCell ref="A27:V27"/>
    <mergeCell ref="A75:H75"/>
    <mergeCell ref="A76:V76"/>
    <mergeCell ref="A77:V77"/>
    <mergeCell ref="A116:H116"/>
    <mergeCell ref="A117:V117"/>
    <mergeCell ref="A118:V118"/>
    <mergeCell ref="A119:V119"/>
    <mergeCell ref="A138:V138"/>
    <mergeCell ref="A139:V139"/>
    <mergeCell ref="A160:H160"/>
    <mergeCell ref="A161:V161"/>
    <mergeCell ref="A162:V162"/>
    <mergeCell ref="A169:H169"/>
    <mergeCell ref="A170:V170"/>
    <mergeCell ref="A171:V171"/>
    <mergeCell ref="A202:H202"/>
    <mergeCell ref="A203:V203"/>
    <mergeCell ref="A204:V204"/>
    <mergeCell ref="A208:H208"/>
    <mergeCell ref="A209:V209"/>
    <mergeCell ref="A210:V210"/>
    <mergeCell ref="A211:V211"/>
    <mergeCell ref="A214:V214"/>
    <mergeCell ref="A215:V215"/>
    <mergeCell ref="A247:H247"/>
    <mergeCell ref="A231:V231"/>
    <mergeCell ref="A236:H236"/>
    <mergeCell ref="A237:H237"/>
    <mergeCell ref="A239:V239"/>
    <mergeCell ref="A246:H246"/>
  </mergeCells>
  <pageMargins left="0.25" right="0.25" top="0.75" bottom="0.75" header="0.3" footer="0.3"/>
  <pageSetup scale="83" orientation="portrait" r:id="rId1"/>
  <colBreaks count="1" manualBreakCount="1">
    <brk id="3" max="1048575" man="1"/>
  </colBreaks>
  <ignoredErrors>
    <ignoredError sqref="J246 J236 J208 J202 J169 J160 J116 J75 J2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J9" sqref="J9"/>
    </sheetView>
  </sheetViews>
  <sheetFormatPr defaultColWidth="9" defaultRowHeight="14.4"/>
  <cols>
    <col min="1" max="1" width="30.33203125" customWidth="1"/>
    <col min="2" max="2" width="9.33203125" customWidth="1"/>
    <col min="3" max="3" width="9.441406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1"/>
      <c r="F2" s="1"/>
      <c r="G2" s="1"/>
      <c r="H2" s="1"/>
    </row>
    <row r="3" spans="1:8">
      <c r="A3" s="23"/>
      <c r="B3" s="23"/>
      <c r="C3" s="23"/>
      <c r="D3" s="2"/>
      <c r="E3" s="1"/>
      <c r="F3" s="1"/>
      <c r="G3" s="1"/>
      <c r="H3" s="1"/>
    </row>
    <row r="4" spans="1:8" ht="33" customHeight="1">
      <c r="A4" s="24" t="s">
        <v>313</v>
      </c>
      <c r="B4" s="149" t="s">
        <v>333</v>
      </c>
      <c r="C4" s="149" t="s">
        <v>332</v>
      </c>
      <c r="D4" s="2"/>
      <c r="E4" s="1"/>
      <c r="F4" s="1"/>
      <c r="G4" s="1"/>
      <c r="H4" s="1"/>
    </row>
    <row r="5" spans="1:8" ht="19.2" customHeight="1">
      <c r="A5" s="25" t="s">
        <v>22</v>
      </c>
      <c r="B5" s="26">
        <v>235.55133925593</v>
      </c>
      <c r="C5" s="26">
        <f>May!K25/1000000000</f>
        <v>262.04603652085001</v>
      </c>
      <c r="D5" s="2"/>
      <c r="E5" s="1"/>
      <c r="F5" s="1"/>
      <c r="G5" s="1"/>
      <c r="H5" s="1"/>
    </row>
    <row r="6" spans="1:8">
      <c r="A6" s="24" t="s">
        <v>61</v>
      </c>
      <c r="B6" s="26">
        <v>5695.4340585764612</v>
      </c>
      <c r="C6" s="26">
        <f>May!K75/1000000000</f>
        <v>5836.1190802569317</v>
      </c>
      <c r="D6" s="2"/>
      <c r="E6" s="1"/>
      <c r="F6" s="1"/>
      <c r="G6" s="1"/>
      <c r="H6" s="1"/>
    </row>
    <row r="7" spans="1:8">
      <c r="A7" s="24" t="s">
        <v>314</v>
      </c>
      <c r="B7" s="26">
        <v>234.62439952482995</v>
      </c>
      <c r="C7" s="26">
        <f>May!K116/1000000000</f>
        <v>233.72032571471999</v>
      </c>
      <c r="D7" s="2"/>
      <c r="E7" s="1"/>
      <c r="F7" s="1"/>
      <c r="G7" s="1"/>
      <c r="H7" s="1"/>
    </row>
    <row r="8" spans="1:8">
      <c r="A8" s="24" t="s">
        <v>181</v>
      </c>
      <c r="B8" s="26">
        <v>1858.7017859926186</v>
      </c>
      <c r="C8" s="26">
        <f>May!K160/1000000000</f>
        <v>1841.4176133460965</v>
      </c>
      <c r="D8" s="2"/>
      <c r="E8" s="1"/>
      <c r="F8" s="1"/>
      <c r="G8" s="1"/>
      <c r="H8" s="1"/>
    </row>
    <row r="9" spans="1:8">
      <c r="A9" s="24" t="s">
        <v>315</v>
      </c>
      <c r="B9" s="26">
        <v>526.89377204159996</v>
      </c>
      <c r="C9" s="26">
        <f>May!K169/1000000000</f>
        <v>527.75099154406996</v>
      </c>
      <c r="D9" s="2"/>
      <c r="E9" s="1"/>
      <c r="F9" s="1"/>
      <c r="G9" s="1"/>
      <c r="H9" s="1"/>
    </row>
    <row r="10" spans="1:8">
      <c r="A10" s="24" t="s">
        <v>234</v>
      </c>
      <c r="B10" s="26">
        <v>144.17948628507881</v>
      </c>
      <c r="C10" s="26">
        <f>May!K202/1000000000</f>
        <v>157.21304944591</v>
      </c>
      <c r="D10" s="2"/>
      <c r="E10" s="1"/>
      <c r="F10" s="1"/>
      <c r="G10" s="1"/>
      <c r="H10" s="1"/>
    </row>
    <row r="11" spans="1:8">
      <c r="A11" s="24" t="s">
        <v>268</v>
      </c>
      <c r="B11" s="26">
        <v>19.528484775740001</v>
      </c>
      <c r="C11" s="26">
        <f>May!K208/1000000000</f>
        <v>21.33055565894</v>
      </c>
      <c r="D11" s="2"/>
      <c r="E11" s="1"/>
      <c r="F11" s="1"/>
      <c r="G11" s="1"/>
      <c r="H11" s="1"/>
    </row>
    <row r="12" spans="1:8">
      <c r="A12" s="24" t="s">
        <v>316</v>
      </c>
      <c r="B12" s="26">
        <v>133.7210214308819</v>
      </c>
      <c r="C12" s="26">
        <f>May!K236/1000000000</f>
        <v>143.95374458200001</v>
      </c>
      <c r="D12" s="2"/>
      <c r="E12" s="1"/>
      <c r="F12" s="1"/>
      <c r="G12" s="1"/>
      <c r="H12" s="1"/>
    </row>
    <row r="13" spans="1:8">
      <c r="A13" s="27" t="s">
        <v>303</v>
      </c>
      <c r="B13" s="26">
        <v>30.829078365314142</v>
      </c>
      <c r="C13" s="26">
        <f>May!K246/1000000000</f>
        <v>31.096845296421385</v>
      </c>
      <c r="D13" s="2"/>
      <c r="E13" s="1"/>
      <c r="F13" s="1"/>
      <c r="G13" s="1"/>
      <c r="H13" s="1"/>
    </row>
    <row r="14" spans="1:8">
      <c r="A14" s="23"/>
      <c r="B14" s="23"/>
      <c r="C14" s="23"/>
      <c r="D14" s="2"/>
      <c r="E14" s="1"/>
      <c r="F14" s="1"/>
      <c r="G14" s="1"/>
      <c r="H14" s="1"/>
    </row>
    <row r="15" spans="1:8">
      <c r="A15" s="23"/>
      <c r="B15" s="23"/>
      <c r="C15" s="23"/>
      <c r="D15" s="2"/>
      <c r="E15" s="1"/>
      <c r="F15" s="1"/>
      <c r="G15" s="1"/>
      <c r="H15" s="1"/>
    </row>
    <row r="16" spans="1:8">
      <c r="A16" s="23"/>
      <c r="B16" s="28"/>
      <c r="C16" s="23"/>
      <c r="D16" s="2"/>
      <c r="E16" s="1"/>
      <c r="F16" s="1"/>
      <c r="G16" s="1"/>
      <c r="H16" s="1"/>
    </row>
    <row r="17" spans="1:8">
      <c r="A17" s="29"/>
      <c r="B17" s="30"/>
      <c r="C17" s="31"/>
      <c r="D17" s="1"/>
      <c r="E17" s="1"/>
      <c r="F17" s="1"/>
      <c r="G17" s="1"/>
      <c r="H17" s="1"/>
    </row>
    <row r="18" spans="1:8" ht="15.6">
      <c r="A18" s="32"/>
      <c r="B18" s="21"/>
      <c r="C18" s="1"/>
      <c r="D18" s="1"/>
      <c r="E18" s="1"/>
      <c r="F18" s="1"/>
      <c r="G18" s="1"/>
      <c r="H18" s="1"/>
    </row>
    <row r="19" spans="1:8">
      <c r="A19" s="20"/>
      <c r="B19" s="33"/>
      <c r="C19" s="1"/>
      <c r="D19" s="1"/>
      <c r="E19" s="1"/>
      <c r="F19" s="1"/>
      <c r="G19" s="1"/>
      <c r="H19" s="1"/>
    </row>
    <row r="20" spans="1:8">
      <c r="A20" s="20"/>
      <c r="B20" s="21"/>
      <c r="C20" s="1"/>
      <c r="D20" s="1"/>
      <c r="E20" s="1"/>
      <c r="F20" s="1"/>
      <c r="G20" s="1"/>
      <c r="H20" s="1"/>
    </row>
    <row r="21" spans="1:8">
      <c r="A21" s="20"/>
      <c r="B21" s="33"/>
      <c r="C21" s="1"/>
      <c r="D21" s="1"/>
      <c r="E21" s="1"/>
      <c r="F21" s="1"/>
      <c r="G21" s="1"/>
      <c r="H21" s="1"/>
    </row>
    <row r="22" spans="1:8">
      <c r="A22" s="20"/>
      <c r="B22" s="34"/>
      <c r="C22" s="1"/>
      <c r="D22" s="1"/>
      <c r="E22" s="1"/>
      <c r="F22" s="1"/>
      <c r="G22" s="1"/>
      <c r="H22" s="1"/>
    </row>
    <row r="23" spans="1:8">
      <c r="A23" s="20"/>
      <c r="B23" s="33"/>
      <c r="C23" s="1"/>
      <c r="D23" s="1"/>
      <c r="E23" s="1"/>
      <c r="F23" s="1"/>
      <c r="G23" s="1"/>
      <c r="H23" s="1"/>
    </row>
    <row r="24" spans="1:8">
      <c r="A24" s="20"/>
      <c r="B24" s="33"/>
      <c r="C24" s="1"/>
      <c r="D24" s="1"/>
      <c r="E24" s="1"/>
      <c r="F24" s="1"/>
      <c r="G24" s="1"/>
      <c r="H24" s="1"/>
    </row>
    <row r="25" spans="1:8">
      <c r="A25" s="20"/>
      <c r="B25" s="33"/>
      <c r="C25" s="1"/>
      <c r="D25" s="1"/>
      <c r="E25" s="1"/>
      <c r="F25" s="1"/>
      <c r="G25" s="1"/>
      <c r="H25" s="1"/>
    </row>
    <row r="26" spans="1:8">
      <c r="A26" s="20"/>
      <c r="B26" s="33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</sheetData>
  <sheetProtection algorithmName="SHA-512" hashValue="sF55u1SKeoA1du3K4853LyAYW1jOn8rjr4kWlWBbEpW/sE4fu0Ffh+pLfnz75SDbqaOFThqk2Hoq8M6QzDA3YQ==" saltValue="28nLZcX+q8BPPOiPdZNlK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I13" sqref="I13"/>
    </sheetView>
  </sheetViews>
  <sheetFormatPr defaultColWidth="9" defaultRowHeight="14.4"/>
  <cols>
    <col min="1" max="1" width="26.6640625" customWidth="1"/>
    <col min="2" max="2" width="21.33203125" customWidth="1"/>
  </cols>
  <sheetData>
    <row r="1" spans="1:6">
      <c r="A1" s="9" t="s">
        <v>313</v>
      </c>
      <c r="B1" s="150" t="s">
        <v>332</v>
      </c>
      <c r="C1" s="2"/>
      <c r="D1" s="1"/>
      <c r="E1" s="1"/>
      <c r="F1" s="1"/>
    </row>
    <row r="2" spans="1:6">
      <c r="A2" s="9" t="s">
        <v>268</v>
      </c>
      <c r="B2" s="10">
        <f>May!K208</f>
        <v>21330555658.939999</v>
      </c>
      <c r="C2" s="2"/>
      <c r="D2" s="1"/>
      <c r="E2" s="1"/>
      <c r="F2" s="1"/>
    </row>
    <row r="3" spans="1:6">
      <c r="A3" s="9" t="s">
        <v>303</v>
      </c>
      <c r="B3" s="10">
        <f>May!K246</f>
        <v>31096845296.421387</v>
      </c>
      <c r="C3" s="2"/>
      <c r="D3" s="1"/>
      <c r="E3" s="1"/>
      <c r="F3" s="1"/>
    </row>
    <row r="4" spans="1:6">
      <c r="A4" s="9" t="s">
        <v>316</v>
      </c>
      <c r="B4" s="11">
        <f>May!K236</f>
        <v>143953744582</v>
      </c>
      <c r="C4" s="2"/>
      <c r="D4" s="1"/>
      <c r="E4" s="1"/>
      <c r="F4" s="1"/>
    </row>
    <row r="5" spans="1:6">
      <c r="A5" s="9" t="s">
        <v>22</v>
      </c>
      <c r="B5" s="12">
        <f>May!K25</f>
        <v>262046036520.85001</v>
      </c>
      <c r="C5" s="2"/>
      <c r="D5" s="1"/>
      <c r="E5" s="1"/>
      <c r="F5" s="1"/>
    </row>
    <row r="6" spans="1:6">
      <c r="A6" s="9" t="s">
        <v>234</v>
      </c>
      <c r="B6" s="12">
        <f>May!K202</f>
        <v>157213049445.91</v>
      </c>
      <c r="C6" s="2"/>
      <c r="D6" s="1"/>
      <c r="E6" s="1"/>
      <c r="F6" s="1"/>
    </row>
    <row r="7" spans="1:6">
      <c r="A7" s="9" t="s">
        <v>314</v>
      </c>
      <c r="B7" s="13">
        <f>May!K116</f>
        <v>233720325714.72</v>
      </c>
      <c r="C7" s="2"/>
      <c r="D7" s="1"/>
      <c r="E7" s="1"/>
      <c r="F7" s="1"/>
    </row>
    <row r="8" spans="1:6">
      <c r="A8" s="9" t="s">
        <v>315</v>
      </c>
      <c r="B8" s="13">
        <f>May!K169</f>
        <v>527750991544.07001</v>
      </c>
      <c r="C8" s="2"/>
      <c r="D8" s="1"/>
      <c r="E8" s="1"/>
      <c r="F8" s="1"/>
    </row>
    <row r="9" spans="1:6">
      <c r="A9" s="9" t="s">
        <v>181</v>
      </c>
      <c r="B9" s="12">
        <f>May!K160</f>
        <v>1841417613346.0964</v>
      </c>
      <c r="C9" s="2"/>
      <c r="D9" s="1"/>
      <c r="E9" s="1"/>
      <c r="F9" s="1"/>
    </row>
    <row r="10" spans="1:6">
      <c r="A10" s="9" t="s">
        <v>61</v>
      </c>
      <c r="B10" s="12">
        <f>May!K75</f>
        <v>5836119080256.9316</v>
      </c>
      <c r="C10" s="2"/>
      <c r="D10" s="1"/>
      <c r="E10" s="1"/>
      <c r="F10" s="1"/>
    </row>
    <row r="11" spans="1:6">
      <c r="A11" s="2"/>
      <c r="B11" s="2"/>
      <c r="C11" s="2"/>
      <c r="D11" s="1"/>
      <c r="E11" s="1"/>
      <c r="F11" s="1"/>
    </row>
    <row r="12" spans="1:6">
      <c r="A12" s="7"/>
      <c r="B12" s="2"/>
      <c r="C12" s="2"/>
      <c r="D12" s="1"/>
      <c r="E12" s="1"/>
      <c r="F12" s="1"/>
    </row>
    <row r="13" spans="1:6">
      <c r="A13" s="14"/>
      <c r="B13" s="2"/>
      <c r="C13" s="2"/>
      <c r="D13" s="1"/>
      <c r="E13" s="1"/>
      <c r="F13" s="1"/>
    </row>
    <row r="14" spans="1:6" ht="15" customHeight="1">
      <c r="A14" s="1"/>
      <c r="B14" s="15"/>
      <c r="C14" s="1"/>
      <c r="D14" s="1"/>
      <c r="E14" s="1"/>
      <c r="F14" s="1"/>
    </row>
    <row r="15" spans="1:6">
      <c r="A15" s="1"/>
      <c r="B15" s="15"/>
      <c r="C15" s="1"/>
      <c r="D15" s="1"/>
      <c r="E15" s="1"/>
      <c r="F15" s="1"/>
    </row>
    <row r="16" spans="1:6">
      <c r="A16" s="16"/>
      <c r="B16" s="15"/>
      <c r="C16" s="1"/>
      <c r="D16" s="1"/>
      <c r="E16" s="1"/>
      <c r="F16" s="1"/>
    </row>
    <row r="17" spans="1:6">
      <c r="A17" s="17"/>
      <c r="B17" s="15"/>
      <c r="C17" s="1"/>
      <c r="D17" s="1"/>
      <c r="E17" s="1"/>
      <c r="F17" s="1"/>
    </row>
    <row r="18" spans="1:6">
      <c r="A18" s="17"/>
      <c r="B18" s="15"/>
      <c r="C18" s="1"/>
      <c r="D18" s="1"/>
      <c r="E18" s="1"/>
      <c r="F18" s="1"/>
    </row>
    <row r="19" spans="1:6">
      <c r="A19" s="16"/>
      <c r="B19" s="15"/>
      <c r="C19" s="1"/>
      <c r="D19" s="1"/>
      <c r="E19" s="1"/>
      <c r="F19" s="1"/>
    </row>
    <row r="20" spans="1:6">
      <c r="A20" s="18"/>
      <c r="B20" s="15"/>
      <c r="C20" s="1"/>
      <c r="D20" s="1"/>
      <c r="E20" s="1"/>
      <c r="F20" s="1"/>
    </row>
    <row r="21" spans="1:6">
      <c r="A21" s="19"/>
      <c r="B21" s="15"/>
      <c r="C21" s="1"/>
      <c r="D21" s="1"/>
      <c r="E21" s="1"/>
      <c r="F21" s="1"/>
    </row>
    <row r="22" spans="1:6">
      <c r="A22" s="20"/>
      <c r="B22" s="21"/>
      <c r="C22" s="1"/>
      <c r="D22" s="1"/>
      <c r="E22" s="1"/>
      <c r="F22" s="1"/>
    </row>
    <row r="23" spans="1:6">
      <c r="A23" s="1"/>
      <c r="B23" s="2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3" spans="1:17" ht="16.2" customHeight="1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22"/>
    </row>
    <row r="34" spans="1:17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22"/>
    </row>
  </sheetData>
  <sheetProtection algorithmName="SHA-512" hashValue="KEs3GkmZThW4Enb6pCVawh6P5OSr2WmK99QRyGajhtmuqjk4ng7FBKsGg75aT9qH+3erJXrYKioP1KQQMN2c5w==" saltValue="PRhV6T/+bgNdLAmIVb/fJg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8" sqref="E8"/>
    </sheetView>
  </sheetViews>
  <sheetFormatPr defaultColWidth="9" defaultRowHeight="14.4"/>
  <cols>
    <col min="1" max="1" width="34.6640625" customWidth="1"/>
    <col min="2" max="2" width="1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"/>
      <c r="B4" s="2"/>
      <c r="C4" s="2"/>
      <c r="D4" s="1"/>
      <c r="E4" s="1"/>
      <c r="F4" s="1"/>
      <c r="G4" s="1"/>
      <c r="H4" s="1"/>
    </row>
    <row r="5" spans="1:8" ht="15.6">
      <c r="A5" s="3" t="s">
        <v>313</v>
      </c>
      <c r="B5" s="4" t="s">
        <v>317</v>
      </c>
      <c r="C5" s="2"/>
      <c r="D5" s="1"/>
      <c r="E5" s="1"/>
      <c r="F5" s="1"/>
      <c r="G5" s="1"/>
      <c r="H5" s="1"/>
    </row>
    <row r="6" spans="1:8">
      <c r="A6" s="5" t="s">
        <v>22</v>
      </c>
      <c r="B6" s="6">
        <f>May!T25</f>
        <v>101141</v>
      </c>
      <c r="C6" s="2"/>
      <c r="D6" s="1"/>
      <c r="E6" s="1"/>
      <c r="F6" s="1"/>
      <c r="G6" s="1"/>
      <c r="H6" s="1"/>
    </row>
    <row r="7" spans="1:8">
      <c r="A7" s="5" t="s">
        <v>61</v>
      </c>
      <c r="B7" s="6">
        <f>May!T75</f>
        <v>713850</v>
      </c>
      <c r="C7" s="2"/>
      <c r="D7" s="1"/>
      <c r="E7" s="1"/>
      <c r="F7" s="1"/>
      <c r="G7" s="1"/>
      <c r="H7" s="1"/>
    </row>
    <row r="8" spans="1:8">
      <c r="A8" s="5" t="s">
        <v>314</v>
      </c>
      <c r="B8" s="6">
        <f>May!T116</f>
        <v>61681</v>
      </c>
      <c r="C8" s="2"/>
      <c r="D8" s="1"/>
      <c r="E8" s="1"/>
      <c r="F8" s="1"/>
      <c r="G8" s="1"/>
      <c r="H8" s="1"/>
    </row>
    <row r="9" spans="1:8">
      <c r="A9" s="5" t="s">
        <v>181</v>
      </c>
      <c r="B9" s="6">
        <f>May!T160</f>
        <v>25866</v>
      </c>
      <c r="C9" s="2"/>
      <c r="D9" s="1"/>
      <c r="E9" s="1"/>
      <c r="F9" s="1"/>
      <c r="G9" s="1"/>
      <c r="H9" s="1"/>
    </row>
    <row r="10" spans="1:8">
      <c r="A10" s="5" t="s">
        <v>315</v>
      </c>
      <c r="B10" s="6">
        <f>May!T169</f>
        <v>230445</v>
      </c>
      <c r="C10" s="2"/>
      <c r="D10" s="1"/>
      <c r="E10" s="1"/>
      <c r="F10" s="1"/>
      <c r="G10" s="1"/>
      <c r="H10" s="1"/>
    </row>
    <row r="11" spans="1:8">
      <c r="A11" s="5" t="s">
        <v>234</v>
      </c>
      <c r="B11" s="6">
        <f>May!T202</f>
        <v>93972</v>
      </c>
      <c r="C11" s="2"/>
      <c r="D11" s="1"/>
      <c r="E11" s="1"/>
      <c r="F11" s="1"/>
      <c r="G11" s="1"/>
      <c r="H11" s="1"/>
    </row>
    <row r="12" spans="1:8">
      <c r="A12" s="5" t="s">
        <v>268</v>
      </c>
      <c r="B12" s="6">
        <f>May!T208</f>
        <v>15792</v>
      </c>
      <c r="C12" s="2"/>
      <c r="D12" s="1"/>
      <c r="E12" s="1"/>
      <c r="F12" s="1"/>
      <c r="G12" s="1"/>
      <c r="H12" s="1"/>
    </row>
    <row r="13" spans="1:8">
      <c r="A13" s="5" t="s">
        <v>316</v>
      </c>
      <c r="B13" s="6">
        <f>May!T236</f>
        <v>54271</v>
      </c>
      <c r="C13" s="2"/>
      <c r="D13" s="1"/>
      <c r="E13" s="1"/>
      <c r="F13" s="1"/>
      <c r="G13" s="1"/>
      <c r="H13" s="1"/>
    </row>
    <row r="14" spans="1:8">
      <c r="A14" s="7" t="s">
        <v>303</v>
      </c>
      <c r="B14" s="8">
        <f>May!T246</f>
        <v>153</v>
      </c>
      <c r="C14" s="2"/>
      <c r="D14" s="1"/>
      <c r="E14" s="1"/>
      <c r="F14" s="1"/>
      <c r="G14" s="1"/>
      <c r="H14" s="1"/>
    </row>
    <row r="15" spans="1:8">
      <c r="A15" s="2"/>
      <c r="B15" s="2"/>
      <c r="C15" s="2"/>
      <c r="D15" s="1"/>
      <c r="E15" s="1"/>
      <c r="F15" s="1"/>
      <c r="G15" s="1"/>
      <c r="H15" s="1"/>
    </row>
    <row r="16" spans="1:8">
      <c r="A16" s="2"/>
      <c r="B16" s="2"/>
      <c r="C16" s="2"/>
      <c r="D16" s="1"/>
      <c r="E16" s="1"/>
      <c r="F16" s="1"/>
      <c r="G16" s="1"/>
      <c r="H16" s="1"/>
    </row>
    <row r="17" spans="1:8">
      <c r="A17" s="2"/>
      <c r="B17" s="2"/>
      <c r="C17" s="2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sheetProtection algorithmName="SHA-512" hashValue="Io8zhCypgTIxwiSb5cqn1tIfN1HcpoYcqqRPfJHt9qhzny8bKgr7VUQFpx8csLTNixFtq4wfG+W3X2ujoY+vNA==" saltValue="YABZK84UCc1l57Pc+LwCR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2" master="" otherUserPermission="visible"/>
  <rangeList sheetStid="3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May</vt:lpstr>
      <vt:lpstr>NAV Comparison</vt:lpstr>
      <vt:lpstr>Market Share</vt:lpstr>
      <vt:lpstr>Unitholders</vt:lpstr>
      <vt:lpstr>May!_Hlk34300669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2026-07-27T12:24:00Z</cp:lastPrinted>
  <dcterms:created xsi:type="dcterms:W3CDTF">2023-10-09T12:40:00Z</dcterms:created>
  <dcterms:modified xsi:type="dcterms:W3CDTF">2026-09-29T12:51:07Z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054E73640F5C4E6A998570FE791E2000_13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