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saac\Desktop\Weekly NAV\2026\"/>
    </mc:Choice>
  </mc:AlternateContent>
  <bookViews>
    <workbookView xWindow="3684" yWindow="3684" windowWidth="19200" windowHeight="9972"/>
  </bookViews>
  <sheets>
    <sheet name="Weekly Valuation" sheetId="1" r:id="rId1"/>
    <sheet name="NAV Comparison" sheetId="2" r:id="rId2"/>
    <sheet name="Market Share" sheetId="3" r:id="rId3"/>
    <sheet name="8-Week Movement in NAV" sheetId="5" r:id="rId4"/>
    <sheet name="8-Week Movement in ETFs" sheetId="6" r:id="rId5"/>
    <sheet name="NAV Trend" sheetId="4" state="hidden" r:id="rId6"/>
  </sheets>
  <definedNames>
    <definedName name="FX_RATE">'Weekly Valuation'!$AC$142</definedName>
    <definedName name="NFEM_RATE" localSheetId="0">'Weekly Valuation'!$AC$142</definedName>
  </definedNames>
  <calcPr calcId="162913"/>
</workbook>
</file>

<file path=xl/calcChain.xml><?xml version="1.0" encoding="utf-8"?>
<calcChain xmlns="http://schemas.openxmlformats.org/spreadsheetml/2006/main">
  <c r="T244" i="1" l="1"/>
  <c r="R244" i="1"/>
  <c r="T126" i="1"/>
  <c r="R126" i="1"/>
  <c r="T125" i="1"/>
  <c r="R125" i="1"/>
  <c r="O125" i="1"/>
  <c r="N151" i="1" l="1"/>
  <c r="T130" i="1" l="1"/>
  <c r="R130" i="1"/>
  <c r="O130" i="1"/>
  <c r="T153" i="1" l="1"/>
  <c r="R153" i="1"/>
  <c r="O153" i="1"/>
  <c r="T139" i="1"/>
  <c r="R139" i="1"/>
  <c r="O139" i="1"/>
  <c r="T127" i="1"/>
  <c r="R127" i="1"/>
  <c r="O127" i="1"/>
  <c r="O152" i="1"/>
  <c r="T152" i="1"/>
  <c r="R152" i="1"/>
  <c r="O131" i="1"/>
  <c r="R131" i="1"/>
  <c r="T131" i="1"/>
  <c r="T144" i="1"/>
  <c r="R144" i="1"/>
  <c r="O144" i="1"/>
  <c r="T158" i="1"/>
  <c r="R158" i="1"/>
  <c r="O158" i="1"/>
  <c r="T156" i="1"/>
  <c r="R156" i="1"/>
  <c r="O156" i="1"/>
  <c r="O162" i="1"/>
  <c r="T145" i="1"/>
  <c r="R145" i="1"/>
  <c r="O145" i="1"/>
  <c r="R133" i="1"/>
  <c r="T133" i="1"/>
  <c r="T134" i="1"/>
  <c r="R134" i="1"/>
  <c r="O134" i="1"/>
  <c r="O133" i="1"/>
  <c r="T247" i="1"/>
  <c r="R247" i="1"/>
  <c r="O247" i="1"/>
  <c r="O132" i="1"/>
  <c r="O140" i="1" l="1"/>
  <c r="R140" i="1"/>
  <c r="T140" i="1"/>
  <c r="T159" i="1"/>
  <c r="R159" i="1"/>
  <c r="O159" i="1"/>
  <c r="T157" i="1"/>
  <c r="R157" i="1"/>
  <c r="O157" i="1"/>
  <c r="T129" i="1" l="1"/>
  <c r="R129" i="1"/>
  <c r="O129" i="1"/>
  <c r="O137" i="1"/>
  <c r="T124" i="1" l="1"/>
  <c r="R124" i="1"/>
  <c r="O124" i="1"/>
  <c r="X124" i="1" s="1"/>
  <c r="O150" i="1"/>
  <c r="O143" i="1"/>
  <c r="O244" i="1"/>
  <c r="O126" i="1"/>
  <c r="O155" i="1"/>
  <c r="R155" i="1"/>
  <c r="T155" i="1"/>
  <c r="T138" i="1"/>
  <c r="R138" i="1"/>
  <c r="O138" i="1"/>
  <c r="Z66" i="1"/>
  <c r="AA66" i="1"/>
  <c r="AB66" i="1"/>
  <c r="X66" i="1"/>
  <c r="Y66" i="1"/>
  <c r="X196" i="1"/>
  <c r="T249" i="1"/>
  <c r="R249" i="1"/>
  <c r="O249" i="1"/>
  <c r="T162" i="1"/>
  <c r="R162" i="1"/>
  <c r="AA177" i="1"/>
  <c r="AB177" i="1"/>
  <c r="Z177" i="1"/>
  <c r="Y177" i="1"/>
  <c r="X177" i="1"/>
  <c r="X83" i="1"/>
  <c r="T132" i="1"/>
  <c r="R132" i="1"/>
  <c r="AB11" i="1"/>
  <c r="AA11" i="1"/>
  <c r="Z11" i="1"/>
  <c r="Y11" i="1"/>
  <c r="X11" i="1"/>
  <c r="N154" i="1" l="1"/>
  <c r="X24" i="1"/>
  <c r="X25" i="1"/>
  <c r="R151" i="1"/>
  <c r="T151" i="1"/>
  <c r="R154" i="1"/>
  <c r="T150" i="1"/>
  <c r="R150" i="1"/>
  <c r="T137" i="1"/>
  <c r="X126" i="1" l="1"/>
  <c r="R137" i="1"/>
  <c r="AB204" i="1" l="1"/>
  <c r="AA204" i="1"/>
  <c r="Z204" i="1"/>
  <c r="Y204" i="1"/>
  <c r="X204" i="1"/>
  <c r="T143" i="1" l="1"/>
  <c r="R143" i="1"/>
  <c r="X144" i="1" l="1"/>
  <c r="S149" i="1"/>
  <c r="T161" i="1"/>
  <c r="R161" i="1"/>
  <c r="T154" i="1"/>
  <c r="Q149" i="1"/>
  <c r="T148" i="1"/>
  <c r="R148" i="1"/>
  <c r="T146" i="1"/>
  <c r="R146" i="1"/>
  <c r="O161" i="1"/>
  <c r="N149" i="1"/>
  <c r="O148" i="1"/>
  <c r="O146" i="1"/>
  <c r="T136" i="1"/>
  <c r="R136" i="1"/>
  <c r="T135" i="1"/>
  <c r="R135" i="1"/>
  <c r="T128" i="1"/>
  <c r="R128" i="1"/>
  <c r="T123" i="1"/>
  <c r="R123" i="1"/>
  <c r="O136" i="1"/>
  <c r="O135" i="1"/>
  <c r="O128" i="1"/>
  <c r="O123" i="1"/>
  <c r="O250" i="1" l="1"/>
  <c r="X160" i="1" l="1"/>
  <c r="X159" i="1"/>
  <c r="D163" i="1" l="1"/>
  <c r="N163" i="1" l="1"/>
  <c r="AB249" i="1" l="1"/>
  <c r="AA249" i="1"/>
  <c r="Z249" i="1"/>
  <c r="U250" i="1"/>
  <c r="Y249" i="1"/>
  <c r="X249" i="1"/>
  <c r="K250" i="1"/>
  <c r="E250" i="1" l="1"/>
  <c r="E240" i="1" l="1"/>
  <c r="AB137" i="1" l="1"/>
  <c r="AA137" i="1"/>
  <c r="Z137" i="1"/>
  <c r="Y137" i="1"/>
  <c r="X137" i="1"/>
  <c r="AB194" i="1"/>
  <c r="AA194" i="1"/>
  <c r="Z194" i="1"/>
  <c r="Y194" i="1"/>
  <c r="X194" i="1"/>
  <c r="AB60" i="1" l="1"/>
  <c r="AA60" i="1"/>
  <c r="Z60" i="1"/>
  <c r="Y60" i="1"/>
  <c r="X60" i="1"/>
  <c r="O206" i="1" l="1"/>
  <c r="P177" i="1" s="1"/>
  <c r="P205" i="1" l="1"/>
  <c r="P204" i="1"/>
  <c r="P194" i="1"/>
  <c r="P192" i="1"/>
  <c r="B5" i="3"/>
  <c r="X264" i="1" l="1"/>
  <c r="X182" i="1"/>
  <c r="X90" i="1"/>
  <c r="O27" i="1" l="1"/>
  <c r="P25" i="1" s="1"/>
  <c r="B6" i="3" l="1"/>
  <c r="P11" i="1"/>
  <c r="P10" i="1"/>
  <c r="P24" i="1"/>
  <c r="X229" i="1"/>
  <c r="AB32" i="1" l="1"/>
  <c r="AA32" i="1"/>
  <c r="Z32" i="1"/>
  <c r="Y32" i="1"/>
  <c r="X32" i="1"/>
  <c r="AB144" i="1" l="1"/>
  <c r="AA144" i="1"/>
  <c r="Z144" i="1"/>
  <c r="Y144" i="1"/>
  <c r="X34" i="1" l="1"/>
  <c r="Y34" i="1"/>
  <c r="Z34" i="1"/>
  <c r="AA34" i="1"/>
  <c r="AB34" i="1"/>
  <c r="O163" i="1" l="1"/>
  <c r="P137" i="1" s="1"/>
  <c r="P134" i="1" l="1"/>
  <c r="P144" i="1"/>
  <c r="P135" i="1"/>
  <c r="AB69" i="1" l="1"/>
  <c r="AA69" i="1"/>
  <c r="Z69" i="1"/>
  <c r="Y69" i="1"/>
  <c r="X69" i="1"/>
  <c r="K212" i="1" l="1"/>
  <c r="U212" i="1"/>
  <c r="O212" i="1"/>
  <c r="E212" i="1"/>
  <c r="AB209" i="1" l="1"/>
  <c r="AA209" i="1"/>
  <c r="Z209" i="1"/>
  <c r="Y209" i="1"/>
  <c r="X209" i="1"/>
  <c r="P209" i="1"/>
  <c r="Y200" i="1" l="1"/>
  <c r="Y87" i="1" l="1"/>
  <c r="I11" i="4" l="1"/>
  <c r="P236" i="1" l="1"/>
  <c r="X236" i="1"/>
  <c r="J11" i="4" l="1"/>
  <c r="P175" i="1"/>
  <c r="P185" i="1" l="1"/>
  <c r="P193" i="1"/>
  <c r="Y223" i="1"/>
  <c r="Y170" i="1"/>
  <c r="X38" i="1" l="1"/>
  <c r="AB25" i="1"/>
  <c r="AA25" i="1"/>
  <c r="Z25" i="1"/>
  <c r="Y25" i="1"/>
  <c r="P210" i="1" l="1"/>
  <c r="P237" i="1" l="1"/>
  <c r="AB198" i="1" l="1"/>
  <c r="AA198" i="1"/>
  <c r="Z198" i="1"/>
  <c r="Y198" i="1"/>
  <c r="X198" i="1"/>
  <c r="X150" i="1" l="1"/>
  <c r="Y138" i="1"/>
  <c r="Y134" i="1"/>
  <c r="Y133" i="1"/>
  <c r="Y247" i="1"/>
  <c r="I4" i="5"/>
  <c r="I3" i="5" s="1"/>
  <c r="H4" i="5"/>
  <c r="H3" i="5" s="1"/>
  <c r="H11" i="4"/>
  <c r="G4" i="5" s="1"/>
  <c r="G3" i="5" s="1"/>
  <c r="G11" i="4"/>
  <c r="F4" i="5" s="1"/>
  <c r="F3" i="5" s="1"/>
  <c r="F11" i="4"/>
  <c r="E4" i="5" s="1"/>
  <c r="E3" i="5" s="1"/>
  <c r="E11" i="4"/>
  <c r="D11" i="4"/>
  <c r="C4" i="5" s="1"/>
  <c r="C3" i="5" s="1"/>
  <c r="C11" i="4"/>
  <c r="B4" i="5" s="1"/>
  <c r="B3" i="5" s="1"/>
  <c r="B11" i="4"/>
  <c r="I4" i="6"/>
  <c r="I3" i="6" s="1"/>
  <c r="H4" i="6"/>
  <c r="H3" i="6" s="1"/>
  <c r="G4" i="6"/>
  <c r="G3" i="6" s="1"/>
  <c r="F4" i="6"/>
  <c r="F3" i="6" s="1"/>
  <c r="E4" i="6"/>
  <c r="E3" i="6" s="1"/>
  <c r="D4" i="6"/>
  <c r="D3" i="6" s="1"/>
  <c r="C4" i="6"/>
  <c r="C3" i="6" s="1"/>
  <c r="B4" i="6"/>
  <c r="B3" i="6" s="1"/>
  <c r="AB270" i="1"/>
  <c r="AA270" i="1"/>
  <c r="Y270" i="1"/>
  <c r="U270" i="1"/>
  <c r="O270" i="1"/>
  <c r="K270" i="1"/>
  <c r="E270" i="1"/>
  <c r="F268" i="1" s="1"/>
  <c r="AB269" i="1"/>
  <c r="AA269" i="1"/>
  <c r="Z269" i="1"/>
  <c r="Y269" i="1"/>
  <c r="X269" i="1"/>
  <c r="AB268" i="1"/>
  <c r="AA268" i="1"/>
  <c r="Z268" i="1"/>
  <c r="Y268" i="1"/>
  <c r="X268" i="1"/>
  <c r="AB267" i="1"/>
  <c r="AA267" i="1"/>
  <c r="Z267" i="1"/>
  <c r="Y267" i="1"/>
  <c r="X267" i="1"/>
  <c r="AB266" i="1"/>
  <c r="AA266" i="1"/>
  <c r="Z266" i="1"/>
  <c r="Y266" i="1"/>
  <c r="X266" i="1"/>
  <c r="AB265" i="1"/>
  <c r="AA265" i="1"/>
  <c r="Z265" i="1"/>
  <c r="Y265" i="1"/>
  <c r="X265" i="1"/>
  <c r="AB264" i="1"/>
  <c r="AA264" i="1"/>
  <c r="Z264" i="1"/>
  <c r="Y264" i="1"/>
  <c r="AB263" i="1"/>
  <c r="AA263" i="1"/>
  <c r="Z263" i="1"/>
  <c r="Y263" i="1"/>
  <c r="X263" i="1"/>
  <c r="AB262" i="1"/>
  <c r="AA262" i="1"/>
  <c r="Z262" i="1"/>
  <c r="Y262" i="1"/>
  <c r="X262" i="1"/>
  <c r="AB261" i="1"/>
  <c r="AA261" i="1"/>
  <c r="Z261" i="1"/>
  <c r="Y261" i="1"/>
  <c r="X261" i="1"/>
  <c r="AB260" i="1"/>
  <c r="AA260" i="1"/>
  <c r="Z260" i="1"/>
  <c r="Y260" i="1"/>
  <c r="X260" i="1"/>
  <c r="AB259" i="1"/>
  <c r="AA259" i="1"/>
  <c r="Z259" i="1"/>
  <c r="Y259" i="1"/>
  <c r="X259" i="1"/>
  <c r="AB258" i="1"/>
  <c r="AA258" i="1"/>
  <c r="Z258" i="1"/>
  <c r="Y258" i="1"/>
  <c r="X258" i="1"/>
  <c r="U255" i="1"/>
  <c r="O255" i="1"/>
  <c r="P254" i="1" s="1"/>
  <c r="K255" i="1"/>
  <c r="E255" i="1"/>
  <c r="F254" i="1" s="1"/>
  <c r="AB254" i="1"/>
  <c r="AA254" i="1"/>
  <c r="Z254" i="1"/>
  <c r="Y254" i="1"/>
  <c r="X254" i="1"/>
  <c r="AB253" i="1"/>
  <c r="AA253" i="1"/>
  <c r="Z253" i="1"/>
  <c r="Y253" i="1"/>
  <c r="X253" i="1"/>
  <c r="B21" i="2"/>
  <c r="B11" i="2" s="1"/>
  <c r="AB248" i="1"/>
  <c r="AA248" i="1"/>
  <c r="Z248" i="1"/>
  <c r="Y248" i="1"/>
  <c r="X248" i="1"/>
  <c r="AB246" i="1"/>
  <c r="AA246" i="1"/>
  <c r="Z246" i="1"/>
  <c r="Y246" i="1"/>
  <c r="X246" i="1"/>
  <c r="AB247" i="1"/>
  <c r="AA247" i="1"/>
  <c r="Z247" i="1"/>
  <c r="X247" i="1"/>
  <c r="AB245" i="1"/>
  <c r="AA245" i="1"/>
  <c r="Z245" i="1"/>
  <c r="Y245" i="1"/>
  <c r="X245" i="1"/>
  <c r="AB244" i="1"/>
  <c r="AA244" i="1"/>
  <c r="Z244" i="1"/>
  <c r="Y244" i="1"/>
  <c r="P249" i="1"/>
  <c r="AB240" i="1"/>
  <c r="AA240" i="1"/>
  <c r="Y240" i="1"/>
  <c r="U240" i="1"/>
  <c r="O240" i="1"/>
  <c r="P224" i="1" s="1"/>
  <c r="K240" i="1"/>
  <c r="AB239" i="1"/>
  <c r="AA239" i="1"/>
  <c r="Z239" i="1"/>
  <c r="Y239" i="1"/>
  <c r="X239" i="1"/>
  <c r="AB238" i="1"/>
  <c r="AA238" i="1"/>
  <c r="Z238" i="1"/>
  <c r="Y238" i="1"/>
  <c r="X238" i="1"/>
  <c r="AB237" i="1"/>
  <c r="AA237" i="1"/>
  <c r="Z237" i="1"/>
  <c r="Y237" i="1"/>
  <c r="X237" i="1"/>
  <c r="AB236" i="1"/>
  <c r="AA236" i="1"/>
  <c r="Z236" i="1"/>
  <c r="Y236" i="1"/>
  <c r="AB233" i="1"/>
  <c r="AA233" i="1"/>
  <c r="Z233" i="1"/>
  <c r="Y233" i="1"/>
  <c r="X233" i="1"/>
  <c r="AB232" i="1"/>
  <c r="AA232" i="1"/>
  <c r="Z232" i="1"/>
  <c r="Y232" i="1"/>
  <c r="X232" i="1"/>
  <c r="AB231" i="1"/>
  <c r="AA231" i="1"/>
  <c r="Z231" i="1"/>
  <c r="Y231" i="1"/>
  <c r="X231" i="1"/>
  <c r="AB230" i="1"/>
  <c r="AA230" i="1"/>
  <c r="Z230" i="1"/>
  <c r="Y230" i="1"/>
  <c r="X230" i="1"/>
  <c r="AB229" i="1"/>
  <c r="AA229" i="1"/>
  <c r="Z229" i="1"/>
  <c r="Y229" i="1"/>
  <c r="AB228" i="1"/>
  <c r="AA228" i="1"/>
  <c r="Z228" i="1"/>
  <c r="Y228" i="1"/>
  <c r="X228" i="1"/>
  <c r="AB227" i="1"/>
  <c r="AA227" i="1"/>
  <c r="Z227" i="1"/>
  <c r="Y227" i="1"/>
  <c r="X227" i="1"/>
  <c r="AB226" i="1"/>
  <c r="AA226" i="1"/>
  <c r="Z226" i="1"/>
  <c r="Y226" i="1"/>
  <c r="X226" i="1"/>
  <c r="AB225" i="1"/>
  <c r="AA225" i="1"/>
  <c r="Z225" i="1"/>
  <c r="Y225" i="1"/>
  <c r="X225" i="1"/>
  <c r="AB224" i="1"/>
  <c r="AA224" i="1"/>
  <c r="Z224" i="1"/>
  <c r="Y224" i="1"/>
  <c r="X224" i="1"/>
  <c r="AB223" i="1"/>
  <c r="AA223" i="1"/>
  <c r="Z223" i="1"/>
  <c r="X223" i="1"/>
  <c r="AB222" i="1"/>
  <c r="AA222" i="1"/>
  <c r="Z222" i="1"/>
  <c r="Y222" i="1"/>
  <c r="X222" i="1"/>
  <c r="AB221" i="1"/>
  <c r="AA221" i="1"/>
  <c r="Z221" i="1"/>
  <c r="Y221" i="1"/>
  <c r="X221" i="1"/>
  <c r="AB220" i="1"/>
  <c r="AA220" i="1"/>
  <c r="Z220" i="1"/>
  <c r="Y220" i="1"/>
  <c r="X220" i="1"/>
  <c r="AB217" i="1"/>
  <c r="AA217" i="1"/>
  <c r="Z217" i="1"/>
  <c r="Y217" i="1"/>
  <c r="X217" i="1"/>
  <c r="AB216" i="1"/>
  <c r="AA216" i="1"/>
  <c r="Z216" i="1"/>
  <c r="Y216" i="1"/>
  <c r="X216" i="1"/>
  <c r="AB212" i="1"/>
  <c r="AA212" i="1"/>
  <c r="Y212" i="1"/>
  <c r="B2" i="3"/>
  <c r="B19" i="2"/>
  <c r="B9" i="2" s="1"/>
  <c r="AB211" i="1"/>
  <c r="AA211" i="1"/>
  <c r="Z211" i="1"/>
  <c r="Y211" i="1"/>
  <c r="X211" i="1"/>
  <c r="AB210" i="1"/>
  <c r="AA210" i="1"/>
  <c r="Z210" i="1"/>
  <c r="Y210" i="1"/>
  <c r="X210" i="1"/>
  <c r="AB206" i="1"/>
  <c r="AA206" i="1"/>
  <c r="Y206" i="1"/>
  <c r="U206" i="1"/>
  <c r="K206" i="1"/>
  <c r="E206" i="1"/>
  <c r="AB203" i="1"/>
  <c r="AA203" i="1"/>
  <c r="Z203" i="1"/>
  <c r="Y203" i="1"/>
  <c r="X203" i="1"/>
  <c r="AB202" i="1"/>
  <c r="AA202" i="1"/>
  <c r="Z202" i="1"/>
  <c r="Y202" i="1"/>
  <c r="X202" i="1"/>
  <c r="AB201" i="1"/>
  <c r="AA201" i="1"/>
  <c r="Z201" i="1"/>
  <c r="Y201" i="1"/>
  <c r="X201" i="1"/>
  <c r="AB200" i="1"/>
  <c r="AA200" i="1"/>
  <c r="Z200" i="1"/>
  <c r="X200" i="1"/>
  <c r="AB199" i="1"/>
  <c r="AA199" i="1"/>
  <c r="Z199" i="1"/>
  <c r="Y199" i="1"/>
  <c r="X199" i="1"/>
  <c r="AB197" i="1"/>
  <c r="AA197" i="1"/>
  <c r="Z197" i="1"/>
  <c r="Y197" i="1"/>
  <c r="X197" i="1"/>
  <c r="AB196" i="1"/>
  <c r="AA196" i="1"/>
  <c r="Z196" i="1"/>
  <c r="Y196" i="1"/>
  <c r="AB195" i="1"/>
  <c r="AA195" i="1"/>
  <c r="Z195" i="1"/>
  <c r="Y195" i="1"/>
  <c r="X195" i="1"/>
  <c r="AB193" i="1"/>
  <c r="AA193" i="1"/>
  <c r="Z193" i="1"/>
  <c r="Y193" i="1"/>
  <c r="X193" i="1"/>
  <c r="AB192" i="1"/>
  <c r="AA192" i="1"/>
  <c r="Z192" i="1"/>
  <c r="Y192" i="1"/>
  <c r="X192" i="1"/>
  <c r="AB191" i="1"/>
  <c r="AA191" i="1"/>
  <c r="Z191" i="1"/>
  <c r="Y191" i="1"/>
  <c r="X191" i="1"/>
  <c r="AB190" i="1"/>
  <c r="AA190" i="1"/>
  <c r="Z190" i="1"/>
  <c r="Y190" i="1"/>
  <c r="X190" i="1"/>
  <c r="AB189" i="1"/>
  <c r="AA189" i="1"/>
  <c r="Z189" i="1"/>
  <c r="Y189" i="1"/>
  <c r="X189" i="1"/>
  <c r="AB188" i="1"/>
  <c r="AA188" i="1"/>
  <c r="Z188" i="1"/>
  <c r="Y188" i="1"/>
  <c r="X188" i="1"/>
  <c r="AB187" i="1"/>
  <c r="AA187" i="1"/>
  <c r="Z187" i="1"/>
  <c r="Y187" i="1"/>
  <c r="X187" i="1"/>
  <c r="AB186" i="1"/>
  <c r="AA186" i="1"/>
  <c r="Z186" i="1"/>
  <c r="Y186" i="1"/>
  <c r="X186" i="1"/>
  <c r="AB185" i="1"/>
  <c r="AA185" i="1"/>
  <c r="Z185" i="1"/>
  <c r="Y185" i="1"/>
  <c r="X185" i="1"/>
  <c r="AB184" i="1"/>
  <c r="AA184" i="1"/>
  <c r="Z184" i="1"/>
  <c r="Y184" i="1"/>
  <c r="X184" i="1"/>
  <c r="AB183" i="1"/>
  <c r="AA183" i="1"/>
  <c r="Z183" i="1"/>
  <c r="Y183" i="1"/>
  <c r="X183" i="1"/>
  <c r="AB182" i="1"/>
  <c r="AA182" i="1"/>
  <c r="Z182" i="1"/>
  <c r="Y182" i="1"/>
  <c r="AB181" i="1"/>
  <c r="AA181" i="1"/>
  <c r="Z181" i="1"/>
  <c r="Y181" i="1"/>
  <c r="X181" i="1"/>
  <c r="AB180" i="1"/>
  <c r="AA180" i="1"/>
  <c r="Z180" i="1"/>
  <c r="Y180" i="1"/>
  <c r="X180" i="1"/>
  <c r="AB179" i="1"/>
  <c r="AA179" i="1"/>
  <c r="Z179" i="1"/>
  <c r="Y179" i="1"/>
  <c r="X179" i="1"/>
  <c r="AB205" i="1"/>
  <c r="AA205" i="1"/>
  <c r="Z205" i="1"/>
  <c r="Y205" i="1"/>
  <c r="X205" i="1"/>
  <c r="AB178" i="1"/>
  <c r="AA178" i="1"/>
  <c r="Z178" i="1"/>
  <c r="Y178" i="1"/>
  <c r="X178" i="1"/>
  <c r="AB176" i="1"/>
  <c r="AA176" i="1"/>
  <c r="Z176" i="1"/>
  <c r="Y176" i="1"/>
  <c r="X176" i="1"/>
  <c r="AB175" i="1"/>
  <c r="AA175" i="1"/>
  <c r="Z175" i="1"/>
  <c r="Y175" i="1"/>
  <c r="X175" i="1"/>
  <c r="AB172" i="1"/>
  <c r="AA172" i="1"/>
  <c r="Y172" i="1"/>
  <c r="U172" i="1"/>
  <c r="O172" i="1"/>
  <c r="K172" i="1"/>
  <c r="E172" i="1"/>
  <c r="B17" i="2" s="1"/>
  <c r="B7" i="2" s="1"/>
  <c r="AB171" i="1"/>
  <c r="AA171" i="1"/>
  <c r="Z171" i="1"/>
  <c r="Y171" i="1"/>
  <c r="X171" i="1"/>
  <c r="AB170" i="1"/>
  <c r="AA170" i="1"/>
  <c r="Z170" i="1"/>
  <c r="X170" i="1"/>
  <c r="AB169" i="1"/>
  <c r="AA169" i="1"/>
  <c r="Z169" i="1"/>
  <c r="Y169" i="1"/>
  <c r="X169" i="1"/>
  <c r="AB168" i="1"/>
  <c r="AA168" i="1"/>
  <c r="Z168" i="1"/>
  <c r="Y168" i="1"/>
  <c r="X168" i="1"/>
  <c r="AB167" i="1"/>
  <c r="AA167" i="1"/>
  <c r="Z167" i="1"/>
  <c r="Y167" i="1"/>
  <c r="X167" i="1"/>
  <c r="AB166" i="1"/>
  <c r="AA166" i="1"/>
  <c r="Z166" i="1"/>
  <c r="Y166" i="1"/>
  <c r="X166" i="1"/>
  <c r="AB163" i="1"/>
  <c r="AA163" i="1"/>
  <c r="Y163" i="1"/>
  <c r="U163" i="1"/>
  <c r="K163" i="1"/>
  <c r="E163" i="1"/>
  <c r="F137" i="1" s="1"/>
  <c r="AB162" i="1"/>
  <c r="AA162" i="1"/>
  <c r="Z162" i="1"/>
  <c r="X162" i="1"/>
  <c r="Y162" i="1"/>
  <c r="AB161" i="1"/>
  <c r="AA161" i="1"/>
  <c r="Z161" i="1"/>
  <c r="X161" i="1"/>
  <c r="Y161" i="1"/>
  <c r="AB160" i="1"/>
  <c r="AA160" i="1"/>
  <c r="Z160" i="1"/>
  <c r="Y160" i="1"/>
  <c r="AB159" i="1"/>
  <c r="AA159" i="1"/>
  <c r="Z159" i="1"/>
  <c r="Y159" i="1"/>
  <c r="AB158" i="1"/>
  <c r="AA158" i="1"/>
  <c r="Z158" i="1"/>
  <c r="Y158" i="1"/>
  <c r="X158" i="1"/>
  <c r="AB157" i="1"/>
  <c r="AA157" i="1"/>
  <c r="Z157" i="1"/>
  <c r="Y157" i="1"/>
  <c r="X157" i="1"/>
  <c r="AB156" i="1"/>
  <c r="AA156" i="1"/>
  <c r="Z156" i="1"/>
  <c r="Y156" i="1"/>
  <c r="X156" i="1"/>
  <c r="AB155" i="1"/>
  <c r="AA155" i="1"/>
  <c r="Z155" i="1"/>
  <c r="Y155" i="1"/>
  <c r="X155" i="1"/>
  <c r="AB154" i="1"/>
  <c r="AA154" i="1"/>
  <c r="Z154" i="1"/>
  <c r="X154" i="1"/>
  <c r="Y154" i="1"/>
  <c r="AB153" i="1"/>
  <c r="AA153" i="1"/>
  <c r="Z153" i="1"/>
  <c r="Y153" i="1"/>
  <c r="X153" i="1"/>
  <c r="AB152" i="1"/>
  <c r="AA152" i="1"/>
  <c r="Z152" i="1"/>
  <c r="Y152" i="1"/>
  <c r="X152" i="1"/>
  <c r="AB151" i="1"/>
  <c r="AA151" i="1"/>
  <c r="Z151" i="1"/>
  <c r="X151" i="1"/>
  <c r="Y151" i="1"/>
  <c r="AB150" i="1"/>
  <c r="AA150" i="1"/>
  <c r="Z150" i="1"/>
  <c r="Y150" i="1"/>
  <c r="AB149" i="1"/>
  <c r="AA149" i="1"/>
  <c r="Z149" i="1"/>
  <c r="Y149" i="1"/>
  <c r="X149" i="1"/>
  <c r="AB148" i="1"/>
  <c r="AA148" i="1"/>
  <c r="Z148" i="1"/>
  <c r="Y148" i="1"/>
  <c r="X148" i="1"/>
  <c r="AB147" i="1"/>
  <c r="AA147" i="1"/>
  <c r="Z147" i="1"/>
  <c r="Y147" i="1"/>
  <c r="X147" i="1"/>
  <c r="AB146" i="1"/>
  <c r="AA146" i="1"/>
  <c r="Z146" i="1"/>
  <c r="Y146" i="1"/>
  <c r="AB145" i="1"/>
  <c r="AA145" i="1"/>
  <c r="Z145" i="1"/>
  <c r="Y145" i="1"/>
  <c r="X145" i="1"/>
  <c r="AB143" i="1"/>
  <c r="AA143" i="1"/>
  <c r="Z143" i="1"/>
  <c r="Y143" i="1"/>
  <c r="X143" i="1"/>
  <c r="AB140" i="1"/>
  <c r="AA140" i="1"/>
  <c r="Z140" i="1"/>
  <c r="Y140" i="1"/>
  <c r="X140" i="1"/>
  <c r="AB139" i="1"/>
  <c r="AA139" i="1"/>
  <c r="Z139" i="1"/>
  <c r="Y139" i="1"/>
  <c r="X139" i="1"/>
  <c r="AB138" i="1"/>
  <c r="AA138" i="1"/>
  <c r="Z138" i="1"/>
  <c r="X138" i="1"/>
  <c r="AB132" i="1"/>
  <c r="AA132" i="1"/>
  <c r="Z132" i="1"/>
  <c r="Y132" i="1"/>
  <c r="X132" i="1"/>
  <c r="AB136" i="1"/>
  <c r="AA136" i="1"/>
  <c r="Z136" i="1"/>
  <c r="Y136" i="1"/>
  <c r="X136" i="1"/>
  <c r="AB135" i="1"/>
  <c r="AA135" i="1"/>
  <c r="Z135" i="1"/>
  <c r="Y135" i="1"/>
  <c r="AB134" i="1"/>
  <c r="AA134" i="1"/>
  <c r="Z134" i="1"/>
  <c r="AB133" i="1"/>
  <c r="AA133" i="1"/>
  <c r="Z133" i="1"/>
  <c r="AB131" i="1"/>
  <c r="AA131" i="1"/>
  <c r="Z131" i="1"/>
  <c r="Y131" i="1"/>
  <c r="X131" i="1"/>
  <c r="AB130" i="1"/>
  <c r="AA130" i="1"/>
  <c r="Z130" i="1"/>
  <c r="Y130" i="1"/>
  <c r="X130" i="1"/>
  <c r="AB129" i="1"/>
  <c r="AA129" i="1"/>
  <c r="Z129" i="1"/>
  <c r="Y129" i="1"/>
  <c r="X129" i="1"/>
  <c r="AB128" i="1"/>
  <c r="AA128" i="1"/>
  <c r="Z128" i="1"/>
  <c r="Y128" i="1"/>
  <c r="X128" i="1"/>
  <c r="AB127" i="1"/>
  <c r="AA127" i="1"/>
  <c r="Z127" i="1"/>
  <c r="Y127" i="1"/>
  <c r="X127" i="1"/>
  <c r="AB126" i="1"/>
  <c r="AA126" i="1"/>
  <c r="Z126" i="1"/>
  <c r="Y126" i="1"/>
  <c r="AB125" i="1"/>
  <c r="AA125" i="1"/>
  <c r="Z125" i="1"/>
  <c r="Y125" i="1"/>
  <c r="AB124" i="1"/>
  <c r="AA124" i="1"/>
  <c r="Z124" i="1"/>
  <c r="Y124" i="1"/>
  <c r="AB123" i="1"/>
  <c r="AA123" i="1"/>
  <c r="Z123" i="1"/>
  <c r="Y123" i="1"/>
  <c r="AB119" i="1"/>
  <c r="AA119" i="1"/>
  <c r="Y119" i="1"/>
  <c r="U119" i="1"/>
  <c r="O119" i="1"/>
  <c r="P84" i="1" s="1"/>
  <c r="K119" i="1"/>
  <c r="E119" i="1"/>
  <c r="AB118" i="1"/>
  <c r="AA118" i="1"/>
  <c r="Z118" i="1"/>
  <c r="Y118" i="1"/>
  <c r="X118" i="1"/>
  <c r="AB117" i="1"/>
  <c r="AA117" i="1"/>
  <c r="Z117" i="1"/>
  <c r="Y117" i="1"/>
  <c r="X117" i="1"/>
  <c r="AB116" i="1"/>
  <c r="AA116" i="1"/>
  <c r="Z116" i="1"/>
  <c r="Y116" i="1"/>
  <c r="X116" i="1"/>
  <c r="AB115" i="1"/>
  <c r="AA115" i="1"/>
  <c r="Z115" i="1"/>
  <c r="Y115" i="1"/>
  <c r="X115" i="1"/>
  <c r="AB114" i="1"/>
  <c r="AA114" i="1"/>
  <c r="Z114" i="1"/>
  <c r="Y114" i="1"/>
  <c r="X114" i="1"/>
  <c r="AB113" i="1"/>
  <c r="AA113" i="1"/>
  <c r="Z113" i="1"/>
  <c r="Y113" i="1"/>
  <c r="X113" i="1"/>
  <c r="AB112" i="1"/>
  <c r="AA112" i="1"/>
  <c r="Z112" i="1"/>
  <c r="Y112" i="1"/>
  <c r="X112" i="1"/>
  <c r="AB111" i="1"/>
  <c r="AA111" i="1"/>
  <c r="Z111" i="1"/>
  <c r="Y111" i="1"/>
  <c r="X111" i="1"/>
  <c r="AB110" i="1"/>
  <c r="AA110" i="1"/>
  <c r="Z110" i="1"/>
  <c r="Y110" i="1"/>
  <c r="X110" i="1"/>
  <c r="AB109" i="1"/>
  <c r="AA109" i="1"/>
  <c r="Z109" i="1"/>
  <c r="Y109" i="1"/>
  <c r="X109" i="1"/>
  <c r="AB108" i="1"/>
  <c r="AA108" i="1"/>
  <c r="Z108" i="1"/>
  <c r="Y108" i="1"/>
  <c r="X108" i="1"/>
  <c r="AB107" i="1"/>
  <c r="AA107" i="1"/>
  <c r="Z107" i="1"/>
  <c r="Y107" i="1"/>
  <c r="X107" i="1"/>
  <c r="AB106" i="1"/>
  <c r="AA106" i="1"/>
  <c r="Z106" i="1"/>
  <c r="Y106" i="1"/>
  <c r="X106" i="1"/>
  <c r="AB105" i="1"/>
  <c r="AA105" i="1"/>
  <c r="Z105" i="1"/>
  <c r="Y105" i="1"/>
  <c r="X105" i="1"/>
  <c r="AB104" i="1"/>
  <c r="AA104" i="1"/>
  <c r="Z104" i="1"/>
  <c r="Y104" i="1"/>
  <c r="X104" i="1"/>
  <c r="AB103" i="1"/>
  <c r="AA103" i="1"/>
  <c r="Z103" i="1"/>
  <c r="Y103" i="1"/>
  <c r="X103" i="1"/>
  <c r="AB102" i="1"/>
  <c r="AA102" i="1"/>
  <c r="Z102" i="1"/>
  <c r="Y102" i="1"/>
  <c r="X102" i="1"/>
  <c r="AB97" i="1"/>
  <c r="AA97" i="1"/>
  <c r="Z97" i="1"/>
  <c r="Y97" i="1"/>
  <c r="X97" i="1"/>
  <c r="AB101" i="1"/>
  <c r="AA101" i="1"/>
  <c r="Z101" i="1"/>
  <c r="Y101" i="1"/>
  <c r="X101" i="1"/>
  <c r="AB100" i="1"/>
  <c r="AA100" i="1"/>
  <c r="Z100" i="1"/>
  <c r="Y100" i="1"/>
  <c r="X100" i="1"/>
  <c r="AB99" i="1"/>
  <c r="AA99" i="1"/>
  <c r="Z99" i="1"/>
  <c r="Y99" i="1"/>
  <c r="X99" i="1"/>
  <c r="AB98" i="1"/>
  <c r="AA98" i="1"/>
  <c r="Z98" i="1"/>
  <c r="Y98" i="1"/>
  <c r="X98" i="1"/>
  <c r="AB96" i="1"/>
  <c r="AA96" i="1"/>
  <c r="Z96" i="1"/>
  <c r="Y96" i="1"/>
  <c r="X96" i="1"/>
  <c r="AB95" i="1"/>
  <c r="AA95" i="1"/>
  <c r="Z95" i="1"/>
  <c r="Y95" i="1"/>
  <c r="X95" i="1"/>
  <c r="AB94" i="1"/>
  <c r="AA94" i="1"/>
  <c r="Z94" i="1"/>
  <c r="Y94" i="1"/>
  <c r="X94" i="1"/>
  <c r="AB93" i="1"/>
  <c r="AA93" i="1"/>
  <c r="Z93" i="1"/>
  <c r="Y93" i="1"/>
  <c r="X93" i="1"/>
  <c r="AB92" i="1"/>
  <c r="AA92" i="1"/>
  <c r="Z92" i="1"/>
  <c r="Y92" i="1"/>
  <c r="X92" i="1"/>
  <c r="AB91" i="1"/>
  <c r="AA91" i="1"/>
  <c r="Z91" i="1"/>
  <c r="Y91" i="1"/>
  <c r="X91" i="1"/>
  <c r="AB90" i="1"/>
  <c r="AA90" i="1"/>
  <c r="Z90" i="1"/>
  <c r="Y90" i="1"/>
  <c r="AB89" i="1"/>
  <c r="AA89" i="1"/>
  <c r="Z89" i="1"/>
  <c r="Y89" i="1"/>
  <c r="X89" i="1"/>
  <c r="AB88" i="1"/>
  <c r="AA88" i="1"/>
  <c r="Z88" i="1"/>
  <c r="Y88" i="1"/>
  <c r="X88" i="1"/>
  <c r="AB87" i="1"/>
  <c r="AA87" i="1"/>
  <c r="Z87" i="1"/>
  <c r="X87" i="1"/>
  <c r="AB86" i="1"/>
  <c r="AA86" i="1"/>
  <c r="Z86" i="1"/>
  <c r="Y86" i="1"/>
  <c r="X86" i="1"/>
  <c r="AB85" i="1"/>
  <c r="AA85" i="1"/>
  <c r="Z85" i="1"/>
  <c r="Y85" i="1"/>
  <c r="X85" i="1"/>
  <c r="AB84" i="1"/>
  <c r="AA84" i="1"/>
  <c r="Z84" i="1"/>
  <c r="Y84" i="1"/>
  <c r="X84" i="1"/>
  <c r="AB83" i="1"/>
  <c r="AA83" i="1"/>
  <c r="Z83" i="1"/>
  <c r="Y83" i="1"/>
  <c r="AB82" i="1"/>
  <c r="AA82" i="1"/>
  <c r="Z82" i="1"/>
  <c r="Y82" i="1"/>
  <c r="X82" i="1"/>
  <c r="AB81" i="1"/>
  <c r="AA81" i="1"/>
  <c r="Z81" i="1"/>
  <c r="Y81" i="1"/>
  <c r="X81" i="1"/>
  <c r="AB78" i="1"/>
  <c r="AA78" i="1"/>
  <c r="Y78" i="1"/>
  <c r="U78" i="1"/>
  <c r="O78" i="1"/>
  <c r="K78" i="1"/>
  <c r="E78" i="1"/>
  <c r="B14" i="2" s="1"/>
  <c r="B4" i="2" s="1"/>
  <c r="AB77" i="1"/>
  <c r="AA77" i="1"/>
  <c r="Z77" i="1"/>
  <c r="Y77" i="1"/>
  <c r="X77" i="1"/>
  <c r="AB76" i="1"/>
  <c r="AA76" i="1"/>
  <c r="Z76" i="1"/>
  <c r="Y76" i="1"/>
  <c r="X76" i="1"/>
  <c r="AB75" i="1"/>
  <c r="AA75" i="1"/>
  <c r="Z75" i="1"/>
  <c r="Y75" i="1"/>
  <c r="X75" i="1"/>
  <c r="AB74" i="1"/>
  <c r="AA74" i="1"/>
  <c r="Z74" i="1"/>
  <c r="Y74" i="1"/>
  <c r="X74" i="1"/>
  <c r="AB73" i="1"/>
  <c r="AA73" i="1"/>
  <c r="Z73" i="1"/>
  <c r="Y73" i="1"/>
  <c r="X73" i="1"/>
  <c r="AB72" i="1"/>
  <c r="AA72" i="1"/>
  <c r="Z72" i="1"/>
  <c r="Y72" i="1"/>
  <c r="X72" i="1"/>
  <c r="AB71" i="1"/>
  <c r="AA71" i="1"/>
  <c r="Z71" i="1"/>
  <c r="Y71" i="1"/>
  <c r="X71" i="1"/>
  <c r="AB70" i="1"/>
  <c r="AA70" i="1"/>
  <c r="Z70" i="1"/>
  <c r="Y70" i="1"/>
  <c r="X70" i="1"/>
  <c r="AB68" i="1"/>
  <c r="AA68" i="1"/>
  <c r="Z68" i="1"/>
  <c r="Y68" i="1"/>
  <c r="X68" i="1"/>
  <c r="AB67" i="1"/>
  <c r="AA67" i="1"/>
  <c r="Z67" i="1"/>
  <c r="Y67" i="1"/>
  <c r="X67" i="1"/>
  <c r="AB65" i="1"/>
  <c r="AA65" i="1"/>
  <c r="Z65" i="1"/>
  <c r="Y65" i="1"/>
  <c r="X65" i="1"/>
  <c r="AB64" i="1"/>
  <c r="AA64" i="1"/>
  <c r="Z64" i="1"/>
  <c r="Y64" i="1"/>
  <c r="X64" i="1"/>
  <c r="AB63" i="1"/>
  <c r="AA63" i="1"/>
  <c r="Z63" i="1"/>
  <c r="Y63" i="1"/>
  <c r="X63" i="1"/>
  <c r="AB62" i="1"/>
  <c r="AA62" i="1"/>
  <c r="Z62" i="1"/>
  <c r="Y62" i="1"/>
  <c r="X62" i="1"/>
  <c r="AB61" i="1"/>
  <c r="AA61" i="1"/>
  <c r="Z61" i="1"/>
  <c r="Y61" i="1"/>
  <c r="X61" i="1"/>
  <c r="AB59" i="1"/>
  <c r="AA59" i="1"/>
  <c r="Z59" i="1"/>
  <c r="Y59" i="1"/>
  <c r="X59" i="1"/>
  <c r="AB58" i="1"/>
  <c r="AA58" i="1"/>
  <c r="Z58" i="1"/>
  <c r="Y58" i="1"/>
  <c r="X58" i="1"/>
  <c r="AB48" i="1"/>
  <c r="AA48" i="1"/>
  <c r="Z48" i="1"/>
  <c r="Y48" i="1"/>
  <c r="X48" i="1"/>
  <c r="AB57" i="1"/>
  <c r="AA57" i="1"/>
  <c r="Z57" i="1"/>
  <c r="Y57" i="1"/>
  <c r="X57" i="1"/>
  <c r="AB56" i="1"/>
  <c r="AA56" i="1"/>
  <c r="Z56" i="1"/>
  <c r="Y56" i="1"/>
  <c r="X56" i="1"/>
  <c r="AB55" i="1"/>
  <c r="AA55" i="1"/>
  <c r="Z55" i="1"/>
  <c r="Y55" i="1"/>
  <c r="X55" i="1"/>
  <c r="AB54" i="1"/>
  <c r="AA54" i="1"/>
  <c r="Z54" i="1"/>
  <c r="Y54" i="1"/>
  <c r="X54" i="1"/>
  <c r="AB53" i="1"/>
  <c r="AA53" i="1"/>
  <c r="Z53" i="1"/>
  <c r="Y53" i="1"/>
  <c r="X53" i="1"/>
  <c r="AB52" i="1"/>
  <c r="AA52" i="1"/>
  <c r="Z52" i="1"/>
  <c r="Y52" i="1"/>
  <c r="X52" i="1"/>
  <c r="AB51" i="1"/>
  <c r="AA51" i="1"/>
  <c r="Z51" i="1"/>
  <c r="Y51" i="1"/>
  <c r="X51" i="1"/>
  <c r="AB50" i="1"/>
  <c r="AA50" i="1"/>
  <c r="Z50" i="1"/>
  <c r="Y50" i="1"/>
  <c r="X50" i="1"/>
  <c r="AB49" i="1"/>
  <c r="AA49" i="1"/>
  <c r="Z49" i="1"/>
  <c r="Y49" i="1"/>
  <c r="X49" i="1"/>
  <c r="AB47" i="1"/>
  <c r="AA47" i="1"/>
  <c r="Z47" i="1"/>
  <c r="Y47" i="1"/>
  <c r="X47" i="1"/>
  <c r="AB46" i="1"/>
  <c r="AA46" i="1"/>
  <c r="Z46" i="1"/>
  <c r="Y46" i="1"/>
  <c r="X46" i="1"/>
  <c r="AB45" i="1"/>
  <c r="AA45" i="1"/>
  <c r="Z45" i="1"/>
  <c r="Y45" i="1"/>
  <c r="X45" i="1"/>
  <c r="AB44" i="1"/>
  <c r="AA44" i="1"/>
  <c r="Z44" i="1"/>
  <c r="Y44" i="1"/>
  <c r="X44" i="1"/>
  <c r="AB43" i="1"/>
  <c r="AA43" i="1"/>
  <c r="Z43" i="1"/>
  <c r="Y43" i="1"/>
  <c r="X43" i="1"/>
  <c r="AB42" i="1"/>
  <c r="AA42" i="1"/>
  <c r="Z42" i="1"/>
  <c r="Y42" i="1"/>
  <c r="X42" i="1"/>
  <c r="AB41" i="1"/>
  <c r="AA41" i="1"/>
  <c r="Z41" i="1"/>
  <c r="Y41" i="1"/>
  <c r="X41" i="1"/>
  <c r="AB40" i="1"/>
  <c r="AA40" i="1"/>
  <c r="Z40" i="1"/>
  <c r="Y40" i="1"/>
  <c r="X40" i="1"/>
  <c r="AB39" i="1"/>
  <c r="AA39" i="1"/>
  <c r="Z39" i="1"/>
  <c r="Y39" i="1"/>
  <c r="X39" i="1"/>
  <c r="AB38" i="1"/>
  <c r="AA38" i="1"/>
  <c r="Z38" i="1"/>
  <c r="Y38" i="1"/>
  <c r="AB37" i="1"/>
  <c r="AA37" i="1"/>
  <c r="Z37" i="1"/>
  <c r="Y37" i="1"/>
  <c r="X37" i="1"/>
  <c r="AB36" i="1"/>
  <c r="AA36" i="1"/>
  <c r="Z36" i="1"/>
  <c r="Y36" i="1"/>
  <c r="X36" i="1"/>
  <c r="AB35" i="1"/>
  <c r="AA35" i="1"/>
  <c r="Z35" i="1"/>
  <c r="Y35" i="1"/>
  <c r="X35" i="1"/>
  <c r="AB33" i="1"/>
  <c r="AA33" i="1"/>
  <c r="Z33" i="1"/>
  <c r="Y33" i="1"/>
  <c r="X33" i="1"/>
  <c r="AB31" i="1"/>
  <c r="AA31" i="1"/>
  <c r="Z31" i="1"/>
  <c r="Y31" i="1"/>
  <c r="X31" i="1"/>
  <c r="AB30" i="1"/>
  <c r="AA30" i="1"/>
  <c r="Z30" i="1"/>
  <c r="Y30" i="1"/>
  <c r="X30" i="1"/>
  <c r="AB27" i="1"/>
  <c r="AA27" i="1"/>
  <c r="Y27" i="1"/>
  <c r="U27" i="1"/>
  <c r="P19" i="1"/>
  <c r="K27" i="1"/>
  <c r="E27" i="1"/>
  <c r="F11" i="1" s="1"/>
  <c r="AB26" i="1"/>
  <c r="AA26" i="1"/>
  <c r="Z26" i="1"/>
  <c r="Y26" i="1"/>
  <c r="X26" i="1"/>
  <c r="AB24" i="1"/>
  <c r="AA24" i="1"/>
  <c r="Z24" i="1"/>
  <c r="Y24" i="1"/>
  <c r="AB23" i="1"/>
  <c r="AA23" i="1"/>
  <c r="Z23" i="1"/>
  <c r="Y23" i="1"/>
  <c r="X23" i="1"/>
  <c r="AB22" i="1"/>
  <c r="AA22" i="1"/>
  <c r="Z22" i="1"/>
  <c r="Y22" i="1"/>
  <c r="X22" i="1"/>
  <c r="AB21" i="1"/>
  <c r="AA21" i="1"/>
  <c r="Z21" i="1"/>
  <c r="Y21" i="1"/>
  <c r="X21" i="1"/>
  <c r="AB20" i="1"/>
  <c r="AA20" i="1"/>
  <c r="Z20" i="1"/>
  <c r="Y20" i="1"/>
  <c r="X20" i="1"/>
  <c r="AB19" i="1"/>
  <c r="AA19" i="1"/>
  <c r="Z19" i="1"/>
  <c r="Y19" i="1"/>
  <c r="X19" i="1"/>
  <c r="AB13" i="1"/>
  <c r="AA13" i="1"/>
  <c r="Z13" i="1"/>
  <c r="Y13" i="1"/>
  <c r="X13" i="1"/>
  <c r="AB18" i="1"/>
  <c r="AA18" i="1"/>
  <c r="Z18" i="1"/>
  <c r="Y18" i="1"/>
  <c r="X18" i="1"/>
  <c r="AB17" i="1"/>
  <c r="AA17" i="1"/>
  <c r="Z17" i="1"/>
  <c r="Y17" i="1"/>
  <c r="X17" i="1"/>
  <c r="AB16" i="1"/>
  <c r="AA16" i="1"/>
  <c r="Z16" i="1"/>
  <c r="Y16" i="1"/>
  <c r="X16" i="1"/>
  <c r="AB15" i="1"/>
  <c r="AA15" i="1"/>
  <c r="Z15" i="1"/>
  <c r="Y15" i="1"/>
  <c r="X15" i="1"/>
  <c r="AB14" i="1"/>
  <c r="AA14" i="1"/>
  <c r="Z14" i="1"/>
  <c r="Y14" i="1"/>
  <c r="X14" i="1"/>
  <c r="AB12" i="1"/>
  <c r="AA12" i="1"/>
  <c r="Z12" i="1"/>
  <c r="Y12" i="1"/>
  <c r="X12" i="1"/>
  <c r="AB10" i="1"/>
  <c r="AA10" i="1"/>
  <c r="Z10" i="1"/>
  <c r="Y10" i="1"/>
  <c r="X10" i="1"/>
  <c r="AB9" i="1"/>
  <c r="AA9" i="1"/>
  <c r="Z9" i="1"/>
  <c r="Y9" i="1"/>
  <c r="X9" i="1"/>
  <c r="AB8" i="1"/>
  <c r="AA8" i="1"/>
  <c r="Z8" i="1"/>
  <c r="Y8" i="1"/>
  <c r="X8" i="1"/>
  <c r="AB7" i="1"/>
  <c r="AA7" i="1"/>
  <c r="Z7" i="1"/>
  <c r="Y7" i="1"/>
  <c r="X7" i="1"/>
  <c r="AB6" i="1"/>
  <c r="AA6" i="1"/>
  <c r="Z6" i="1"/>
  <c r="Y6" i="1"/>
  <c r="X6" i="1"/>
  <c r="P61" i="1" l="1"/>
  <c r="F66" i="1"/>
  <c r="P66" i="1"/>
  <c r="F204" i="1"/>
  <c r="F177" i="1"/>
  <c r="F15" i="1"/>
  <c r="P40" i="1"/>
  <c r="P70" i="1"/>
  <c r="B15" i="2"/>
  <c r="B5" i="2" s="1"/>
  <c r="F175" i="1"/>
  <c r="F194" i="1"/>
  <c r="P105" i="1"/>
  <c r="P117" i="1"/>
  <c r="B4" i="3"/>
  <c r="P231" i="1"/>
  <c r="P269" i="1"/>
  <c r="P264" i="1"/>
  <c r="P168" i="1"/>
  <c r="B8" i="3"/>
  <c r="P88" i="1"/>
  <c r="B7" i="3"/>
  <c r="F60" i="1"/>
  <c r="P60" i="1"/>
  <c r="P50" i="1"/>
  <c r="P76" i="1"/>
  <c r="P90" i="1"/>
  <c r="P97" i="1"/>
  <c r="P74" i="1"/>
  <c r="P226" i="1"/>
  <c r="P42" i="1"/>
  <c r="P75" i="1"/>
  <c r="P51" i="1"/>
  <c r="F32" i="1"/>
  <c r="P32" i="1"/>
  <c r="B16" i="2"/>
  <c r="B6" i="2" s="1"/>
  <c r="F144" i="1"/>
  <c r="P34" i="1"/>
  <c r="P101" i="1"/>
  <c r="P68" i="1"/>
  <c r="P69" i="1"/>
  <c r="P23" i="1"/>
  <c r="P36" i="1"/>
  <c r="F69" i="1"/>
  <c r="P77" i="1"/>
  <c r="P118" i="1"/>
  <c r="P238" i="1"/>
  <c r="B3" i="3"/>
  <c r="C21" i="2"/>
  <c r="C11" i="2" s="1"/>
  <c r="F13" i="4"/>
  <c r="F38" i="1"/>
  <c r="F25" i="1"/>
  <c r="F9" i="1"/>
  <c r="P14" i="1"/>
  <c r="F7" i="1"/>
  <c r="F12" i="1"/>
  <c r="F17" i="1"/>
  <c r="P31" i="1"/>
  <c r="F105" i="1"/>
  <c r="P223" i="1"/>
  <c r="F117" i="1"/>
  <c r="F22" i="1"/>
  <c r="F20" i="1"/>
  <c r="Z206" i="1"/>
  <c r="F13" i="1"/>
  <c r="F104" i="1"/>
  <c r="F183" i="1"/>
  <c r="F181" i="1"/>
  <c r="F179" i="1"/>
  <c r="F178" i="1"/>
  <c r="P170" i="1"/>
  <c r="P198" i="1"/>
  <c r="P187" i="1"/>
  <c r="P49" i="1"/>
  <c r="F253" i="1"/>
  <c r="F101" i="1"/>
  <c r="F102" i="1"/>
  <c r="F99" i="1"/>
  <c r="F82" i="1"/>
  <c r="F96" i="1"/>
  <c r="F94" i="1"/>
  <c r="F106" i="1"/>
  <c r="B18" i="2"/>
  <c r="B8" i="2" s="1"/>
  <c r="F198" i="1"/>
  <c r="F168" i="1"/>
  <c r="F166" i="1"/>
  <c r="F62" i="1"/>
  <c r="F64" i="1"/>
  <c r="F72" i="1"/>
  <c r="F169" i="1"/>
  <c r="F171" i="1"/>
  <c r="F92" i="1"/>
  <c r="F115" i="1"/>
  <c r="F90" i="1"/>
  <c r="F113" i="1"/>
  <c r="F70" i="1"/>
  <c r="F88" i="1"/>
  <c r="F111" i="1"/>
  <c r="P63" i="1"/>
  <c r="P65" i="1"/>
  <c r="P71" i="1"/>
  <c r="P73" i="1"/>
  <c r="F86" i="1"/>
  <c r="F109" i="1"/>
  <c r="F67" i="1"/>
  <c r="F84" i="1"/>
  <c r="F108" i="1"/>
  <c r="F74" i="1"/>
  <c r="F76" i="1"/>
  <c r="P83" i="1"/>
  <c r="P35" i="1"/>
  <c r="B20" i="2"/>
  <c r="B10" i="2" s="1"/>
  <c r="F247" i="1"/>
  <c r="Z212" i="1"/>
  <c r="F236" i="1"/>
  <c r="F211" i="1"/>
  <c r="F185" i="1"/>
  <c r="F170" i="1"/>
  <c r="F24" i="1"/>
  <c r="D13" i="4"/>
  <c r="Z240" i="1"/>
  <c r="P91" i="1"/>
  <c r="F56" i="1"/>
  <c r="P57" i="1"/>
  <c r="F48" i="1"/>
  <c r="P58" i="1"/>
  <c r="F59" i="1"/>
  <c r="P38" i="1"/>
  <c r="F161" i="1"/>
  <c r="P130" i="1"/>
  <c r="Z270" i="1"/>
  <c r="X270" i="1"/>
  <c r="F259" i="1"/>
  <c r="F261" i="1"/>
  <c r="F263" i="1"/>
  <c r="F265" i="1"/>
  <c r="F269" i="1"/>
  <c r="F267" i="1"/>
  <c r="F258" i="1"/>
  <c r="F260" i="1"/>
  <c r="F262" i="1"/>
  <c r="F264" i="1"/>
  <c r="F266" i="1"/>
  <c r="X255" i="1"/>
  <c r="F222" i="1"/>
  <c r="F220" i="1"/>
  <c r="F216" i="1"/>
  <c r="F238" i="1"/>
  <c r="F232" i="1"/>
  <c r="F230" i="1"/>
  <c r="F228" i="1"/>
  <c r="F226" i="1"/>
  <c r="F210" i="1"/>
  <c r="F203" i="1"/>
  <c r="F201" i="1"/>
  <c r="F199" i="1"/>
  <c r="F196" i="1"/>
  <c r="F193" i="1"/>
  <c r="F176" i="1"/>
  <c r="F205" i="1"/>
  <c r="F191" i="1"/>
  <c r="F189" i="1"/>
  <c r="F187" i="1"/>
  <c r="Z172" i="1"/>
  <c r="Z163" i="1"/>
  <c r="F136" i="1"/>
  <c r="F152" i="1"/>
  <c r="F154" i="1"/>
  <c r="F123" i="1"/>
  <c r="F125" i="1"/>
  <c r="F134" i="1"/>
  <c r="F131" i="1"/>
  <c r="F140" i="1"/>
  <c r="F158" i="1"/>
  <c r="F127" i="1"/>
  <c r="F145" i="1"/>
  <c r="F147" i="1"/>
  <c r="F149" i="1"/>
  <c r="F160" i="1"/>
  <c r="F151" i="1"/>
  <c r="F135" i="1"/>
  <c r="F153" i="1"/>
  <c r="F162" i="1"/>
  <c r="F124" i="1"/>
  <c r="F132" i="1"/>
  <c r="F155" i="1"/>
  <c r="F126" i="1"/>
  <c r="F130" i="1"/>
  <c r="F133" i="1"/>
  <c r="F139" i="1"/>
  <c r="F157" i="1"/>
  <c r="F159" i="1"/>
  <c r="F138" i="1"/>
  <c r="F156" i="1"/>
  <c r="F128" i="1"/>
  <c r="F143" i="1"/>
  <c r="F146" i="1"/>
  <c r="F150" i="1"/>
  <c r="K241" i="1"/>
  <c r="K271" i="1" s="1"/>
  <c r="Z119" i="1"/>
  <c r="X119" i="1"/>
  <c r="F87" i="1"/>
  <c r="F89" i="1"/>
  <c r="F91" i="1"/>
  <c r="F107" i="1"/>
  <c r="F110" i="1"/>
  <c r="F112" i="1"/>
  <c r="F114" i="1"/>
  <c r="F116" i="1"/>
  <c r="F118" i="1"/>
  <c r="F81" i="1"/>
  <c r="F83" i="1"/>
  <c r="F93" i="1"/>
  <c r="F95" i="1"/>
  <c r="F98" i="1"/>
  <c r="F100" i="1"/>
  <c r="F97" i="1"/>
  <c r="F103" i="1"/>
  <c r="Z78" i="1"/>
  <c r="F6" i="1"/>
  <c r="F8" i="1"/>
  <c r="F10" i="1"/>
  <c r="F14" i="1"/>
  <c r="F16" i="1"/>
  <c r="F18" i="1"/>
  <c r="F19" i="1"/>
  <c r="F23" i="1"/>
  <c r="F26" i="1"/>
  <c r="F21" i="1"/>
  <c r="J13" i="4"/>
  <c r="D4" i="5"/>
  <c r="D3" i="5" s="1"/>
  <c r="H13" i="4"/>
  <c r="P216" i="1"/>
  <c r="P217" i="1"/>
  <c r="P222" i="1"/>
  <c r="P225" i="1"/>
  <c r="P228" i="1"/>
  <c r="P229" i="1"/>
  <c r="P232" i="1"/>
  <c r="P233" i="1"/>
  <c r="P239" i="1"/>
  <c r="P100" i="1"/>
  <c r="P110" i="1"/>
  <c r="P81" i="1"/>
  <c r="P87" i="1"/>
  <c r="P95" i="1"/>
  <c r="P103" i="1"/>
  <c r="P107" i="1"/>
  <c r="P114" i="1"/>
  <c r="P85" i="1"/>
  <c r="P89" i="1"/>
  <c r="P93" i="1"/>
  <c r="P98" i="1"/>
  <c r="P112" i="1"/>
  <c r="P116" i="1"/>
  <c r="P181" i="1"/>
  <c r="P182" i="1"/>
  <c r="P186" i="1"/>
  <c r="P189" i="1"/>
  <c r="P190" i="1"/>
  <c r="P195" i="1"/>
  <c r="P199" i="1"/>
  <c r="P200" i="1"/>
  <c r="P203" i="1"/>
  <c r="P176" i="1"/>
  <c r="P261" i="1"/>
  <c r="P265" i="1"/>
  <c r="P259" i="1"/>
  <c r="P263" i="1"/>
  <c r="P267" i="1"/>
  <c r="P258" i="1"/>
  <c r="P260" i="1"/>
  <c r="P262" i="1"/>
  <c r="P266" i="1"/>
  <c r="P268" i="1"/>
  <c r="P55" i="1"/>
  <c r="P178" i="1"/>
  <c r="P179" i="1"/>
  <c r="P180" i="1"/>
  <c r="P183" i="1"/>
  <c r="P184" i="1"/>
  <c r="P188" i="1"/>
  <c r="P191" i="1"/>
  <c r="P196" i="1"/>
  <c r="P197" i="1"/>
  <c r="P201" i="1"/>
  <c r="P202" i="1"/>
  <c r="F30" i="1"/>
  <c r="F33" i="1"/>
  <c r="F36" i="1"/>
  <c r="P37" i="1"/>
  <c r="P6" i="1"/>
  <c r="P16" i="1"/>
  <c r="P8" i="1"/>
  <c r="P18" i="1"/>
  <c r="P7" i="1"/>
  <c r="P9" i="1"/>
  <c r="P12" i="1"/>
  <c r="P15" i="1"/>
  <c r="P17" i="1"/>
  <c r="P20" i="1"/>
  <c r="P13" i="1"/>
  <c r="P22" i="1"/>
  <c r="P82" i="1"/>
  <c r="F85" i="1"/>
  <c r="P86" i="1"/>
  <c r="P92" i="1"/>
  <c r="P94" i="1"/>
  <c r="P96" i="1"/>
  <c r="P99" i="1"/>
  <c r="P102" i="1"/>
  <c r="P104" i="1"/>
  <c r="P106" i="1"/>
  <c r="P108" i="1"/>
  <c r="P109" i="1"/>
  <c r="P111" i="1"/>
  <c r="P113" i="1"/>
  <c r="P115" i="1"/>
  <c r="P39" i="1"/>
  <c r="F40" i="1"/>
  <c r="P41" i="1"/>
  <c r="F42" i="1"/>
  <c r="P43" i="1"/>
  <c r="P44" i="1"/>
  <c r="F45" i="1"/>
  <c r="P46" i="1"/>
  <c r="F47" i="1"/>
  <c r="F50" i="1"/>
  <c r="F52" i="1"/>
  <c r="P53" i="1"/>
  <c r="F54" i="1"/>
  <c r="U241" i="1"/>
  <c r="U271" i="1" s="1"/>
  <c r="P220" i="1"/>
  <c r="P221" i="1"/>
  <c r="P227" i="1"/>
  <c r="P230" i="1"/>
  <c r="P21" i="1"/>
  <c r="P30" i="1"/>
  <c r="F31" i="1"/>
  <c r="P33" i="1"/>
  <c r="F35" i="1"/>
  <c r="F37" i="1"/>
  <c r="F39" i="1"/>
  <c r="F41" i="1"/>
  <c r="F43" i="1"/>
  <c r="P45" i="1"/>
  <c r="F46" i="1"/>
  <c r="P47" i="1"/>
  <c r="F49" i="1"/>
  <c r="F51" i="1"/>
  <c r="P52" i="1"/>
  <c r="F53" i="1"/>
  <c r="P54" i="1"/>
  <c r="P56" i="1"/>
  <c r="F57" i="1"/>
  <c r="P48" i="1"/>
  <c r="F58" i="1"/>
  <c r="P59" i="1"/>
  <c r="F61" i="1"/>
  <c r="P62" i="1"/>
  <c r="F63" i="1"/>
  <c r="P64" i="1"/>
  <c r="F65" i="1"/>
  <c r="P67" i="1"/>
  <c r="F68" i="1"/>
  <c r="F71" i="1"/>
  <c r="P72" i="1"/>
  <c r="F73" i="1"/>
  <c r="F75" i="1"/>
  <c r="F77" i="1"/>
  <c r="C13" i="2"/>
  <c r="C3" i="2" s="1"/>
  <c r="X78" i="1"/>
  <c r="X123" i="1"/>
  <c r="X125" i="1"/>
  <c r="X133" i="1"/>
  <c r="X134" i="1"/>
  <c r="X135" i="1"/>
  <c r="C17" i="2"/>
  <c r="C7" i="2" s="1"/>
  <c r="X172" i="1"/>
  <c r="P171" i="1"/>
  <c r="P169" i="1"/>
  <c r="P167" i="1"/>
  <c r="P166" i="1"/>
  <c r="P246" i="1"/>
  <c r="P244" i="1"/>
  <c r="X250" i="1"/>
  <c r="P248" i="1"/>
  <c r="P245" i="1"/>
  <c r="P26" i="1"/>
  <c r="B13" i="2"/>
  <c r="B3" i="2" s="1"/>
  <c r="E241" i="1"/>
  <c r="F240" i="1" s="1"/>
  <c r="X27" i="1"/>
  <c r="Z27" i="1"/>
  <c r="B10" i="3"/>
  <c r="C14" i="2"/>
  <c r="C4" i="2" s="1"/>
  <c r="C15" i="2"/>
  <c r="C5" i="2" s="1"/>
  <c r="P147" i="1"/>
  <c r="F148" i="1"/>
  <c r="P148" i="1"/>
  <c r="F180" i="1"/>
  <c r="F182" i="1"/>
  <c r="F184" i="1"/>
  <c r="F186" i="1"/>
  <c r="F188" i="1"/>
  <c r="F190" i="1"/>
  <c r="F192" i="1"/>
  <c r="F195" i="1"/>
  <c r="F197" i="1"/>
  <c r="F200" i="1"/>
  <c r="F202" i="1"/>
  <c r="P211" i="1"/>
  <c r="X212" i="1"/>
  <c r="F217" i="1"/>
  <c r="F221" i="1"/>
  <c r="F224" i="1"/>
  <c r="F227" i="1"/>
  <c r="F229" i="1"/>
  <c r="F231" i="1"/>
  <c r="F233" i="1"/>
  <c r="F237" i="1"/>
  <c r="F239" i="1"/>
  <c r="X244" i="1"/>
  <c r="P247" i="1"/>
  <c r="F246" i="1"/>
  <c r="P253" i="1"/>
  <c r="C18" i="2"/>
  <c r="C8" i="2" s="1"/>
  <c r="C19" i="2"/>
  <c r="C9" i="2" s="1"/>
  <c r="C20" i="2"/>
  <c r="C10" i="2" s="1"/>
  <c r="C13" i="4"/>
  <c r="E13" i="4"/>
  <c r="G13" i="4"/>
  <c r="I13" i="4"/>
  <c r="X206" i="1"/>
  <c r="X240" i="1"/>
  <c r="F244" i="1"/>
  <c r="F245" i="1"/>
  <c r="F248" i="1"/>
  <c r="B9" i="3" l="1"/>
  <c r="P162" i="1"/>
  <c r="P150" i="1"/>
  <c r="P132" i="1"/>
  <c r="P125" i="1"/>
  <c r="P152" i="1"/>
  <c r="P127" i="1"/>
  <c r="P143" i="1"/>
  <c r="P159" i="1"/>
  <c r="P156" i="1"/>
  <c r="O241" i="1"/>
  <c r="P163" i="1" s="1"/>
  <c r="P124" i="1"/>
  <c r="P154" i="1"/>
  <c r="P131" i="1"/>
  <c r="P139" i="1"/>
  <c r="P146" i="1"/>
  <c r="P157" i="1"/>
  <c r="C16" i="2"/>
  <c r="C6" i="2" s="1"/>
  <c r="P161" i="1"/>
  <c r="P123" i="1"/>
  <c r="P155" i="1"/>
  <c r="P129" i="1"/>
  <c r="P160" i="1"/>
  <c r="P133" i="1"/>
  <c r="P149" i="1"/>
  <c r="P126" i="1"/>
  <c r="P128" i="1"/>
  <c r="P136" i="1"/>
  <c r="P138" i="1"/>
  <c r="P140" i="1"/>
  <c r="P145" i="1"/>
  <c r="P151" i="1"/>
  <c r="P153" i="1"/>
  <c r="P158" i="1"/>
  <c r="X163" i="1"/>
  <c r="F206" i="1"/>
  <c r="F119" i="1"/>
  <c r="E271" i="1"/>
  <c r="F212" i="1"/>
  <c r="F163" i="1"/>
  <c r="F172" i="1"/>
  <c r="F27" i="1"/>
  <c r="F78" i="1"/>
  <c r="P212" i="1" l="1"/>
  <c r="X241" i="1"/>
  <c r="P78" i="1"/>
  <c r="P240" i="1"/>
  <c r="P172" i="1"/>
  <c r="P206" i="1"/>
  <c r="O271" i="1"/>
  <c r="P119" i="1"/>
  <c r="P27" i="1"/>
</calcChain>
</file>

<file path=xl/sharedStrings.xml><?xml version="1.0" encoding="utf-8"?>
<sst xmlns="http://schemas.openxmlformats.org/spreadsheetml/2006/main" count="1691" uniqueCount="352">
  <si>
    <t>% Change (Current from Previous)</t>
  </si>
  <si>
    <t>Difference</t>
  </si>
  <si>
    <t>S/N</t>
  </si>
  <si>
    <t>FUND</t>
  </si>
  <si>
    <t>FUND MANAGER</t>
  </si>
  <si>
    <t>NAV (N)</t>
  </si>
  <si>
    <t>% to Total</t>
  </si>
  <si>
    <t>Offer Price (N)</t>
  </si>
  <si>
    <t>Unitholders</t>
  </si>
  <si>
    <t>Yield (WTD)</t>
  </si>
  <si>
    <t>Yield  (YTD)</t>
  </si>
  <si>
    <t>Bid Price (N)</t>
  </si>
  <si>
    <t>NAV (%)</t>
  </si>
  <si>
    <t>Unit Price (%)</t>
  </si>
  <si>
    <t>Uniholders</t>
  </si>
  <si>
    <t>Yield (%) WYD</t>
  </si>
  <si>
    <t>Yield (%) YTD</t>
  </si>
  <si>
    <t>EQUITY BASED FUNDS</t>
  </si>
  <si>
    <t>Afrinvest Equity Fund</t>
  </si>
  <si>
    <t>Afrinvest Asset Mgt Ltd.</t>
  </si>
  <si>
    <t>Anchoria Equity Fund</t>
  </si>
  <si>
    <t>Anchoria Asset Management Limited</t>
  </si>
  <si>
    <t>ARM Aggressive Growth Fund</t>
  </si>
  <si>
    <t>ARM Investment Managers Limited</t>
  </si>
  <si>
    <t>AXA Mansard Equity Income Fund</t>
  </si>
  <si>
    <t>AXA Mansard Investments Limited</t>
  </si>
  <si>
    <t>CardinalStone Equity Fund</t>
  </si>
  <si>
    <t>CardinalStone Asset Mgt. Limited</t>
  </si>
  <si>
    <t>Cowry Equity Fund</t>
  </si>
  <si>
    <t>Cowry Treasurers Limited</t>
  </si>
  <si>
    <t>Frontier Fund</t>
  </si>
  <si>
    <t>SCM Capital Limited</t>
  </si>
  <si>
    <t>Futureview Equity Fund</t>
  </si>
  <si>
    <t>Futureview Asset Management Limited</t>
  </si>
  <si>
    <t>Guaranty Trust Equity Income Fund</t>
  </si>
  <si>
    <t>Guaranty Trust Fund Managers</t>
  </si>
  <si>
    <t>Halo Equity Fund</t>
  </si>
  <si>
    <t>Halo Asset Management Limited</t>
  </si>
  <si>
    <t>FCMB Asset Management Limited</t>
  </si>
  <si>
    <t>Meristem Equity Market Fund</t>
  </si>
  <si>
    <t>Meristem Wealth Management Limited</t>
  </si>
  <si>
    <t>PACAM Equity Fund</t>
  </si>
  <si>
    <t>PAC Asset Management Limited</t>
  </si>
  <si>
    <t>Paramount Equity Fund</t>
  </si>
  <si>
    <t>Chapel Hill Denham Mgt. Limited</t>
  </si>
  <si>
    <t>Stanbic IBTC Aggressive Fund (Sub Fund)</t>
  </si>
  <si>
    <t>Stanbic IBTC Asset Mgt. Limited</t>
  </si>
  <si>
    <t>Stanbic IBTC Nigerian Equity Fund</t>
  </si>
  <si>
    <t>United Capital Equity Fund</t>
  </si>
  <si>
    <t>United Capital Asset Mgt. Ltd</t>
  </si>
  <si>
    <t>Zrosk Magna Equity Fund</t>
  </si>
  <si>
    <t>Zrosk Investment Management Limited</t>
  </si>
  <si>
    <t>Sub-Total</t>
  </si>
  <si>
    <t>MONEY MARKET FUNDS</t>
  </si>
  <si>
    <t>Afrinvest Plutus Fund</t>
  </si>
  <si>
    <t>AIICO Money Market Fund</t>
  </si>
  <si>
    <t>AIICO Capital Ltd</t>
  </si>
  <si>
    <t>Anchoria Money Market Fund</t>
  </si>
  <si>
    <t>ARM Money Market Fund</t>
  </si>
  <si>
    <t>AVA GAM Money Market Fund</t>
  </si>
  <si>
    <t>AVA Global Asset Managers Limited</t>
  </si>
  <si>
    <t>AXA Mansard Money Market Fund</t>
  </si>
  <si>
    <t>CardinalStone Money Market Fund</t>
  </si>
  <si>
    <t>Chapel Hill Denham Money Market Fund</t>
  </si>
  <si>
    <t>Comercio Partners Money Market Fund</t>
  </si>
  <si>
    <t>Comercio Partners Asset Management Limited</t>
  </si>
  <si>
    <t>Coral Money Market Fund</t>
  </si>
  <si>
    <t>FSDH Asset Management Ltd</t>
  </si>
  <si>
    <t>Cordros Money Market Fund</t>
  </si>
  <si>
    <t>Cordros Asset Management Limited</t>
  </si>
  <si>
    <t>Coronation Money Market Fund</t>
  </si>
  <si>
    <t>Coronation Asset Management Limited</t>
  </si>
  <si>
    <t>DLM Money Market Fund</t>
  </si>
  <si>
    <t>DLM Asset Management Limited</t>
  </si>
  <si>
    <t>EDC Money Market Fund Class A</t>
  </si>
  <si>
    <t>EDC Fund Management Limited</t>
  </si>
  <si>
    <t>EDC Money Market Fund Class B</t>
  </si>
  <si>
    <t>Emerging Africa Money Market Fund</t>
  </si>
  <si>
    <t>Emerging Africa Asset Management Limited</t>
  </si>
  <si>
    <t>First Asset Management Limited</t>
  </si>
  <si>
    <t>First Ally Money Market Fund</t>
  </si>
  <si>
    <t>First Ally Asset Management Limited</t>
  </si>
  <si>
    <t>FSL Money Market Fund</t>
  </si>
  <si>
    <t>FSL Asset Management Limited</t>
  </si>
  <si>
    <t>Fundvine Money Market Fund</t>
  </si>
  <si>
    <t>Fundvine Berkshire Asset Management Limited</t>
  </si>
  <si>
    <t>GDL Money Market Fund</t>
  </si>
  <si>
    <t>Growth &amp; Development Asset Management Limited</t>
  </si>
  <si>
    <t>Greenwich Plus Money Market Fund</t>
  </si>
  <si>
    <t>Greenwich Asset Management Limited</t>
  </si>
  <si>
    <t>GTI  Money Market Fund</t>
  </si>
  <si>
    <t>GTI Asset Management &amp; Trust Limited</t>
  </si>
  <si>
    <t>Guaranty Trust Investment Fund 724</t>
  </si>
  <si>
    <t>Guaranty Trust Money Market Fund</t>
  </si>
  <si>
    <t>Mango Naira Money Market Fund</t>
  </si>
  <si>
    <t>Mango Asset Management Limited</t>
  </si>
  <si>
    <t>Meristem Money Market Fund</t>
  </si>
  <si>
    <t>Norrenberger Money Market Fund</t>
  </si>
  <si>
    <t>Norrenberger Investment &amp; Capital Mgt. Ltd.</t>
  </si>
  <si>
    <t>Nova Prime Money Market Fund</t>
  </si>
  <si>
    <t xml:space="preserve">Novambl Asset Management </t>
  </si>
  <si>
    <t>PACAM Money Market Fund</t>
  </si>
  <si>
    <t>Page Money Market Fund</t>
  </si>
  <si>
    <t>Page Asset Management Limited</t>
  </si>
  <si>
    <t>Parthian Money Market Fund</t>
  </si>
  <si>
    <t>Parthian Capital Limited</t>
  </si>
  <si>
    <t>RMBN Money Market Fund</t>
  </si>
  <si>
    <t>RMB Nigeria Asset Management Ltd.</t>
  </si>
  <si>
    <t>Stanbic IBTC Money Market Fund</t>
  </si>
  <si>
    <t>STL Money Market Fund</t>
  </si>
  <si>
    <t>STL Asset Management Limited</t>
  </si>
  <si>
    <t>Trustbanc Money Market Fund</t>
  </si>
  <si>
    <t>Trustbanc Asset Management Limited</t>
  </si>
  <si>
    <t>United Capital Money Market Fund</t>
  </si>
  <si>
    <t>ValuAlliance Money Market Fund</t>
  </si>
  <si>
    <t>ValuAlliance Asset Management Limited</t>
  </si>
  <si>
    <t>Vetiva Money Market Fund</t>
  </si>
  <si>
    <t>Vetiva Fund Managers</t>
  </si>
  <si>
    <t>Zedcrest Money Market Fund</t>
  </si>
  <si>
    <t>Zedcrest Investment Managers Limited</t>
  </si>
  <si>
    <t>Zenith Money Market Fund</t>
  </si>
  <si>
    <t>Zenith Asset Management Ltd</t>
  </si>
  <si>
    <t>Anchoria Fixed Income Fund</t>
  </si>
  <si>
    <t>ARM Fixed Income Fund</t>
  </si>
  <si>
    <t>ARM Short Term Bond Fund</t>
  </si>
  <si>
    <t>AVA GAM Fixed Income Fund</t>
  </si>
  <si>
    <t>CardinalStone Fixed Income Alpha Fund</t>
  </si>
  <si>
    <t>CEAT Fixed Income Fund</t>
  </si>
  <si>
    <t>Capital Express Asset and Trust Limited</t>
  </si>
  <si>
    <t>CFG AM Fixed Income Naira Fund</t>
  </si>
  <si>
    <t>CFG Asset Management Limited</t>
  </si>
  <si>
    <t>Comercio Partners Fixed Income Fund</t>
  </si>
  <si>
    <t>Coral Income Fund</t>
  </si>
  <si>
    <t>Cordros Fixed Income Fund</t>
  </si>
  <si>
    <t>Coronation Fixed Income Fund</t>
  </si>
  <si>
    <t>Coronation Premium Fixed Income Fund</t>
  </si>
  <si>
    <t>Cowry Fixed Income Fund</t>
  </si>
  <si>
    <t>DLM Fixed Income Fund</t>
  </si>
  <si>
    <t>EDC Fixed Income Fund</t>
  </si>
  <si>
    <t>Emerging Africa Bond Fund</t>
  </si>
  <si>
    <t>GDL Income Fund</t>
  </si>
  <si>
    <t>Guaranty Trust Fixed Income Fund</t>
  </si>
  <si>
    <t>Lead Fixed Income Fund</t>
  </si>
  <si>
    <t>Lead Asset Management Limited</t>
  </si>
  <si>
    <t>Meristem Fixed Income Fund</t>
  </si>
  <si>
    <t>Nigeria Bond Fund</t>
  </si>
  <si>
    <t>Nigeria International Debt Fund</t>
  </si>
  <si>
    <t>Norrenberger Turbo Fund (NTF)</t>
  </si>
  <si>
    <t>PACAM Fixed Income Fund</t>
  </si>
  <si>
    <t>Radix Horizon Fund</t>
  </si>
  <si>
    <t>Radix Capital Partners Limited</t>
  </si>
  <si>
    <t>SFS Fixed Income Fund</t>
  </si>
  <si>
    <t>SFS Capital Nigeria Ltd</t>
  </si>
  <si>
    <t>Stanbic IBTC Bond Fund</t>
  </si>
  <si>
    <t>Stanbic IBTC Conservative Fund (Sub Fund)</t>
  </si>
  <si>
    <t>Stanbic IBTC Enhanced Short-Term Fixed Income Fund</t>
  </si>
  <si>
    <t>Stanbic IBTC Guaranteed Investment Fund</t>
  </si>
  <si>
    <t>Trustbanc Fixed Income Fund</t>
  </si>
  <si>
    <t>United Capital Fixed Income Fund</t>
  </si>
  <si>
    <t>United Capital Stable Income Fund</t>
  </si>
  <si>
    <t>Utica Custodian Assured Fixed Income Fund</t>
  </si>
  <si>
    <t>Utica Capital Limited</t>
  </si>
  <si>
    <t>Zedcrest Fixed Income Fund</t>
  </si>
  <si>
    <t>Zenith Income Fund</t>
  </si>
  <si>
    <t>DOLLAR FUNDS</t>
  </si>
  <si>
    <t>Afrinvest Dollar Fund</t>
  </si>
  <si>
    <t>AIICO Eurobond Fund</t>
  </si>
  <si>
    <t>ARM Eurobond Fund</t>
  </si>
  <si>
    <t>ARM Short-Term Eurobond Fund</t>
  </si>
  <si>
    <t>CardinalStone Dollar Fund</t>
  </si>
  <si>
    <t>Comercio Partners Dollar Fund</t>
  </si>
  <si>
    <t>Cowry Eurobond Fund</t>
  </si>
  <si>
    <t>EDC Dollar Fund</t>
  </si>
  <si>
    <t>Emerging Africa Eurobond Fund</t>
  </si>
  <si>
    <t>FSL Eurobond Fund</t>
  </si>
  <si>
    <t>Futureview Dollar Fund</t>
  </si>
  <si>
    <t>Norrenberger Dollar Fund</t>
  </si>
  <si>
    <t>PACAM Eurobond Fund</t>
  </si>
  <si>
    <t>United Capital Nigerian Eurobond Fund</t>
  </si>
  <si>
    <t>AVA GAM Fixed Income Dollar Fund</t>
  </si>
  <si>
    <t>AXA Mansard Dollar Bond Fund</t>
  </si>
  <si>
    <t>CFG AM Fixed Income Dollar Fund</t>
  </si>
  <si>
    <t>Cordros Dollar Fund</t>
  </si>
  <si>
    <t>Coronation Dollar Fund</t>
  </si>
  <si>
    <t>FSDH Dollar Fund</t>
  </si>
  <si>
    <t>Greenwich Fixed Income Dollar Fund</t>
  </si>
  <si>
    <t>Guaranty Trust Dollar Fund</t>
  </si>
  <si>
    <t>Lead Dollar Fixed Income Fund</t>
  </si>
  <si>
    <t>Nigeria Dollar Income Fund</t>
  </si>
  <si>
    <t>Nova Dollar Fixed Income Fund</t>
  </si>
  <si>
    <t>Parthian Dollar Fixed Income Fund</t>
  </si>
  <si>
    <t>Stanbic IBTC Dollar Fund</t>
  </si>
  <si>
    <t>STL Dollar Fund</t>
  </si>
  <si>
    <t>United Capital Global Fixed Income Fund</t>
  </si>
  <si>
    <t>RMBN Dollar Fixed Income Fund</t>
  </si>
  <si>
    <t>Vetiva USD Fixed Income Fund</t>
  </si>
  <si>
    <t>Zedcrest Dollar Fund</t>
  </si>
  <si>
    <t>Housing Solution Fund</t>
  </si>
  <si>
    <t>Fundco Capital Managers Limited</t>
  </si>
  <si>
    <t>MOFI Real Estate Investment Fund</t>
  </si>
  <si>
    <t>Nigeria Real Estate Investment Trust</t>
  </si>
  <si>
    <t>Union Homes REITS</t>
  </si>
  <si>
    <t>SFS Real Estate Investment Trust Fund</t>
  </si>
  <si>
    <t>BALANCED FUNDS</t>
  </si>
  <si>
    <t>AIICO Balanced Fund</t>
  </si>
  <si>
    <t>Alpha Morgan Balanced Fund</t>
  </si>
  <si>
    <t>Alpha Morgan Capital Managers Limited</t>
  </si>
  <si>
    <t>ARM Discovery Balanced Fund</t>
  </si>
  <si>
    <t>Capital Express Balanced Fund</t>
  </si>
  <si>
    <t>CardinalStone Balanced Fund</t>
  </si>
  <si>
    <t>Coral Balanced Fund</t>
  </si>
  <si>
    <t>Cordros Milestone Fund</t>
  </si>
  <si>
    <t>Coronation Balanced Fund</t>
  </si>
  <si>
    <t xml:space="preserve">Coronation Asset Management </t>
  </si>
  <si>
    <t>Cowry Balanced Fund</t>
  </si>
  <si>
    <t>EDC Balanced Fund</t>
  </si>
  <si>
    <t>Emerging Africa Balanced-Diversity Fund</t>
  </si>
  <si>
    <t>GDL Canary Growth Fund</t>
  </si>
  <si>
    <t>Greenwich Balanced Fund</t>
  </si>
  <si>
    <t>GTI Balanced Fund</t>
  </si>
  <si>
    <t>Guaranty Trust Balanced Fund</t>
  </si>
  <si>
    <t>Hillcrest Balanced Fund</t>
  </si>
  <si>
    <t>Hillcrest Capital Management Limited</t>
  </si>
  <si>
    <t>Lead Balanced Fund</t>
  </si>
  <si>
    <t>Nigeria Energy Sector Fund</t>
  </si>
  <si>
    <t>Nova Hybrid Balanced Fund</t>
  </si>
  <si>
    <t>PACAM Balanced Fund</t>
  </si>
  <si>
    <t>Stanbic IBTC Balanced Fund</t>
  </si>
  <si>
    <t>STL Balanced Fund</t>
  </si>
  <si>
    <t>The Nigeria Football Fund</t>
  </si>
  <si>
    <t>United Capital Balanced Fund</t>
  </si>
  <si>
    <t>United Capital Wealth for Women Fund</t>
  </si>
  <si>
    <t>ValuAlliance Value Fund</t>
  </si>
  <si>
    <t>ETHICAL FUNDS</t>
  </si>
  <si>
    <t>ESG Impact Fund</t>
  </si>
  <si>
    <t>Zenith Asset Management Ltd.</t>
  </si>
  <si>
    <t>Stanbic IBTC Ethical Fund</t>
  </si>
  <si>
    <t>Lotus Halal Investment Fund</t>
  </si>
  <si>
    <t>Lotus Capital Limited</t>
  </si>
  <si>
    <t>Stanbic IBTC Imaan Fund</t>
  </si>
  <si>
    <t>ARM Sharia Compliant Fixed Income Fund</t>
  </si>
  <si>
    <t>CapitalTrust Halal Fixed Income Fund</t>
  </si>
  <si>
    <t>CapitalTrust Investments &amp; Asset Management Ltd.</t>
  </si>
  <si>
    <t>Cordros Halal Fixed Income Fund</t>
  </si>
  <si>
    <t>D'Namaz Halal Fixed Income Fund</t>
  </si>
  <si>
    <t>D'Namaz Capital Limited</t>
  </si>
  <si>
    <t>EDC Halal Fund</t>
  </si>
  <si>
    <t>Emerging Africa Halal Fund</t>
  </si>
  <si>
    <t>FSDH Halal Fund</t>
  </si>
  <si>
    <t>Lotus Halal Fixed Income Fund</t>
  </si>
  <si>
    <t>Marble Halal Commodities Fund</t>
  </si>
  <si>
    <t xml:space="preserve">Marble Capital Limited </t>
  </si>
  <si>
    <t>Marble Halal Fixed Income Fund</t>
  </si>
  <si>
    <t>Norrenberger Islamic Fund</t>
  </si>
  <si>
    <t>Stanbic IBTC Shariah Fixed Income Fund</t>
  </si>
  <si>
    <t>United Capital Sukuk Fund</t>
  </si>
  <si>
    <t>Afrinvest Halal Fund</t>
  </si>
  <si>
    <t>ARM Halal Balanced Fund</t>
  </si>
  <si>
    <t>Lotus Waqf (Endowment) Fund</t>
  </si>
  <si>
    <t>One17 Halal Fund</t>
  </si>
  <si>
    <t>One17 Capital Limited</t>
  </si>
  <si>
    <t>Mutual Funds Total</t>
  </si>
  <si>
    <t>SPECIALISED FUNDS</t>
  </si>
  <si>
    <t>ARM Specialized Dollar Fund</t>
  </si>
  <si>
    <t>Clean Energy Fund</t>
  </si>
  <si>
    <t>FCMB-TLG Private Debt Fund</t>
  </si>
  <si>
    <t>United Capital Children Investment Fund</t>
  </si>
  <si>
    <t>Nigeria Infrastructure Debt Fund (NIDF)</t>
  </si>
  <si>
    <t>Chapel Hill Denham Management Limited</t>
  </si>
  <si>
    <t>United Capital Infrastructure Fund</t>
  </si>
  <si>
    <t>Infrastructure Funds Total</t>
  </si>
  <si>
    <t>Greenwich ALPHA ETF</t>
  </si>
  <si>
    <t>Lotus Halal ETF</t>
  </si>
  <si>
    <t>Meristem Growth ETF</t>
  </si>
  <si>
    <t>Meristem Value ETF</t>
  </si>
  <si>
    <t>New Gold ETF</t>
  </si>
  <si>
    <t>New Gold Managers (Proprietary) Ltd</t>
  </si>
  <si>
    <t>SIAML ETF 40</t>
  </si>
  <si>
    <t>Stanbic IBTC Asset Mgt.Limited</t>
  </si>
  <si>
    <t>Stanbic IBTC ETF 30 Fund</t>
  </si>
  <si>
    <t>VCG ETF</t>
  </si>
  <si>
    <t>Vetiva Fund Managers Limited</t>
  </si>
  <si>
    <t>VETBANK ETF</t>
  </si>
  <si>
    <t>Vetiva S &amp; P Nig. Sovereign Bond ETF</t>
  </si>
  <si>
    <t>VG 30 ETF</t>
  </si>
  <si>
    <t>VI ETF</t>
  </si>
  <si>
    <t>ETF Total</t>
  </si>
  <si>
    <t>Grand Total</t>
  </si>
  <si>
    <t>FUNDS</t>
  </si>
  <si>
    <t>BONDS/FIXED INCOME FUNDS</t>
  </si>
  <si>
    <t>REAL ESTATE INVESTMENT TRUST</t>
  </si>
  <si>
    <t>SHARI'AH COMPLAINT FUNDS</t>
  </si>
  <si>
    <t>DATE</t>
  </si>
  <si>
    <t>TOTAL NAV</t>
  </si>
  <si>
    <t>ETFs AGGREGATE</t>
  </si>
  <si>
    <t>TOTAL</t>
  </si>
  <si>
    <t>MOVING AVERAGE:</t>
  </si>
  <si>
    <t>-</t>
  </si>
  <si>
    <t>EXCHANGE TRADED FUNDS (ETFs)</t>
  </si>
  <si>
    <t>UPDC Real Estate Investment Trust</t>
  </si>
  <si>
    <t>Samtl Mixed Income Fund</t>
  </si>
  <si>
    <t>Samtl Fund Managers Limited</t>
  </si>
  <si>
    <t>Zedcrest Equity Fund</t>
  </si>
  <si>
    <t>Meristem Dollar Fund</t>
  </si>
  <si>
    <t>RT Briscoe Savings &amp; Investment Fund</t>
  </si>
  <si>
    <t>CFG Ethical Fund</t>
  </si>
  <si>
    <t>SCM Capital Money Market Fund</t>
  </si>
  <si>
    <t>Apel Wealth Money Market Fund</t>
  </si>
  <si>
    <t>Apel Wealth Management Limited</t>
  </si>
  <si>
    <t>Alpha10 Dollar Fund</t>
  </si>
  <si>
    <t>Alpha10 Fund Management Limited</t>
  </si>
  <si>
    <t>Alpha10 Money Market Fund</t>
  </si>
  <si>
    <t>Myrtle Asset Management Limited</t>
  </si>
  <si>
    <t>Myrtle Balanced Plus Fund</t>
  </si>
  <si>
    <t>Myrtle Dollar Shield Fund</t>
  </si>
  <si>
    <t>ValuAlliance Specialized Dollar Fund</t>
  </si>
  <si>
    <t>FCMBAM Debt Fund</t>
  </si>
  <si>
    <t>FCMBAM Money Market Fund</t>
  </si>
  <si>
    <t>FCMBAM Equity Fund</t>
  </si>
  <si>
    <t>FCMBAM USD Bond Fund</t>
  </si>
  <si>
    <t>First Asset Nigeria Smart Beta Equity Fund</t>
  </si>
  <si>
    <t>First Asset Money Market Fund</t>
  </si>
  <si>
    <t>First Asset Bond Fund</t>
  </si>
  <si>
    <t>First Asset Dollar Fund (Retail)</t>
  </si>
  <si>
    <t>First Asset Specialized Dollar Fund</t>
  </si>
  <si>
    <t>First Asset Balanced Fund</t>
  </si>
  <si>
    <t>First Asset Halal Fund</t>
  </si>
  <si>
    <t>First Asset Blended Dollar Fund</t>
  </si>
  <si>
    <r>
      <t>NAV (</t>
    </r>
    <r>
      <rPr>
        <b/>
        <sz val="8"/>
        <color theme="1"/>
        <rFont val="Calibri"/>
        <family val="2"/>
      </rPr>
      <t>$</t>
    </r>
    <r>
      <rPr>
        <b/>
        <sz val="8"/>
        <color theme="1"/>
        <rFont val="Arial Narrow"/>
        <family val="2"/>
      </rPr>
      <t>)</t>
    </r>
  </si>
  <si>
    <t>N/A</t>
  </si>
  <si>
    <t>Bid Price ($)</t>
  </si>
  <si>
    <t>Offer Price ($)</t>
  </si>
  <si>
    <t>FIXED INCOME</t>
  </si>
  <si>
    <t>BALANCED</t>
  </si>
  <si>
    <t>EQUITY</t>
  </si>
  <si>
    <t>SHARIAH COMPLIANT FUNDS</t>
  </si>
  <si>
    <t>REAL ESTATE INVESTMENT TRUSTS</t>
  </si>
  <si>
    <t>EUROBONDS</t>
  </si>
  <si>
    <t>Myrtle Nest Money Market Fund</t>
  </si>
  <si>
    <t xml:space="preserve"> </t>
  </si>
  <si>
    <t>Zenith Balanced Strategy Fund</t>
  </si>
  <si>
    <t>Coronation Equity Fund</t>
  </si>
  <si>
    <t> 1.54</t>
  </si>
  <si>
    <t>Apel Wealth Balanced Fund</t>
  </si>
  <si>
    <t xml:space="preserve">Apel Wealth Managemenet Limited </t>
  </si>
  <si>
    <t>Radix Money Market Fund</t>
  </si>
  <si>
    <t>NFEM RATE NG₦/US$ as at 24th July, 2026 = N1362.0866</t>
  </si>
  <si>
    <t>WEEKLY VALUATION REPORT OF COLLECTIVE INVESTMENT SCHEMES AS AT WEEK ENDED FRIDAY, JULY 24, 2026</t>
  </si>
  <si>
    <t>NAV, Unit Price and Yield as at Week Ended July 24, 2026</t>
  </si>
  <si>
    <t>NAV, Unit Price and Yield as at Week Ended July 17, 2026</t>
  </si>
  <si>
    <t>Week Ended July 17, 2026</t>
  </si>
  <si>
    <t>Week Ended July 24,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</si>
</sst>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(* #,##0.000_);_(* \(#,##0.000\);_(* &quot;-&quot;??_);_(@_)"/>
    <numFmt numFmtId="166" formatCode="_-* #,##0.0000_-;\-* #,##0.0000_-;_-* &quot;-&quot;??_-;_-@_-"/>
    <numFmt numFmtId="167" formatCode="0.0%"/>
  </numFmts>
  <fonts count="6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b/>
      <sz val="12"/>
      <name val="Arial Narrow"/>
      <family val="2"/>
    </font>
    <font>
      <sz val="11"/>
      <name val="Calibri"/>
      <family val="2"/>
      <scheme val="minor"/>
    </font>
    <font>
      <b/>
      <sz val="11"/>
      <name val="Arial Narrow"/>
      <family val="2"/>
    </font>
    <font>
      <sz val="11"/>
      <color theme="0"/>
      <name val="Calibri"/>
      <family val="2"/>
      <scheme val="minor"/>
    </font>
    <font>
      <sz val="10"/>
      <name val="Arial Narrow"/>
      <family val="2"/>
    </font>
    <font>
      <sz val="8"/>
      <color theme="0"/>
      <name val="Arial"/>
      <family val="2"/>
    </font>
    <font>
      <b/>
      <sz val="18"/>
      <color theme="0"/>
      <name val="Ebrima"/>
    </font>
    <font>
      <b/>
      <sz val="8"/>
      <color theme="1"/>
      <name val="Arial Narrow"/>
      <family val="2"/>
    </font>
    <font>
      <b/>
      <sz val="8"/>
      <color theme="4"/>
      <name val="Arial Narrow"/>
      <family val="2"/>
    </font>
    <font>
      <b/>
      <sz val="8"/>
      <name val="Arial Narrow"/>
      <family val="2"/>
    </font>
    <font>
      <sz val="8"/>
      <color theme="1"/>
      <name val="Arial Narrow"/>
      <family val="2"/>
    </font>
    <font>
      <b/>
      <sz val="10"/>
      <color theme="1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sz val="8"/>
      <color rgb="FFFF0000"/>
      <name val="Arial Narrow"/>
      <family val="2"/>
    </font>
    <font>
      <b/>
      <sz val="8"/>
      <color rgb="FFFF0000"/>
      <name val="Arial Narrow"/>
      <family val="2"/>
    </font>
    <font>
      <sz val="10"/>
      <color rgb="FF000000"/>
      <name val="Times New Roman"/>
      <family val="1"/>
    </font>
    <font>
      <b/>
      <sz val="9"/>
      <color theme="1"/>
      <name val="Arial Narrow"/>
      <family val="2"/>
    </font>
    <font>
      <b/>
      <sz val="12"/>
      <color rgb="FF000000"/>
      <name val="Times New Roman"/>
      <family val="1"/>
    </font>
    <font>
      <b/>
      <sz val="10"/>
      <name val="Arial Narrow"/>
      <family val="2"/>
    </font>
    <font>
      <sz val="8"/>
      <color indexed="8"/>
      <name val="Arial Narrow"/>
      <family val="2"/>
    </font>
    <font>
      <sz val="12"/>
      <color rgb="FF000000"/>
      <name val="Calibri"/>
      <family val="2"/>
      <scheme val="minor"/>
    </font>
    <font>
      <i/>
      <sz val="8"/>
      <name val="Arial Narrow"/>
      <family val="2"/>
    </font>
    <font>
      <b/>
      <sz val="6"/>
      <color theme="0"/>
      <name val="Times New Roman"/>
      <family val="1"/>
    </font>
    <font>
      <sz val="8"/>
      <color rgb="FF424242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ptos"/>
      <charset val="134"/>
    </font>
    <font>
      <sz val="11"/>
      <color theme="1"/>
      <name val="Calibri"/>
      <family val="2"/>
      <scheme val="minor"/>
    </font>
    <font>
      <sz val="11"/>
      <color theme="1"/>
      <name val="Aptos"/>
      <charset val="134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Futura Bk BT"/>
      <family val="2"/>
    </font>
    <font>
      <b/>
      <sz val="18"/>
      <color theme="3"/>
      <name val="Calibri Light"/>
      <family val="2"/>
      <scheme val="maj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entury Gothic"/>
      <family val="2"/>
    </font>
    <font>
      <b/>
      <sz val="11"/>
      <color theme="0"/>
      <name val="Arial Narrow"/>
      <family val="2"/>
    </font>
    <font>
      <sz val="11"/>
      <color theme="0"/>
      <name val="Arial Narrow"/>
      <family val="2"/>
    </font>
    <font>
      <sz val="12"/>
      <color rgb="FF000000"/>
      <name val="Aptos"/>
    </font>
    <font>
      <b/>
      <sz val="8"/>
      <color theme="1"/>
      <name val="Calibri"/>
      <family val="2"/>
    </font>
    <font>
      <sz val="11"/>
      <color theme="3" tint="-0.499984740745262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Arial Narrow"/>
      <family val="2"/>
    </font>
    <font>
      <b/>
      <sz val="10"/>
      <color theme="0"/>
      <name val="Arial Narrow"/>
      <family val="2"/>
    </font>
    <font>
      <sz val="10"/>
      <color theme="0"/>
      <name val="Calibri"/>
      <family val="2"/>
      <scheme val="minor"/>
    </font>
    <font>
      <sz val="10"/>
      <color theme="0"/>
      <name val="Arial Narrow"/>
      <family val="2"/>
    </font>
    <font>
      <b/>
      <sz val="8"/>
      <color theme="0"/>
      <name val="Arial Narrow"/>
      <family val="2"/>
    </font>
    <font>
      <sz val="11"/>
      <color theme="0"/>
      <name val="Calibri"/>
      <family val="2"/>
      <scheme val="minor"/>
    </font>
    <font>
      <sz val="6"/>
      <color theme="0"/>
      <name val="Arial Narrow"/>
      <family val="2"/>
    </font>
    <font>
      <sz val="6"/>
      <color theme="0"/>
      <name val="Calibri"/>
      <family val="2"/>
      <scheme val="minor"/>
    </font>
    <font>
      <sz val="8"/>
      <color rgb="FF242424"/>
      <name val="Arial Narrow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3" tint="0.79985961485641044"/>
        <bgColor indexed="64"/>
      </patternFill>
    </fill>
    <fill>
      <patternFill patternType="solid">
        <fgColor theme="3" tint="0.7997985778374584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7985778374584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8290963469344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79247413556324"/>
        <bgColor indexed="64"/>
      </patternFill>
    </fill>
    <fill>
      <patternFill patternType="solid">
        <fgColor theme="4" tint="0.39979247413556324"/>
        <bgColor indexed="64"/>
      </patternFill>
    </fill>
    <fill>
      <patternFill patternType="solid">
        <fgColor theme="5" tint="0.39979247413556324"/>
        <bgColor indexed="64"/>
      </patternFill>
    </fill>
    <fill>
      <patternFill patternType="solid">
        <fgColor theme="7" tint="0.39979247413556324"/>
        <bgColor indexed="64"/>
      </patternFill>
    </fill>
    <fill>
      <patternFill patternType="solid">
        <fgColor theme="8" tint="0.39979247413556324"/>
        <bgColor indexed="64"/>
      </patternFill>
    </fill>
    <fill>
      <patternFill patternType="solid">
        <fgColor theme="9" tint="0.3997924741355632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/>
      <bottom style="thin">
        <color theme="4" tint="0.59999389629810485"/>
      </bottom>
      <diagonal/>
    </border>
  </borders>
  <cellStyleXfs count="101">
    <xf numFmtId="0" fontId="0" fillId="0" borderId="0"/>
    <xf numFmtId="164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43" fontId="3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43" fontId="38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0" fontId="39" fillId="21" borderId="0" applyNumberFormat="0" applyBorder="0" applyAlignment="0" applyProtection="0"/>
    <xf numFmtId="0" fontId="40" fillId="0" borderId="0"/>
    <xf numFmtId="0" fontId="37" fillId="0" borderId="0"/>
    <xf numFmtId="0" fontId="37" fillId="0" borderId="0"/>
    <xf numFmtId="0" fontId="4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9">
    <xf numFmtId="0" fontId="0" fillId="0" borderId="0" xfId="0"/>
    <xf numFmtId="0" fontId="5" fillId="0" borderId="1" xfId="0" applyFont="1" applyBorder="1" applyAlignment="1">
      <alignment horizontal="right"/>
    </xf>
    <xf numFmtId="16" fontId="6" fillId="2" borderId="1" xfId="0" applyNumberFormat="1" applyFont="1" applyFill="1" applyBorder="1"/>
    <xf numFmtId="0" fontId="6" fillId="0" borderId="1" xfId="0" applyFont="1" applyBorder="1" applyAlignment="1">
      <alignment horizontal="right"/>
    </xf>
    <xf numFmtId="4" fontId="7" fillId="2" borderId="1" xfId="0" applyNumberFormat="1" applyFont="1" applyFill="1" applyBorder="1" applyAlignment="1">
      <alignment horizontal="right"/>
    </xf>
    <xf numFmtId="4" fontId="7" fillId="2" borderId="1" xfId="0" applyNumberFormat="1" applyFont="1" applyFill="1" applyBorder="1"/>
    <xf numFmtId="4" fontId="8" fillId="2" borderId="1" xfId="0" applyNumberFormat="1" applyFont="1" applyFill="1" applyBorder="1"/>
    <xf numFmtId="164" fontId="7" fillId="2" borderId="1" xfId="1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right"/>
    </xf>
    <xf numFmtId="43" fontId="9" fillId="3" borderId="1" xfId="0" applyNumberFormat="1" applyFont="1" applyFill="1" applyBorder="1"/>
    <xf numFmtId="0" fontId="8" fillId="0" borderId="0" xfId="0" applyFont="1"/>
    <xf numFmtId="164" fontId="8" fillId="0" borderId="0" xfId="1" applyFont="1"/>
    <xf numFmtId="0" fontId="5" fillId="4" borderId="1" xfId="0" applyFont="1" applyFill="1" applyBorder="1" applyAlignment="1">
      <alignment horizontal="right"/>
    </xf>
    <xf numFmtId="43" fontId="5" fillId="4" borderId="1" xfId="0" applyNumberFormat="1" applyFont="1" applyFill="1" applyBorder="1"/>
    <xf numFmtId="164" fontId="5" fillId="4" borderId="1" xfId="1" applyFont="1" applyFill="1" applyBorder="1"/>
    <xf numFmtId="0" fontId="10" fillId="0" borderId="0" xfId="0" applyFont="1"/>
    <xf numFmtId="0" fontId="11" fillId="0" borderId="1" xfId="0" applyFont="1" applyBorder="1" applyAlignment="1">
      <alignment horizontal="right"/>
    </xf>
    <xf numFmtId="164" fontId="7" fillId="0" borderId="1" xfId="1" applyFont="1" applyBorder="1"/>
    <xf numFmtId="164" fontId="10" fillId="0" borderId="0" xfId="1" applyFont="1"/>
    <xf numFmtId="43" fontId="10" fillId="0" borderId="0" xfId="0" applyNumberFormat="1" applyFont="1"/>
    <xf numFmtId="0" fontId="12" fillId="0" borderId="0" xfId="0" applyFont="1"/>
    <xf numFmtId="0" fontId="8" fillId="2" borderId="0" xfId="0" applyFont="1" applyFill="1" applyAlignment="1">
      <alignment wrapText="1"/>
    </xf>
    <xf numFmtId="10" fontId="25" fillId="10" borderId="0" xfId="0" applyNumberFormat="1" applyFont="1" applyFill="1" applyAlignment="1">
      <alignment horizontal="right" vertical="center" wrapText="1"/>
    </xf>
    <xf numFmtId="4" fontId="0" fillId="0" borderId="0" xfId="0" applyNumberFormat="1"/>
    <xf numFmtId="164" fontId="22" fillId="0" borderId="0" xfId="1" applyFont="1"/>
    <xf numFmtId="2" fontId="0" fillId="0" borderId="0" xfId="0" applyNumberFormat="1"/>
    <xf numFmtId="165" fontId="0" fillId="0" borderId="0" xfId="0" applyNumberFormat="1"/>
    <xf numFmtId="4" fontId="27" fillId="10" borderId="0" xfId="0" applyNumberFormat="1" applyFont="1" applyFill="1" applyAlignment="1">
      <alignment horizontal="right" vertical="center" wrapText="1"/>
    </xf>
    <xf numFmtId="166" fontId="14" fillId="0" borderId="0" xfId="1" applyNumberFormat="1" applyFont="1"/>
    <xf numFmtId="4" fontId="30" fillId="0" borderId="0" xfId="0" applyNumberFormat="1" applyFont="1"/>
    <xf numFmtId="164" fontId="0" fillId="0" borderId="0" xfId="1" applyFont="1"/>
    <xf numFmtId="0" fontId="33" fillId="0" borderId="0" xfId="0" applyFont="1"/>
    <xf numFmtId="0" fontId="34" fillId="0" borderId="0" xfId="0" applyFont="1"/>
    <xf numFmtId="43" fontId="0" fillId="0" borderId="0" xfId="0" applyNumberFormat="1"/>
    <xf numFmtId="0" fontId="35" fillId="0" borderId="0" xfId="0" applyFont="1"/>
    <xf numFmtId="0" fontId="23" fillId="2" borderId="0" xfId="0" applyFont="1" applyFill="1" applyAlignment="1">
      <alignment wrapText="1"/>
    </xf>
    <xf numFmtId="43" fontId="35" fillId="0" borderId="0" xfId="16" applyFont="1" applyBorder="1"/>
    <xf numFmtId="2" fontId="35" fillId="0" borderId="0" xfId="0" applyNumberFormat="1" applyFont="1"/>
    <xf numFmtId="10" fontId="35" fillId="0" borderId="0" xfId="2" applyNumberFormat="1" applyFont="1" applyBorder="1"/>
    <xf numFmtId="10" fontId="36" fillId="0" borderId="0" xfId="2" applyNumberFormat="1" applyFont="1" applyBorder="1"/>
    <xf numFmtId="10" fontId="0" fillId="0" borderId="0" xfId="2" applyNumberFormat="1" applyFont="1"/>
    <xf numFmtId="43" fontId="5" fillId="4" borderId="1" xfId="0" quotePrefix="1" applyNumberFormat="1" applyFont="1" applyFill="1" applyBorder="1" applyAlignment="1">
      <alignment horizontal="center"/>
    </xf>
    <xf numFmtId="0" fontId="43" fillId="0" borderId="0" xfId="0" applyFont="1"/>
    <xf numFmtId="0" fontId="44" fillId="0" borderId="0" xfId="0" applyFont="1"/>
    <xf numFmtId="0" fontId="4" fillId="0" borderId="0" xfId="0" applyFont="1"/>
    <xf numFmtId="0" fontId="45" fillId="0" borderId="0" xfId="0" applyFont="1"/>
    <xf numFmtId="0" fontId="11" fillId="0" borderId="0" xfId="0" applyFont="1" applyAlignment="1">
      <alignment horizontal="right"/>
    </xf>
    <xf numFmtId="10" fontId="25" fillId="10" borderId="0" xfId="2" applyNumberFormat="1" applyFont="1" applyFill="1" applyAlignment="1">
      <alignment horizontal="right" vertical="center" wrapText="1"/>
    </xf>
    <xf numFmtId="164" fontId="46" fillId="2" borderId="2" xfId="1" applyFont="1" applyFill="1" applyBorder="1"/>
    <xf numFmtId="10" fontId="46" fillId="2" borderId="2" xfId="2" applyNumberFormat="1" applyFont="1" applyFill="1" applyBorder="1"/>
    <xf numFmtId="164" fontId="46" fillId="2" borderId="2" xfId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8" fillId="6" borderId="3" xfId="0" applyFont="1" applyFill="1" applyBorder="1"/>
    <xf numFmtId="0" fontId="16" fillId="7" borderId="3" xfId="0" applyFont="1" applyFill="1" applyBorder="1"/>
    <xf numFmtId="0" fontId="17" fillId="7" borderId="3" xfId="0" applyFont="1" applyFill="1" applyBorder="1"/>
    <xf numFmtId="4" fontId="21" fillId="2" borderId="3" xfId="0" applyNumberFormat="1" applyFont="1" applyFill="1" applyBorder="1" applyAlignment="1">
      <alignment wrapText="1"/>
    </xf>
    <xf numFmtId="0" fontId="21" fillId="2" borderId="3" xfId="0" applyFont="1" applyFill="1" applyBorder="1" applyAlignment="1">
      <alignment wrapText="1"/>
    </xf>
    <xf numFmtId="4" fontId="19" fillId="2" borderId="3" xfId="0" applyNumberFormat="1" applyFont="1" applyFill="1" applyBorder="1"/>
    <xf numFmtId="10" fontId="19" fillId="7" borderId="3" xfId="2" applyNumberFormat="1" applyFont="1" applyFill="1" applyBorder="1" applyAlignment="1">
      <alignment horizontal="center"/>
    </xf>
    <xf numFmtId="164" fontId="19" fillId="9" borderId="3" xfId="1" applyFont="1" applyFill="1" applyBorder="1" applyAlignment="1">
      <alignment horizontal="center"/>
    </xf>
    <xf numFmtId="10" fontId="19" fillId="9" borderId="3" xfId="2" applyNumberFormat="1" applyFont="1" applyFill="1" applyBorder="1" applyAlignment="1">
      <alignment horizontal="center"/>
    </xf>
    <xf numFmtId="4" fontId="21" fillId="2" borderId="3" xfId="0" applyNumberFormat="1" applyFont="1" applyFill="1" applyBorder="1"/>
    <xf numFmtId="10" fontId="21" fillId="7" borderId="3" xfId="2" applyNumberFormat="1" applyFont="1" applyFill="1" applyBorder="1" applyAlignment="1">
      <alignment horizontal="center"/>
    </xf>
    <xf numFmtId="164" fontId="21" fillId="9" borderId="3" xfId="1" applyFont="1" applyFill="1" applyBorder="1" applyAlignment="1">
      <alignment horizontal="center"/>
    </xf>
    <xf numFmtId="10" fontId="21" fillId="9" borderId="3" xfId="2" applyNumberFormat="1" applyFont="1" applyFill="1" applyBorder="1" applyAlignment="1">
      <alignment horizontal="center"/>
    </xf>
    <xf numFmtId="2" fontId="22" fillId="0" borderId="3" xfId="0" applyNumberFormat="1" applyFont="1" applyBorder="1"/>
    <xf numFmtId="164" fontId="21" fillId="2" borderId="3" xfId="1" applyFont="1" applyFill="1" applyBorder="1"/>
    <xf numFmtId="164" fontId="21" fillId="2" borderId="3" xfId="10" applyFont="1" applyFill="1" applyBorder="1"/>
    <xf numFmtId="4" fontId="19" fillId="0" borderId="3" xfId="0" applyNumberFormat="1" applyFont="1" applyBorder="1"/>
    <xf numFmtId="4" fontId="21" fillId="2" borderId="3" xfId="0" applyNumberFormat="1" applyFont="1" applyFill="1" applyBorder="1" applyAlignment="1">
      <alignment horizontal="right"/>
    </xf>
    <xf numFmtId="0" fontId="19" fillId="2" borderId="3" xfId="0" applyFont="1" applyFill="1" applyBorder="1"/>
    <xf numFmtId="0" fontId="18" fillId="2" borderId="3" xfId="0" applyFont="1" applyFill="1" applyBorder="1" applyAlignment="1">
      <alignment horizontal="right"/>
    </xf>
    <xf numFmtId="164" fontId="18" fillId="2" borderId="3" xfId="1" applyFont="1" applyFill="1" applyBorder="1" applyAlignment="1">
      <alignment horizontal="right" vertical="top" wrapText="1"/>
    </xf>
    <xf numFmtId="10" fontId="24" fillId="7" borderId="3" xfId="2" applyNumberFormat="1" applyFont="1" applyFill="1" applyBorder="1" applyAlignment="1">
      <alignment horizontal="center" vertical="top" wrapText="1"/>
    </xf>
    <xf numFmtId="10" fontId="21" fillId="2" borderId="3" xfId="2" applyNumberFormat="1" applyFont="1" applyFill="1" applyBorder="1" applyAlignment="1">
      <alignment horizontal="center" vertical="top" wrapText="1"/>
    </xf>
    <xf numFmtId="4" fontId="21" fillId="2" borderId="3" xfId="1" applyNumberFormat="1" applyFont="1" applyFill="1" applyBorder="1" applyAlignment="1">
      <alignment vertical="top" wrapText="1"/>
    </xf>
    <xf numFmtId="164" fontId="18" fillId="9" borderId="3" xfId="1" applyFont="1" applyFill="1" applyBorder="1" applyAlignment="1">
      <alignment horizontal="center"/>
    </xf>
    <xf numFmtId="10" fontId="21" fillId="9" borderId="3" xfId="2" applyNumberFormat="1" applyFont="1" applyFill="1" applyBorder="1" applyAlignment="1">
      <alignment horizontal="center" vertical="top" wrapText="1"/>
    </xf>
    <xf numFmtId="164" fontId="21" fillId="2" borderId="3" xfId="10" applyFont="1" applyFill="1" applyBorder="1" applyAlignment="1">
      <alignment horizontal="right"/>
    </xf>
    <xf numFmtId="4" fontId="21" fillId="2" borderId="3" xfId="1" applyNumberFormat="1" applyFont="1" applyFill="1" applyBorder="1" applyAlignment="1">
      <alignment horizontal="right"/>
    </xf>
    <xf numFmtId="164" fontId="21" fillId="2" borderId="3" xfId="10" applyFont="1" applyFill="1" applyBorder="1" applyAlignment="1">
      <alignment horizontal="right" wrapText="1"/>
    </xf>
    <xf numFmtId="164" fontId="21" fillId="9" borderId="3" xfId="1" applyFont="1" applyFill="1" applyBorder="1" applyAlignment="1">
      <alignment horizontal="center" wrapText="1"/>
    </xf>
    <xf numFmtId="10" fontId="21" fillId="9" borderId="3" xfId="2" applyNumberFormat="1" applyFont="1" applyFill="1" applyBorder="1" applyAlignment="1">
      <alignment horizontal="center" wrapText="1"/>
    </xf>
    <xf numFmtId="164" fontId="21" fillId="2" borderId="3" xfId="1" applyFont="1" applyFill="1" applyBorder="1" applyAlignment="1">
      <alignment horizontal="right"/>
    </xf>
    <xf numFmtId="10" fontId="21" fillId="7" borderId="3" xfId="2" applyNumberFormat="1" applyFont="1" applyFill="1" applyBorder="1" applyAlignment="1">
      <alignment horizontal="center" wrapText="1"/>
    </xf>
    <xf numFmtId="164" fontId="18" fillId="2" borderId="3" xfId="1" applyFont="1" applyFill="1" applyBorder="1" applyAlignment="1">
      <alignment horizontal="right"/>
    </xf>
    <xf numFmtId="10" fontId="21" fillId="9" borderId="3" xfId="1" applyNumberFormat="1" applyFont="1" applyFill="1" applyBorder="1" applyAlignment="1">
      <alignment horizontal="center"/>
    </xf>
    <xf numFmtId="2" fontId="21" fillId="2" borderId="3" xfId="0" applyNumberFormat="1" applyFont="1" applyFill="1" applyBorder="1"/>
    <xf numFmtId="164" fontId="21" fillId="2" borderId="3" xfId="10" applyFont="1" applyFill="1" applyBorder="1" applyAlignment="1">
      <alignment wrapText="1"/>
    </xf>
    <xf numFmtId="0" fontId="21" fillId="2" borderId="3" xfId="0" applyFont="1" applyFill="1" applyBorder="1" applyAlignment="1">
      <alignment horizontal="left" wrapText="1"/>
    </xf>
    <xf numFmtId="2" fontId="19" fillId="2" borderId="3" xfId="0" applyNumberFormat="1" applyFont="1" applyFill="1" applyBorder="1"/>
    <xf numFmtId="164" fontId="21" fillId="11" borderId="3" xfId="1" applyFont="1" applyFill="1" applyBorder="1" applyAlignment="1">
      <alignment horizontal="center"/>
    </xf>
    <xf numFmtId="10" fontId="21" fillId="11" borderId="3" xfId="2" applyNumberFormat="1" applyFont="1" applyFill="1" applyBorder="1" applyAlignment="1">
      <alignment horizontal="center"/>
    </xf>
    <xf numFmtId="164" fontId="22" fillId="0" borderId="3" xfId="1" applyFont="1" applyBorder="1"/>
    <xf numFmtId="0" fontId="18" fillId="0" borderId="3" xfId="0" applyFont="1" applyBorder="1" applyAlignment="1">
      <alignment horizontal="right"/>
    </xf>
    <xf numFmtId="4" fontId="21" fillId="9" borderId="3" xfId="1" applyNumberFormat="1" applyFont="1" applyFill="1" applyBorder="1" applyAlignment="1">
      <alignment horizontal="center"/>
    </xf>
    <xf numFmtId="4" fontId="29" fillId="0" borderId="3" xfId="0" applyNumberFormat="1" applyFont="1" applyBorder="1"/>
    <xf numFmtId="0" fontId="23" fillId="2" borderId="3" xfId="0" applyFont="1" applyFill="1" applyBorder="1"/>
    <xf numFmtId="4" fontId="21" fillId="2" borderId="3" xfId="1" applyNumberFormat="1" applyFont="1" applyFill="1" applyBorder="1" applyAlignment="1">
      <alignment horizontal="right" vertical="top" wrapText="1"/>
    </xf>
    <xf numFmtId="4" fontId="21" fillId="9" borderId="3" xfId="1" applyNumberFormat="1" applyFont="1" applyFill="1" applyBorder="1" applyAlignment="1">
      <alignment horizontal="center" vertical="top" wrapText="1"/>
    </xf>
    <xf numFmtId="164" fontId="18" fillId="2" borderId="3" xfId="1" applyFont="1" applyFill="1" applyBorder="1"/>
    <xf numFmtId="43" fontId="21" fillId="2" borderId="3" xfId="0" applyNumberFormat="1" applyFont="1" applyFill="1" applyBorder="1"/>
    <xf numFmtId="43" fontId="21" fillId="9" borderId="3" xfId="0" applyNumberFormat="1" applyFont="1" applyFill="1" applyBorder="1" applyAlignment="1">
      <alignment horizontal="center"/>
    </xf>
    <xf numFmtId="4" fontId="21" fillId="2" borderId="3" xfId="0" applyNumberFormat="1" applyFont="1" applyFill="1" applyBorder="1" applyAlignment="1">
      <alignment horizontal="right" wrapText="1"/>
    </xf>
    <xf numFmtId="4" fontId="21" fillId="2" borderId="3" xfId="10" applyNumberFormat="1" applyFont="1" applyFill="1" applyBorder="1" applyAlignment="1">
      <alignment horizontal="right"/>
    </xf>
    <xf numFmtId="4" fontId="21" fillId="2" borderId="3" xfId="10" applyNumberFormat="1" applyFont="1" applyFill="1" applyBorder="1" applyAlignment="1">
      <alignment horizontal="right" wrapText="1"/>
    </xf>
    <xf numFmtId="4" fontId="18" fillId="9" borderId="3" xfId="1" applyNumberFormat="1" applyFont="1" applyFill="1" applyBorder="1" applyAlignment="1">
      <alignment horizontal="right" vertical="top" wrapText="1"/>
    </xf>
    <xf numFmtId="0" fontId="21" fillId="14" borderId="3" xfId="0" applyFont="1" applyFill="1" applyBorder="1" applyAlignment="1">
      <alignment horizontal="right" vertical="center"/>
    </xf>
    <xf numFmtId="0" fontId="18" fillId="14" borderId="3" xfId="0" applyFont="1" applyFill="1" applyBorder="1" applyAlignment="1">
      <alignment horizontal="right" vertical="center"/>
    </xf>
    <xf numFmtId="164" fontId="18" fillId="14" borderId="3" xfId="1" applyFont="1" applyFill="1" applyBorder="1" applyAlignment="1">
      <alignment horizontal="right" vertical="center" wrapText="1"/>
    </xf>
    <xf numFmtId="10" fontId="21" fillId="14" borderId="3" xfId="1" applyNumberFormat="1" applyFont="1" applyFill="1" applyBorder="1" applyAlignment="1">
      <alignment horizontal="right" vertical="center" wrapText="1"/>
    </xf>
    <xf numFmtId="4" fontId="21" fillId="14" borderId="3" xfId="1" applyNumberFormat="1" applyFont="1" applyFill="1" applyBorder="1" applyAlignment="1">
      <alignment horizontal="right" vertical="center" wrapText="1"/>
    </xf>
    <xf numFmtId="9" fontId="21" fillId="14" borderId="3" xfId="2" applyFont="1" applyFill="1" applyBorder="1" applyAlignment="1">
      <alignment horizontal="center" vertical="center" wrapText="1"/>
    </xf>
    <xf numFmtId="4" fontId="21" fillId="14" borderId="3" xfId="1" applyNumberFormat="1" applyFont="1" applyFill="1" applyBorder="1" applyAlignment="1">
      <alignment horizontal="center" vertical="center" wrapText="1"/>
    </xf>
    <xf numFmtId="10" fontId="19" fillId="14" borderId="3" xfId="2" applyNumberFormat="1" applyFont="1" applyFill="1" applyBorder="1" applyAlignment="1">
      <alignment horizontal="center" vertical="top" wrapText="1"/>
    </xf>
    <xf numFmtId="164" fontId="18" fillId="14" borderId="3" xfId="1" applyFont="1" applyFill="1" applyBorder="1" applyAlignment="1">
      <alignment horizontal="right" vertical="top" wrapText="1"/>
    </xf>
    <xf numFmtId="0" fontId="21" fillId="2" borderId="3" xfId="0" applyFont="1" applyFill="1" applyBorder="1" applyAlignment="1">
      <alignment horizontal="center" wrapText="1"/>
    </xf>
    <xf numFmtId="4" fontId="21" fillId="2" borderId="3" xfId="10" applyNumberFormat="1" applyFont="1" applyFill="1" applyBorder="1" applyAlignment="1">
      <alignment horizontal="right" vertical="top" wrapText="1"/>
    </xf>
    <xf numFmtId="164" fontId="31" fillId="14" borderId="3" xfId="1" applyFont="1" applyFill="1" applyBorder="1" applyAlignment="1">
      <alignment horizontal="right" vertical="top" wrapText="1"/>
    </xf>
    <xf numFmtId="4" fontId="21" fillId="14" borderId="3" xfId="1" applyNumberFormat="1" applyFont="1" applyFill="1" applyBorder="1" applyAlignment="1">
      <alignment horizontal="right" vertical="top" wrapText="1"/>
    </xf>
    <xf numFmtId="4" fontId="21" fillId="14" borderId="3" xfId="1" applyNumberFormat="1" applyFont="1" applyFill="1" applyBorder="1" applyAlignment="1">
      <alignment horizontal="center" vertical="top" wrapText="1"/>
    </xf>
    <xf numFmtId="167" fontId="19" fillId="14" borderId="3" xfId="2" applyNumberFormat="1" applyFont="1" applyFill="1" applyBorder="1" applyAlignment="1">
      <alignment horizontal="center" vertical="top" wrapText="1"/>
    </xf>
    <xf numFmtId="10" fontId="19" fillId="14" borderId="3" xfId="1" applyNumberFormat="1" applyFont="1" applyFill="1" applyBorder="1" applyAlignment="1">
      <alignment horizontal="center" vertical="top" wrapText="1"/>
    </xf>
    <xf numFmtId="164" fontId="21" fillId="2" borderId="3" xfId="10" applyFont="1" applyFill="1" applyBorder="1" applyAlignment="1">
      <alignment horizontal="right" vertical="top" wrapText="1"/>
    </xf>
    <xf numFmtId="10" fontId="21" fillId="7" borderId="3" xfId="2" applyNumberFormat="1" applyFont="1" applyFill="1" applyBorder="1" applyAlignment="1">
      <alignment horizontal="center" vertical="top" wrapText="1"/>
    </xf>
    <xf numFmtId="164" fontId="21" fillId="9" borderId="3" xfId="1" applyFont="1" applyFill="1" applyBorder="1" applyAlignment="1">
      <alignment horizontal="center" vertical="top" wrapText="1"/>
    </xf>
    <xf numFmtId="164" fontId="21" fillId="2" borderId="3" xfId="1" applyFont="1" applyFill="1" applyBorder="1" applyAlignment="1">
      <alignment horizontal="right" vertical="top" wrapText="1"/>
    </xf>
    <xf numFmtId="0" fontId="21" fillId="14" borderId="3" xfId="0" applyFont="1" applyFill="1" applyBorder="1" applyAlignment="1">
      <alignment horizontal="right"/>
    </xf>
    <xf numFmtId="0" fontId="18" fillId="14" borderId="3" xfId="0" applyFont="1" applyFill="1" applyBorder="1" applyAlignment="1">
      <alignment horizontal="right"/>
    </xf>
    <xf numFmtId="0" fontId="21" fillId="15" borderId="3" xfId="0" applyFont="1" applyFill="1" applyBorder="1" applyAlignment="1">
      <alignment horizontal="right" vertical="top" wrapText="1"/>
    </xf>
    <xf numFmtId="0" fontId="28" fillId="15" borderId="3" xfId="0" applyFont="1" applyFill="1" applyBorder="1" applyAlignment="1">
      <alignment horizontal="right" vertical="top" wrapText="1"/>
    </xf>
    <xf numFmtId="164" fontId="28" fillId="15" borderId="3" xfId="1" applyFont="1" applyFill="1" applyBorder="1" applyAlignment="1">
      <alignment horizontal="right" vertical="top" wrapText="1"/>
    </xf>
    <xf numFmtId="164" fontId="13" fillId="15" borderId="3" xfId="1" applyFont="1" applyFill="1" applyBorder="1" applyAlignment="1">
      <alignment horizontal="right" vertical="top" wrapText="1"/>
    </xf>
    <xf numFmtId="4" fontId="13" fillId="15" borderId="3" xfId="0" applyNumberFormat="1" applyFont="1" applyFill="1" applyBorder="1" applyAlignment="1">
      <alignment horizontal="right"/>
    </xf>
    <xf numFmtId="9" fontId="13" fillId="15" borderId="3" xfId="2" applyFont="1" applyFill="1" applyBorder="1" applyAlignment="1">
      <alignment horizontal="center"/>
    </xf>
    <xf numFmtId="4" fontId="13" fillId="15" borderId="3" xfId="0" applyNumberFormat="1" applyFont="1" applyFill="1" applyBorder="1" applyAlignment="1">
      <alignment horizontal="center"/>
    </xf>
    <xf numFmtId="10" fontId="13" fillId="15" borderId="3" xfId="2" applyNumberFormat="1" applyFont="1" applyFill="1" applyBorder="1" applyAlignment="1">
      <alignment horizontal="center" vertical="top" wrapText="1"/>
    </xf>
    <xf numFmtId="167" fontId="13" fillId="15" borderId="3" xfId="2" applyNumberFormat="1" applyFont="1" applyFill="1" applyBorder="1" applyAlignment="1">
      <alignment horizontal="center" vertical="top" wrapText="1"/>
    </xf>
    <xf numFmtId="167" fontId="21" fillId="15" borderId="3" xfId="2" applyNumberFormat="1" applyFont="1" applyFill="1" applyBorder="1" applyAlignment="1">
      <alignment horizontal="center" vertical="top" wrapText="1"/>
    </xf>
    <xf numFmtId="0" fontId="32" fillId="5" borderId="3" xfId="0" applyFont="1" applyFill="1" applyBorder="1" applyAlignment="1">
      <alignment horizontal="left" vertical="center"/>
    </xf>
    <xf numFmtId="0" fontId="12" fillId="5" borderId="3" xfId="0" applyFont="1" applyFill="1" applyBorder="1"/>
    <xf numFmtId="0" fontId="49" fillId="0" borderId="0" xfId="0" applyFont="1"/>
    <xf numFmtId="10" fontId="19" fillId="2" borderId="3" xfId="2" applyNumberFormat="1" applyFont="1" applyFill="1" applyBorder="1" applyAlignment="1">
      <alignment horizontal="center"/>
    </xf>
    <xf numFmtId="10" fontId="21" fillId="2" borderId="3" xfId="2" applyNumberFormat="1" applyFont="1" applyFill="1" applyBorder="1" applyAlignment="1">
      <alignment horizontal="center"/>
    </xf>
    <xf numFmtId="10" fontId="24" fillId="2" borderId="3" xfId="2" applyNumberFormat="1" applyFont="1" applyFill="1" applyBorder="1" applyAlignment="1">
      <alignment horizontal="center" vertical="top" wrapText="1"/>
    </xf>
    <xf numFmtId="164" fontId="21" fillId="2" borderId="3" xfId="1" applyFont="1" applyFill="1" applyBorder="1" applyAlignment="1">
      <alignment horizontal="center"/>
    </xf>
    <xf numFmtId="164" fontId="21" fillId="2" borderId="3" xfId="1" applyFont="1" applyFill="1" applyBorder="1" applyAlignment="1">
      <alignment horizontal="center" wrapText="1"/>
    </xf>
    <xf numFmtId="0" fontId="51" fillId="5" borderId="3" xfId="0" applyFont="1" applyFill="1" applyBorder="1"/>
    <xf numFmtId="0" fontId="18" fillId="15" borderId="3" xfId="0" applyFont="1" applyFill="1" applyBorder="1" applyAlignment="1">
      <alignment horizontal="center" vertical="top" wrapText="1"/>
    </xf>
    <xf numFmtId="164" fontId="21" fillId="14" borderId="3" xfId="1" applyFont="1" applyFill="1" applyBorder="1" applyAlignment="1">
      <alignment horizontal="center" vertical="top" wrapText="1"/>
    </xf>
    <xf numFmtId="164" fontId="24" fillId="2" borderId="3" xfId="1" applyFont="1" applyFill="1" applyBorder="1" applyAlignment="1">
      <alignment horizontal="center" vertical="top" wrapText="1"/>
    </xf>
    <xf numFmtId="0" fontId="18" fillId="22" borderId="3" xfId="0" applyFont="1" applyFill="1" applyBorder="1" applyAlignment="1">
      <alignment vertical="top" wrapText="1"/>
    </xf>
    <xf numFmtId="0" fontId="16" fillId="22" borderId="3" xfId="0" applyFont="1" applyFill="1" applyBorder="1" applyAlignment="1">
      <alignment vertical="top" wrapText="1"/>
    </xf>
    <xf numFmtId="0" fontId="16" fillId="22" borderId="3" xfId="0" applyFont="1" applyFill="1" applyBorder="1" applyAlignment="1">
      <alignment horizontal="center" vertical="top"/>
    </xf>
    <xf numFmtId="0" fontId="16" fillId="22" borderId="3" xfId="0" applyFont="1" applyFill="1" applyBorder="1" applyAlignment="1">
      <alignment horizontal="center" vertical="top" wrapText="1"/>
    </xf>
    <xf numFmtId="164" fontId="16" fillId="22" borderId="3" xfId="1" applyFont="1" applyFill="1" applyBorder="1" applyAlignment="1">
      <alignment horizontal="center" vertical="top"/>
    </xf>
    <xf numFmtId="10" fontId="19" fillId="22" borderId="3" xfId="2" applyNumberFormat="1" applyFont="1" applyFill="1" applyBorder="1" applyAlignment="1">
      <alignment horizontal="center" vertical="top" wrapText="1"/>
    </xf>
    <xf numFmtId="10" fontId="19" fillId="22" borderId="3" xfId="1" applyNumberFormat="1" applyFont="1" applyFill="1" applyBorder="1" applyAlignment="1">
      <alignment horizontal="center" vertical="top" wrapText="1"/>
    </xf>
    <xf numFmtId="10" fontId="21" fillId="22" borderId="3" xfId="2" applyNumberFormat="1" applyFont="1" applyFill="1" applyBorder="1" applyAlignment="1">
      <alignment horizontal="center" vertical="top" wrapText="1"/>
    </xf>
    <xf numFmtId="10" fontId="21" fillId="22" borderId="3" xfId="1" applyNumberFormat="1" applyFont="1" applyFill="1" applyBorder="1" applyAlignment="1">
      <alignment horizontal="center" vertical="top" wrapText="1"/>
    </xf>
    <xf numFmtId="164" fontId="21" fillId="2" borderId="3" xfId="1" applyFont="1" applyFill="1" applyBorder="1" applyAlignment="1">
      <alignment wrapText="1"/>
    </xf>
    <xf numFmtId="2" fontId="21" fillId="2" borderId="3" xfId="0" applyNumberFormat="1" applyFont="1" applyFill="1" applyBorder="1" applyAlignment="1">
      <alignment horizontal="right"/>
    </xf>
    <xf numFmtId="0" fontId="0" fillId="8" borderId="0" xfId="0" applyFill="1"/>
    <xf numFmtId="164" fontId="19" fillId="2" borderId="3" xfId="1" applyFont="1" applyFill="1" applyBorder="1" applyAlignment="1">
      <alignment horizontal="center"/>
    </xf>
    <xf numFmtId="10" fontId="0" fillId="0" borderId="0" xfId="2" applyNumberFormat="1" applyFont="1" applyBorder="1"/>
    <xf numFmtId="0" fontId="0" fillId="23" borderId="0" xfId="0" applyFill="1"/>
    <xf numFmtId="0" fontId="0" fillId="14" borderId="0" xfId="0" applyFill="1"/>
    <xf numFmtId="0" fontId="3" fillId="0" borderId="0" xfId="0" applyFont="1"/>
    <xf numFmtId="4" fontId="21" fillId="2" borderId="3" xfId="10" applyNumberFormat="1" applyFont="1" applyFill="1" applyBorder="1" applyAlignment="1">
      <alignment vertical="top" wrapText="1"/>
    </xf>
    <xf numFmtId="164" fontId="46" fillId="2" borderId="0" xfId="1" applyFont="1" applyFill="1" applyBorder="1"/>
    <xf numFmtId="9" fontId="0" fillId="0" borderId="0" xfId="2" applyFont="1"/>
    <xf numFmtId="0" fontId="0" fillId="0" borderId="3" xfId="0" applyBorder="1"/>
    <xf numFmtId="4" fontId="7" fillId="2" borderId="0" xfId="0" applyNumberFormat="1" applyFont="1" applyFill="1"/>
    <xf numFmtId="164" fontId="48" fillId="2" borderId="0" xfId="1" applyFont="1" applyFill="1" applyBorder="1" applyAlignment="1">
      <alignment horizontal="right" vertical="top" wrapText="1"/>
    </xf>
    <xf numFmtId="164" fontId="12" fillId="2" borderId="0" xfId="1" applyFont="1" applyFill="1" applyBorder="1"/>
    <xf numFmtId="0" fontId="54" fillId="2" borderId="0" xfId="0" applyFont="1" applyFill="1" applyAlignment="1">
      <alignment horizontal="right"/>
    </xf>
    <xf numFmtId="0" fontId="55" fillId="2" borderId="0" xfId="0" applyFont="1" applyFill="1"/>
    <xf numFmtId="0" fontId="54" fillId="2" borderId="0" xfId="0" applyFont="1" applyFill="1" applyAlignment="1">
      <alignment horizontal="right" wrapText="1"/>
    </xf>
    <xf numFmtId="164" fontId="56" fillId="2" borderId="0" xfId="1" applyFont="1" applyFill="1" applyBorder="1" applyAlignment="1">
      <alignment horizontal="right" vertical="top" wrapText="1"/>
    </xf>
    <xf numFmtId="0" fontId="57" fillId="2" borderId="0" xfId="0" applyFont="1" applyFill="1" applyAlignment="1">
      <alignment horizontal="right" wrapText="1"/>
    </xf>
    <xf numFmtId="164" fontId="14" fillId="2" borderId="0" xfId="1" applyFont="1" applyFill="1" applyBorder="1"/>
    <xf numFmtId="0" fontId="57" fillId="2" borderId="0" xfId="0" applyFont="1" applyFill="1" applyAlignment="1">
      <alignment horizontal="right"/>
    </xf>
    <xf numFmtId="164" fontId="14" fillId="2" borderId="0" xfId="1" applyFont="1" applyFill="1" applyBorder="1" applyAlignment="1">
      <alignment horizontal="right" vertical="top" wrapText="1"/>
    </xf>
    <xf numFmtId="0" fontId="58" fillId="0" borderId="0" xfId="0" applyFont="1"/>
    <xf numFmtId="164" fontId="60" fillId="0" borderId="0" xfId="1" applyFont="1"/>
    <xf numFmtId="0" fontId="0" fillId="0" borderId="6" xfId="0" applyBorder="1"/>
    <xf numFmtId="4" fontId="21" fillId="2" borderId="6" xfId="10" applyNumberFormat="1" applyFont="1" applyFill="1" applyBorder="1" applyAlignment="1">
      <alignment horizontal="right" vertical="top" wrapText="1"/>
    </xf>
    <xf numFmtId="4" fontId="21" fillId="2" borderId="7" xfId="10" applyNumberFormat="1" applyFont="1" applyFill="1" applyBorder="1" applyAlignment="1">
      <alignment horizontal="right" vertical="top" wrapText="1"/>
    </xf>
    <xf numFmtId="0" fontId="0" fillId="0" borderId="7" xfId="0" applyBorder="1"/>
    <xf numFmtId="4" fontId="21" fillId="2" borderId="2" xfId="10" applyNumberFormat="1" applyFont="1" applyFill="1" applyBorder="1" applyAlignment="1">
      <alignment horizontal="right" vertical="top" wrapText="1"/>
    </xf>
    <xf numFmtId="0" fontId="0" fillId="0" borderId="2" xfId="0" applyBorder="1"/>
    <xf numFmtId="0" fontId="22" fillId="0" borderId="0" xfId="0" applyFont="1"/>
    <xf numFmtId="4" fontId="21" fillId="2" borderId="2" xfId="67" applyNumberFormat="1" applyFont="1" applyFill="1" applyBorder="1" applyAlignment="1">
      <alignment horizontal="right"/>
    </xf>
    <xf numFmtId="164" fontId="46" fillId="2" borderId="8" xfId="1" applyFont="1" applyFill="1" applyBorder="1" applyAlignment="1">
      <alignment horizontal="center" wrapText="1"/>
    </xf>
    <xf numFmtId="4" fontId="21" fillId="2" borderId="2" xfId="0" applyNumberFormat="1" applyFont="1" applyFill="1" applyBorder="1"/>
    <xf numFmtId="164" fontId="46" fillId="2" borderId="8" xfId="1" applyFont="1" applyFill="1" applyBorder="1"/>
    <xf numFmtId="10" fontId="21" fillId="2" borderId="9" xfId="2" applyNumberFormat="1" applyFont="1" applyFill="1" applyBorder="1" applyAlignment="1">
      <alignment horizontal="right" vertical="top" wrapText="1"/>
    </xf>
    <xf numFmtId="10" fontId="21" fillId="2" borderId="8" xfId="2" applyNumberFormat="1" applyFont="1" applyFill="1" applyBorder="1" applyAlignment="1">
      <alignment horizontal="right" vertical="top" wrapText="1"/>
    </xf>
    <xf numFmtId="10" fontId="0" fillId="0" borderId="8" xfId="2" applyNumberFormat="1" applyFont="1" applyBorder="1"/>
    <xf numFmtId="4" fontId="21" fillId="2" borderId="2" xfId="0" applyNumberFormat="1" applyFont="1" applyFill="1" applyBorder="1" applyAlignment="1">
      <alignment horizontal="right"/>
    </xf>
    <xf numFmtId="0" fontId="0" fillId="0" borderId="8" xfId="0" applyBorder="1"/>
    <xf numFmtId="0" fontId="52" fillId="0" borderId="0" xfId="0" applyFont="1"/>
    <xf numFmtId="16" fontId="59" fillId="2" borderId="0" xfId="0" applyNumberFormat="1" applyFont="1" applyFill="1"/>
    <xf numFmtId="43" fontId="60" fillId="0" borderId="0" xfId="0" applyNumberFormat="1" applyFont="1"/>
    <xf numFmtId="4" fontId="60" fillId="0" borderId="0" xfId="0" applyNumberFormat="1" applyFont="1"/>
    <xf numFmtId="4" fontId="48" fillId="2" borderId="0" xfId="0" applyNumberFormat="1" applyFont="1" applyFill="1"/>
    <xf numFmtId="0" fontId="47" fillId="0" borderId="0" xfId="0" applyFont="1" applyAlignment="1">
      <alignment horizontal="right"/>
    </xf>
    <xf numFmtId="16" fontId="54" fillId="2" borderId="0" xfId="0" applyNumberFormat="1" applyFont="1" applyFill="1" applyAlignment="1">
      <alignment horizontal="center" wrapText="1"/>
    </xf>
    <xf numFmtId="4" fontId="56" fillId="2" borderId="0" xfId="0" applyNumberFormat="1" applyFont="1" applyFill="1"/>
    <xf numFmtId="4" fontId="56" fillId="2" borderId="0" xfId="0" applyNumberFormat="1" applyFont="1" applyFill="1" applyAlignment="1">
      <alignment horizontal="right"/>
    </xf>
    <xf numFmtId="4" fontId="14" fillId="2" borderId="0" xfId="0" applyNumberFormat="1" applyFont="1" applyFill="1"/>
    <xf numFmtId="4" fontId="14" fillId="2" borderId="0" xfId="0" applyNumberFormat="1" applyFont="1" applyFill="1" applyAlignment="1">
      <alignment horizontal="right"/>
    </xf>
    <xf numFmtId="0" fontId="53" fillId="2" borderId="0" xfId="0" applyFont="1" applyFill="1" applyAlignment="1">
      <alignment horizontal="right"/>
    </xf>
    <xf numFmtId="16" fontId="47" fillId="2" borderId="0" xfId="0" applyNumberFormat="1" applyFont="1" applyFill="1"/>
    <xf numFmtId="0" fontId="12" fillId="2" borderId="0" xfId="0" applyFont="1" applyFill="1"/>
    <xf numFmtId="0" fontId="47" fillId="2" borderId="0" xfId="0" applyFont="1" applyFill="1" applyAlignment="1">
      <alignment horizontal="right"/>
    </xf>
    <xf numFmtId="4" fontId="48" fillId="2" borderId="0" xfId="0" applyNumberFormat="1" applyFont="1" applyFill="1" applyAlignment="1">
      <alignment horizontal="righ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2" borderId="0" xfId="0" applyFont="1" applyFill="1" applyAlignment="1">
      <alignment horizontal="center"/>
    </xf>
    <xf numFmtId="4" fontId="21" fillId="2" borderId="3" xfId="44" applyNumberFormat="1" applyFont="1" applyFill="1" applyBorder="1" applyAlignment="1">
      <alignment wrapText="1"/>
    </xf>
    <xf numFmtId="49" fontId="21" fillId="2" borderId="3" xfId="0" applyNumberFormat="1" applyFont="1" applyFill="1" applyBorder="1" applyAlignment="1">
      <alignment wrapText="1"/>
    </xf>
    <xf numFmtId="0" fontId="21" fillId="2" borderId="0" xfId="0" applyFont="1" applyFill="1" applyAlignment="1">
      <alignment horizontal="center" vertical="center"/>
    </xf>
    <xf numFmtId="0" fontId="61" fillId="0" borderId="0" xfId="0" applyFont="1"/>
    <xf numFmtId="0" fontId="9" fillId="8" borderId="3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 wrapText="1"/>
    </xf>
    <xf numFmtId="0" fontId="28" fillId="13" borderId="3" xfId="0" applyFont="1" applyFill="1" applyBorder="1" applyAlignment="1">
      <alignment horizontal="center" wrapText="1"/>
    </xf>
    <xf numFmtId="0" fontId="28" fillId="8" borderId="3" xfId="0" applyFont="1" applyFill="1" applyBorder="1" applyAlignment="1">
      <alignment horizontal="center"/>
    </xf>
    <xf numFmtId="0" fontId="26" fillId="12" borderId="3" xfId="0" applyFont="1" applyFill="1" applyBorder="1" applyAlignment="1">
      <alignment horizontal="center"/>
    </xf>
    <xf numFmtId="0" fontId="20" fillId="8" borderId="3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 vertical="top" wrapText="1"/>
    </xf>
    <xf numFmtId="0" fontId="15" fillId="5" borderId="3" xfId="0" applyFont="1" applyFill="1" applyBorder="1" applyAlignment="1">
      <alignment horizontal="center"/>
    </xf>
    <xf numFmtId="0" fontId="16" fillId="7" borderId="4" xfId="0" applyFont="1" applyFill="1" applyBorder="1" applyAlignment="1">
      <alignment horizontal="center" vertical="top" wrapText="1"/>
    </xf>
    <xf numFmtId="0" fontId="16" fillId="7" borderId="5" xfId="0" applyFont="1" applyFill="1" applyBorder="1" applyAlignment="1">
      <alignment horizontal="center" vertical="top" wrapText="1"/>
    </xf>
    <xf numFmtId="0" fontId="16" fillId="7" borderId="6" xfId="0" applyFont="1" applyFill="1" applyBorder="1" applyAlignment="1">
      <alignment horizontal="center" vertical="top" wrapText="1"/>
    </xf>
    <xf numFmtId="0" fontId="16" fillId="7" borderId="3" xfId="0" applyFont="1" applyFill="1" applyBorder="1" applyAlignment="1">
      <alignment horizontal="center" vertical="top" wrapText="1"/>
    </xf>
    <xf numFmtId="0" fontId="13" fillId="2" borderId="0" xfId="0" applyFont="1" applyFill="1" applyAlignment="1">
      <alignment horizontal="center" wrapText="1"/>
    </xf>
    <xf numFmtId="4" fontId="21" fillId="2" borderId="1" xfId="10" applyNumberFormat="1" applyFont="1" applyFill="1" applyBorder="1" applyAlignment="1">
      <alignment horizontal="right" vertical="top" wrapText="1"/>
    </xf>
  </cellXfs>
  <cellStyles count="101">
    <cellStyle name="60% - Accent1 2" xfId="3"/>
    <cellStyle name="60% - Accent2 2" xfId="4"/>
    <cellStyle name="60% - Accent3 2" xfId="5"/>
    <cellStyle name="60% - Accent4 2" xfId="6"/>
    <cellStyle name="60% - Accent5 2" xfId="7"/>
    <cellStyle name="60% - Accent6 2" xfId="8"/>
    <cellStyle name="Comma" xfId="1" builtinId="3"/>
    <cellStyle name="Comma 10" xfId="9"/>
    <cellStyle name="Comma 10 13" xfId="10"/>
    <cellStyle name="Comma 10 13 2" xfId="11"/>
    <cellStyle name="Comma 10 13 2 2" xfId="67"/>
    <cellStyle name="Comma 10 13 3" xfId="66"/>
    <cellStyle name="Comma 11" xfId="12"/>
    <cellStyle name="Comma 11 2" xfId="68"/>
    <cellStyle name="Comma 12" xfId="62"/>
    <cellStyle name="Comma 13" xfId="64"/>
    <cellStyle name="Comma 14" xfId="13"/>
    <cellStyle name="Comma 15" xfId="14"/>
    <cellStyle name="Comma 15 2" xfId="15"/>
    <cellStyle name="Comma 2" xfId="16"/>
    <cellStyle name="Comma 2 2" xfId="17"/>
    <cellStyle name="Comma 2 2 2" xfId="18"/>
    <cellStyle name="Comma 2 2 2 2" xfId="71"/>
    <cellStyle name="Comma 2 2 3" xfId="70"/>
    <cellStyle name="Comma 2 3" xfId="19"/>
    <cellStyle name="Comma 2 3 2" xfId="72"/>
    <cellStyle name="Comma 2 4" xfId="69"/>
    <cellStyle name="Comma 3" xfId="20"/>
    <cellStyle name="Comma 3 2" xfId="21"/>
    <cellStyle name="Comma 3 2 2" xfId="22"/>
    <cellStyle name="Comma 3 2 2 2" xfId="23"/>
    <cellStyle name="Comma 3 2 2 2 2" xfId="75"/>
    <cellStyle name="Comma 3 2 2 3" xfId="74"/>
    <cellStyle name="Comma 3 2 3" xfId="24"/>
    <cellStyle name="Comma 3 2 3 2" xfId="76"/>
    <cellStyle name="Comma 3 2 4" xfId="73"/>
    <cellStyle name="Comma 4" xfId="25"/>
    <cellStyle name="Comma 5" xfId="26"/>
    <cellStyle name="Comma 6" xfId="27"/>
    <cellStyle name="Comma 7" xfId="28"/>
    <cellStyle name="Comma 7 2" xfId="29"/>
    <cellStyle name="Comma 7 2 2" xfId="78"/>
    <cellStyle name="Comma 7 3" xfId="77"/>
    <cellStyle name="Comma 8" xfId="30"/>
    <cellStyle name="Comma 9" xfId="31"/>
    <cellStyle name="Comma 9 2" xfId="32"/>
    <cellStyle name="Comma 9 2 2" xfId="80"/>
    <cellStyle name="Comma 9 3" xfId="79"/>
    <cellStyle name="Neutral 2" xfId="33"/>
    <cellStyle name="Normal" xfId="0" builtinId="0"/>
    <cellStyle name="Normal 2" xfId="34"/>
    <cellStyle name="Normal 2 2" xfId="35"/>
    <cellStyle name="Normal 2 2 2" xfId="36"/>
    <cellStyle name="Normal 2 2 2 2" xfId="82"/>
    <cellStyle name="Normal 2 2 3" xfId="81"/>
    <cellStyle name="Normal 27 2" xfId="37"/>
    <cellStyle name="Normal 3" xfId="38"/>
    <cellStyle name="Normal 3 2" xfId="39"/>
    <cellStyle name="Normal 3 2 2" xfId="84"/>
    <cellStyle name="Normal 3 3" xfId="83"/>
    <cellStyle name="Normal 4" xfId="40"/>
    <cellStyle name="Normal 4 2" xfId="41"/>
    <cellStyle name="Normal 4 2 2" xfId="86"/>
    <cellStyle name="Normal 4 3" xfId="85"/>
    <cellStyle name="Normal 5" xfId="42"/>
    <cellStyle name="Normal 5 2" xfId="43"/>
    <cellStyle name="Normal 5 2 2" xfId="88"/>
    <cellStyle name="Normal 5 3" xfId="87"/>
    <cellStyle name="Normal 6" xfId="44"/>
    <cellStyle name="Normal 6 2" xfId="45"/>
    <cellStyle name="Normal 6 2 2" xfId="46"/>
    <cellStyle name="Normal 6 2 2 2" xfId="91"/>
    <cellStyle name="Normal 6 2 3" xfId="90"/>
    <cellStyle name="Normal 6 3" xfId="89"/>
    <cellStyle name="Normal 7" xfId="61"/>
    <cellStyle name="Percent" xfId="2" builtinId="5"/>
    <cellStyle name="Percent 13" xfId="47"/>
    <cellStyle name="Percent 13 2" xfId="48"/>
    <cellStyle name="Percent 2" xfId="49"/>
    <cellStyle name="Percent 2 2" xfId="50"/>
    <cellStyle name="Percent 2 2 2" xfId="51"/>
    <cellStyle name="Percent 2 2 2 2" xfId="94"/>
    <cellStyle name="Percent 2 2 3" xfId="93"/>
    <cellStyle name="Percent 2 3" xfId="52"/>
    <cellStyle name="Percent 2 3 2" xfId="95"/>
    <cellStyle name="Percent 2 4" xfId="92"/>
    <cellStyle name="Percent 3" xfId="53"/>
    <cellStyle name="Percent 3 2" xfId="54"/>
    <cellStyle name="Percent 3 2 2" xfId="97"/>
    <cellStyle name="Percent 3 3" xfId="96"/>
    <cellStyle name="Percent 4" xfId="55"/>
    <cellStyle name="Percent 4 2" xfId="56"/>
    <cellStyle name="Percent 4 2 2" xfId="99"/>
    <cellStyle name="Percent 4 3" xfId="98"/>
    <cellStyle name="Percent 5" xfId="57"/>
    <cellStyle name="Percent 6" xfId="58"/>
    <cellStyle name="Percent 7" xfId="59"/>
    <cellStyle name="Percent 7 2" xfId="100"/>
    <cellStyle name="Percent 8" xfId="63"/>
    <cellStyle name="Percent 9" xfId="65"/>
    <cellStyle name="Title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800" b="1" i="0" u="none" strike="noStrike" kern="1200" spc="100" baseline="0">
                <a:solidFill>
                  <a:schemeClr val="dk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GB" sz="1800">
                <a:solidFill>
                  <a:schemeClr val="dk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NAV BY CLASS OF FUNDS (N'Bn)</a:t>
            </a:r>
            <a:endParaRPr lang="en-GB" sz="180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/>
      <c:overlay val="0"/>
      <c:spPr>
        <a:solidFill>
          <a:schemeClr val="lt1"/>
        </a:solidFill>
        <a:ln w="12700" cap="flat" cmpd="sng" algn="ctr">
          <a:solidFill>
            <a:schemeClr val="accent3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800" b="1" i="0" u="none" strike="noStrike" kern="1200" spc="100" baseline="0">
              <a:solidFill>
                <a:schemeClr val="dk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0352501734696999E-2"/>
          <c:y val="0.12704985666184501"/>
          <c:w val="0.94540908679518498"/>
          <c:h val="0.7332719507050280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'NAV Comparison'!$B$2</c:f>
              <c:strCache>
                <c:ptCount val="1"/>
                <c:pt idx="0">
                  <c:v>Week Ended July 17, 2026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Comparison'!$B$3:$B$11</c:f>
              <c:numCache>
                <c:formatCode>#,##0.00</c:formatCode>
                <c:ptCount val="9"/>
                <c:pt idx="0">
                  <c:v>236.00000728703455</c:v>
                </c:pt>
                <c:pt idx="1">
                  <c:v>6207.5588050939514</c:v>
                </c:pt>
                <c:pt idx="2">
                  <c:v>232.33435208752002</c:v>
                </c:pt>
                <c:pt idx="3">
                  <c:v>1846.186820822388</c:v>
                </c:pt>
                <c:pt idx="4">
                  <c:v>514.46315908196004</c:v>
                </c:pt>
                <c:pt idx="5" formatCode="_-* #,##0.00_-;\-* #,##0.00_-;_-* &quot;-&quot;??_-;_-@_-">
                  <c:v>154.38891853328997</c:v>
                </c:pt>
                <c:pt idx="6">
                  <c:v>19.08649074549</c:v>
                </c:pt>
                <c:pt idx="7">
                  <c:v>139.83189824871999</c:v>
                </c:pt>
                <c:pt idx="8">
                  <c:v>31.821746689049665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84-485B-B2FA-123DA4A4CFB3}"/>
            </c:ext>
          </c:extLst>
        </c:ser>
        <c:ser>
          <c:idx val="1"/>
          <c:order val="1"/>
          <c:tx>
            <c:strRef>
              <c:f>'NAV Comparison'!$C$2</c:f>
              <c:strCache>
                <c:ptCount val="1"/>
                <c:pt idx="0">
                  <c:v>Week Ended July 24, 2026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lt1"/>
              </a:solidFill>
              <a:ln w="12700" cap="flat" cmpd="sng" algn="ctr">
                <a:solidFill>
                  <a:schemeClr val="accent6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'NAV Comparison'!$A$3:$A$11</c:f>
              <c:strCache>
                <c:ptCount val="9"/>
                <c:pt idx="0">
                  <c:v>EQUITY BASED FUNDS</c:v>
                </c:pt>
                <c:pt idx="1">
                  <c:v>MONEY MARKET FUNDS</c:v>
                </c:pt>
                <c:pt idx="2">
                  <c:v>BONDS/FIXED INCOME FUNDS</c:v>
                </c:pt>
                <c:pt idx="3">
                  <c:v>DOLLAR FUNDS</c:v>
                </c:pt>
                <c:pt idx="4">
                  <c:v>REAL ESTATE INVESTMENT TRUST</c:v>
                </c:pt>
                <c:pt idx="5">
                  <c:v>BALANCED FUNDS</c:v>
                </c:pt>
                <c:pt idx="6">
                  <c:v>ETHICAL FUNDS</c:v>
                </c:pt>
                <c:pt idx="7">
                  <c:v>SHARI'AH COMPLAINT FUNDS</c:v>
                </c:pt>
                <c:pt idx="8">
                  <c:v>SPECIALISED FUNDS</c:v>
                </c:pt>
              </c:strCache>
            </c:strRef>
          </c:cat>
          <c:val>
            <c:numRef>
              <c:f>'NAV Comparison'!$C$3:$C$11</c:f>
              <c:numCache>
                <c:formatCode>#,##0.00</c:formatCode>
                <c:ptCount val="9"/>
                <c:pt idx="0">
                  <c:v>243.58419140627058</c:v>
                </c:pt>
                <c:pt idx="1">
                  <c:v>6248.3578392132686</c:v>
                </c:pt>
                <c:pt idx="2">
                  <c:v>231.51953725732</c:v>
                </c:pt>
                <c:pt idx="3">
                  <c:v>1815.3324566069159</c:v>
                </c:pt>
                <c:pt idx="4">
                  <c:v>514.79954338495997</c:v>
                </c:pt>
                <c:pt idx="5" formatCode="_-* #,##0.00_-;\-* #,##0.00_-;_-* &quot;-&quot;??_-;_-@_-">
                  <c:v>156.90609394163246</c:v>
                </c:pt>
                <c:pt idx="6">
                  <c:v>19.528315351420002</c:v>
                </c:pt>
                <c:pt idx="7">
                  <c:v>141.92977587730996</c:v>
                </c:pt>
                <c:pt idx="8">
                  <c:v>32.01579300567083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84-485B-B2FA-123DA4A4CF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333180888"/>
        <c:axId val="333178928"/>
      </c:barChart>
      <c:catAx>
        <c:axId val="333180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333178928"/>
        <c:crosses val="autoZero"/>
        <c:auto val="1"/>
        <c:lblAlgn val="ctr"/>
        <c:lblOffset val="100"/>
        <c:noMultiLvlLbl val="0"/>
      </c:catAx>
      <c:valAx>
        <c:axId val="33317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333180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2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>
      <a:noFill/>
    </a:ln>
    <a:effectLst/>
  </c:spPr>
  <c:txPr>
    <a:bodyPr/>
    <a:lstStyle/>
    <a:p>
      <a:pPr>
        <a:defRPr lang="en-US"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200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PERCENTAGE MARKET</a:t>
            </a:r>
            <a:r>
              <a:rPr lang="en-US" sz="20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SHARE OF FUNDS BY CLASS</a:t>
            </a:r>
          </a:p>
          <a:p>
            <a:pPr>
              <a:defRPr lang="en-US" sz="2000" b="0" i="0" u="none" strike="noStrike" kern="1200" spc="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US" sz="1600" baseline="0">
                <a:solidFill>
                  <a:schemeClr val="lt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AS AT 24TH JULY, 2026</a:t>
            </a:r>
            <a:endParaRPr lang="en-US" sz="160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endParaRPr>
          </a:p>
        </c:rich>
      </c:tx>
      <c:layout>
        <c:manualLayout>
          <c:xMode val="edge"/>
          <c:yMode val="edge"/>
          <c:x val="0.25601704825299632"/>
          <c:y val="1.8702749868806576E-2"/>
        </c:manualLayout>
      </c:layout>
      <c:overlay val="0"/>
      <c:spPr>
        <a:solidFill>
          <a:schemeClr val="dk1"/>
        </a:solidFill>
        <a:ln w="12700" cap="flat" cmpd="sng" algn="ctr">
          <a:solidFill>
            <a:schemeClr val="dk1">
              <a:shade val="15000"/>
            </a:schemeClr>
          </a:solidFill>
          <a:prstDash val="solid"/>
          <a:miter lim="800000"/>
        </a:ln>
        <a:effectLst/>
      </c:spPr>
    </c:title>
    <c:autoTitleDeleted val="0"/>
    <c:view3D>
      <c:rotX val="30"/>
      <c:rotY val="235"/>
      <c:depthPercent val="100"/>
      <c:rAngAx val="0"/>
    </c:view3D>
    <c:floor>
      <c:thickness val="0"/>
      <c:spPr>
        <a:noFill/>
        <a:ln>
          <a:noFill/>
        </a:ln>
        <a:effectLst/>
      </c:spPr>
    </c:floor>
    <c:sideWall>
      <c:thickness val="0"/>
      <c:spPr>
        <a:noFill/>
        <a:ln>
          <a:noFill/>
        </a:ln>
        <a:effectLst/>
      </c:spPr>
    </c:sideWall>
    <c:backWall>
      <c:thickness val="0"/>
      <c:spPr>
        <a:noFill/>
        <a:ln>
          <a:noFill/>
        </a:ln>
        <a:effectLst/>
      </c:spPr>
    </c:backWall>
    <c:plotArea>
      <c:layout>
        <c:manualLayout>
          <c:layoutTarget val="inner"/>
          <c:xMode val="edge"/>
          <c:yMode val="edge"/>
          <c:x val="0.15552536576715401"/>
          <c:y val="0.147427288479518"/>
          <c:w val="0.84316500743410205"/>
          <c:h val="0.81423920364184199"/>
        </c:manualLayout>
      </c:layout>
      <c:pie3DChart>
        <c:varyColors val="1"/>
        <c:ser>
          <c:idx val="0"/>
          <c:order val="0"/>
          <c:tx>
            <c:strRef>
              <c:f>'Market Share'!$B$1</c:f>
              <c:strCache>
                <c:ptCount val="1"/>
                <c:pt idx="0">
                  <c:v>24-Jul</c:v>
                </c:pt>
              </c:strCache>
            </c:strRef>
          </c:tx>
          <c:explosion val="1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1CD-4238-805E-79E3D03273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1CD-4238-805E-79E3D03273AE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1CD-4238-805E-79E3D03273AE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1CD-4238-805E-79E3D03273AE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1CD-4238-805E-79E3D03273AE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C1CD-4238-805E-79E3D03273AE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C1CD-4238-805E-79E3D03273AE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C1CD-4238-805E-79E3D03273AE}"/>
              </c:ext>
            </c:extLst>
          </c:dPt>
          <c:dLbls>
            <c:dLbl>
              <c:idx val="0"/>
              <c:layout>
                <c:manualLayout>
                  <c:x val="-4.31242058258033E-2"/>
                  <c:y val="0.11941221286673299"/>
                </c:manualLayout>
              </c:layout>
              <c:numFmt formatCode="0.00%" sourceLinked="0"/>
              <c:spPr>
                <a:gradFill rotWithShape="1">
                  <a:gsLst>
                    <a:gs pos="0">
                      <a:schemeClr val="dk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dk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dk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6350" cap="flat" cmpd="sng" algn="ctr">
                  <a:solidFill>
                    <a:schemeClr val="dk1"/>
                  </a:solidFill>
                  <a:prstDash val="solid"/>
                  <a:miter lim="800000"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lang="en-US" sz="1100" b="0" i="0" u="none" strike="noStrike" kern="1200" baseline="0">
                      <a:solidFill>
                        <a:schemeClr val="lt1"/>
                      </a:solidFill>
                      <a:latin typeface="Tahoma" panose="020B0604030504040204" pitchFamily="34" charset="0"/>
                      <a:ea typeface="Tahoma" panose="020B0604030504040204" pitchFamily="34" charset="0"/>
                      <a:cs typeface="Tahoma" panose="020B0604030504040204" pitchFamily="34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9.4479132889269804E-2"/>
                      <c:h val="7.407629741261130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C1CD-4238-805E-79E3D03273AE}"/>
                </c:ext>
              </c:extLst>
            </c:dLbl>
            <c:dLbl>
              <c:idx val="1"/>
              <c:layout>
                <c:manualLayout>
                  <c:x val="-8.3929154372232501E-2"/>
                  <c:y val="5.523740886099379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C1CD-4238-805E-79E3D03273AE}"/>
                </c:ext>
              </c:extLst>
            </c:dLbl>
            <c:dLbl>
              <c:idx val="2"/>
              <c:layout>
                <c:manualLayout>
                  <c:x val="-2.43329415803131E-2"/>
                  <c:y val="-9.75631346843399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1CD-4238-805E-79E3D03273AE}"/>
                </c:ext>
              </c:extLst>
            </c:dLbl>
            <c:dLbl>
              <c:idx val="3"/>
              <c:layout>
                <c:manualLayout>
                  <c:x val="-1.82320668832372E-2"/>
                  <c:y val="3.176145796708879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1CD-4238-805E-79E3D03273AE}"/>
                </c:ext>
              </c:extLst>
            </c:dLbl>
            <c:dLbl>
              <c:idx val="4"/>
              <c:layout>
                <c:manualLayout>
                  <c:x val="-1.9911338166239988E-2"/>
                  <c:y val="-0.1152061035006779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C1CD-4238-805E-79E3D03273AE}"/>
                </c:ext>
              </c:extLst>
            </c:dLbl>
            <c:dLbl>
              <c:idx val="5"/>
              <c:layout>
                <c:manualLayout>
                  <c:x val="0.12519178075328871"/>
                  <c:y val="-0.1538166011610618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C1CD-4238-805E-79E3D03273AE}"/>
                </c:ext>
              </c:extLst>
            </c:dLbl>
            <c:dLbl>
              <c:idx val="6"/>
              <c:layout>
                <c:manualLayout>
                  <c:x val="0.1048281673819053"/>
                  <c:y val="7.5248310884680984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C1CD-4238-805E-79E3D03273AE}"/>
                </c:ext>
              </c:extLst>
            </c:dLbl>
            <c:dLbl>
              <c:idx val="7"/>
              <c:layout>
                <c:manualLayout>
                  <c:x val="0.11257938354094861"/>
                  <c:y val="8.365237706083002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C1CD-4238-805E-79E3D03273AE}"/>
                </c:ext>
              </c:extLst>
            </c:dLbl>
            <c:dLbl>
              <c:idx val="8"/>
              <c:layout>
                <c:manualLayout>
                  <c:x val="-0.21830311802119767"/>
                  <c:y val="-0.199591660471421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EC2C-451A-80BF-6519EFFE5B2E}"/>
                </c:ext>
              </c:extLst>
            </c:dLbl>
            <c:numFmt formatCode="0.00%" sourceLinked="0"/>
            <c:spPr>
              <a:gradFill rotWithShape="1">
                <a:gsLst>
                  <a:gs pos="0">
                    <a:schemeClr val="dk1">
                      <a:satMod val="103000"/>
                      <a:lumMod val="102000"/>
                      <a:tint val="94000"/>
                    </a:schemeClr>
                  </a:gs>
                  <a:gs pos="50000">
                    <a:schemeClr val="dk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dk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63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100" b="0" i="0" u="none" strike="noStrike" kern="1200" baseline="0">
                    <a:solidFill>
                      <a:schemeClr val="lt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25400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'Market Share'!$A$2:$A$10</c:f>
              <c:strCache>
                <c:ptCount val="9"/>
                <c:pt idx="0">
                  <c:v>ETHICAL FUNDS</c:v>
                </c:pt>
                <c:pt idx="1">
                  <c:v>SPECIALISED FUNDS</c:v>
                </c:pt>
                <c:pt idx="2">
                  <c:v>SHARI'AH COMPLAINT FUNDS</c:v>
                </c:pt>
                <c:pt idx="3">
                  <c:v>BALANCED FUNDS</c:v>
                </c:pt>
                <c:pt idx="4">
                  <c:v>EQUITY BASED FUNDS</c:v>
                </c:pt>
                <c:pt idx="5">
                  <c:v>BONDS/FIXED INCOME FUNDS</c:v>
                </c:pt>
                <c:pt idx="6">
                  <c:v>REAL ESTATE INVESTMENT TRUST</c:v>
                </c:pt>
                <c:pt idx="7">
                  <c:v>DOLLAR FUNDS</c:v>
                </c:pt>
                <c:pt idx="8">
                  <c:v>MONEY MARKET FUNDS</c:v>
                </c:pt>
              </c:strCache>
            </c:strRef>
          </c:cat>
          <c:val>
            <c:numRef>
              <c:f>'Market Share'!$B$2:$B$10</c:f>
              <c:numCache>
                <c:formatCode>#,##0.00</c:formatCode>
                <c:ptCount val="9"/>
                <c:pt idx="0">
                  <c:v>19528315351.420002</c:v>
                </c:pt>
                <c:pt idx="1">
                  <c:v>32015793005.67083</c:v>
                </c:pt>
                <c:pt idx="2">
                  <c:v>141929775877.30997</c:v>
                </c:pt>
                <c:pt idx="3" formatCode="_-* #,##0.00_-;\-* #,##0.00_-;_-* &quot;-&quot;??_-;_-@_-">
                  <c:v>156906093941.63248</c:v>
                </c:pt>
                <c:pt idx="4">
                  <c:v>243584191406.27057</c:v>
                </c:pt>
                <c:pt idx="5">
                  <c:v>231519537257.32001</c:v>
                </c:pt>
                <c:pt idx="6">
                  <c:v>514799543384.96002</c:v>
                </c:pt>
                <c:pt idx="7">
                  <c:v>1815332456606.916</c:v>
                </c:pt>
                <c:pt idx="8">
                  <c:v>6248357839213.2686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C1CD-4238-805E-79E3D03273AE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pattFill prst="pct40">
      <a:fgClr>
        <a:schemeClr val="accent1"/>
      </a:fgClr>
      <a:bgClr>
        <a:schemeClr val="bg1"/>
      </a:bgClr>
    </a:patt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>
      <a:outerShdw blurRad="50800" dist="50800" dir="5400000" algn="ctr" rotWithShape="0">
        <a:schemeClr val="accent3">
          <a:lumMod val="20000"/>
          <a:lumOff val="80000"/>
        </a:schemeClr>
      </a:outerShdw>
    </a:effectLst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600" b="1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8-WEEK MOVEMENT IN TOTAL NAV (N'Bn)</a:t>
            </a:r>
          </a:p>
        </c:rich>
      </c:tx>
      <c:layout>
        <c:manualLayout>
          <c:xMode val="edge"/>
          <c:yMode val="edge"/>
          <c:x val="0.259825017515738"/>
          <c:y val="1.56862783847530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600" b="1" i="0" u="none" strike="noStrike" kern="1200" cap="all" spc="120" normalizeH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NAV'!$A$3</c:f>
              <c:strCache>
                <c:ptCount val="1"/>
                <c:pt idx="0">
                  <c:v>TOTAL NAV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0"/>
            <c:dispEq val="0"/>
          </c:trendline>
          <c:cat>
            <c:numRef>
              <c:f>'8-Week Movement in NAV'!$B$2:$I$2</c:f>
              <c:numCache>
                <c:formatCode>d\-mmm</c:formatCode>
                <c:ptCount val="8"/>
                <c:pt idx="0">
                  <c:v>46178</c:v>
                </c:pt>
                <c:pt idx="1">
                  <c:v>46184</c:v>
                </c:pt>
                <c:pt idx="2">
                  <c:v>46192</c:v>
                </c:pt>
                <c:pt idx="3">
                  <c:v>46199</c:v>
                </c:pt>
                <c:pt idx="4">
                  <c:v>46206</c:v>
                </c:pt>
                <c:pt idx="5">
                  <c:v>46213</c:v>
                </c:pt>
                <c:pt idx="6">
                  <c:v>46220</c:v>
                </c:pt>
                <c:pt idx="7">
                  <c:v>46227</c:v>
                </c:pt>
              </c:numCache>
            </c:numRef>
          </c:cat>
          <c:val>
            <c:numRef>
              <c:f>'8-Week Movement in NAV'!$B$3:$I$3</c:f>
              <c:numCache>
                <c:formatCode>_-* #,##0.00_-;\-* #,##0.00_-;_-* "-"??_-;_-@_-</c:formatCode>
                <c:ptCount val="8"/>
                <c:pt idx="0">
                  <c:v>9065.8177533026028</c:v>
                </c:pt>
                <c:pt idx="1">
                  <c:v>9101.534190127175</c:v>
                </c:pt>
                <c:pt idx="2">
                  <c:v>9081.5117592714614</c:v>
                </c:pt>
                <c:pt idx="3">
                  <c:v>9114.5072349997172</c:v>
                </c:pt>
                <c:pt idx="4">
                  <c:v>9139.1100219539112</c:v>
                </c:pt>
                <c:pt idx="5">
                  <c:v>9291.4177567226161</c:v>
                </c:pt>
                <c:pt idx="6">
                  <c:v>9381.6721985894019</c:v>
                </c:pt>
                <c:pt idx="7">
                  <c:v>9403.97354604477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B9-45FC-8D31-ECB21A7F50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33181672"/>
        <c:axId val="338214560"/>
      </c:lineChart>
      <c:dateAx>
        <c:axId val="333181672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cap="all" spc="12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214560"/>
        <c:crosses val="autoZero"/>
        <c:auto val="1"/>
        <c:lblOffset val="100"/>
        <c:baseTimeUnit val="days"/>
      </c:dateAx>
      <c:valAx>
        <c:axId val="338214560"/>
        <c:scaling>
          <c:orientation val="minMax"/>
        </c:scaling>
        <c:delete val="0"/>
        <c:axPos val="l"/>
        <c:numFmt formatCode="_-* #,##0.00_-;\-* #,##0.00_-;_-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31816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tx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</a:rPr>
              <a:t>8-WEEK MOVEMENT IN </a:t>
            </a:r>
            <a:r>
              <a:rPr lang="en-US" sz="1600"/>
              <a:t>AGGREGATE </a:t>
            </a:r>
            <a:r>
              <a:rPr lang="en-US"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ETFs </a:t>
            </a:r>
            <a:r>
              <a:rPr lang="en-US" sz="1600" b="1" i="0" u="none" strike="noStrike" kern="1200" cap="all" spc="120" normalizeH="0" baseline="0">
                <a:solidFill>
                  <a:schemeClr val="bg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</a:rPr>
              <a:t>(N'Bn)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lang="en-US"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'8-Week Movement in ETFs'!$A$3</c:f>
              <c:strCache>
                <c:ptCount val="1"/>
                <c:pt idx="0">
                  <c:v>ETFs AGGREGATE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'8-Week Movement in ETFs'!$B$2:$I$2</c:f>
              <c:numCache>
                <c:formatCode>d\-mmm</c:formatCode>
                <c:ptCount val="8"/>
                <c:pt idx="0">
                  <c:v>46178</c:v>
                </c:pt>
                <c:pt idx="1">
                  <c:v>46184</c:v>
                </c:pt>
                <c:pt idx="2">
                  <c:v>46192</c:v>
                </c:pt>
                <c:pt idx="3">
                  <c:v>46199</c:v>
                </c:pt>
                <c:pt idx="4">
                  <c:v>46206</c:v>
                </c:pt>
                <c:pt idx="5">
                  <c:v>46213</c:v>
                </c:pt>
                <c:pt idx="6">
                  <c:v>46220</c:v>
                </c:pt>
                <c:pt idx="7">
                  <c:v>46227</c:v>
                </c:pt>
              </c:numCache>
            </c:numRef>
          </c:cat>
          <c:val>
            <c:numRef>
              <c:f>'8-Week Movement in ETFs'!$B$3:$I$3</c:f>
              <c:numCache>
                <c:formatCode>_-* #,##0.00_-;\-* #,##0.00_-;_-* "-"??_-;_-@_-</c:formatCode>
                <c:ptCount val="8"/>
                <c:pt idx="0">
                  <c:v>31.023458333940003</c:v>
                </c:pt>
                <c:pt idx="1">
                  <c:v>31.276624002919995</c:v>
                </c:pt>
                <c:pt idx="2">
                  <c:v>30.175205285199997</c:v>
                </c:pt>
                <c:pt idx="3">
                  <c:v>29.959038932529999</c:v>
                </c:pt>
                <c:pt idx="4">
                  <c:v>29.355227401120001</c:v>
                </c:pt>
                <c:pt idx="5">
                  <c:v>31.056126253639995</c:v>
                </c:pt>
                <c:pt idx="6">
                  <c:v>31.336682253870002</c:v>
                </c:pt>
                <c:pt idx="7">
                  <c:v>31.945291834430002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29-4D76-8B47-F198EF18C28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338220832"/>
        <c:axId val="338217304"/>
      </c:lineChart>
      <c:dateAx>
        <c:axId val="338220832"/>
        <c:scaling>
          <c:orientation val="minMax"/>
        </c:scaling>
        <c:delete val="0"/>
        <c:axPos val="b"/>
        <c:numFmt formatCode="d\-m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95000"/>
                <a:alpha val="1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217304"/>
        <c:crosses val="autoZero"/>
        <c:auto val="1"/>
        <c:lblOffset val="100"/>
        <c:baseTimeUnit val="days"/>
      </c:dateAx>
      <c:valAx>
        <c:axId val="338217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_-* #,##0.00_-;\-* #,##0.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8220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3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15240</xdr:colOff>
      <xdr:row>22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191846</xdr:colOff>
      <xdr:row>32</xdr:row>
      <xdr:rowOff>71717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588819</xdr:colOff>
      <xdr:row>19</xdr:row>
      <xdr:rowOff>8659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434339</xdr:colOff>
      <xdr:row>18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DG279"/>
  <sheetViews>
    <sheetView tabSelected="1" zoomScale="130" zoomScaleNormal="130" workbookViewId="0">
      <pane xSplit="3" ySplit="15" topLeftCell="D16" activePane="bottomRight" state="frozen"/>
      <selection pane="topRight" activeCell="C1" sqref="C1"/>
      <selection pane="bottomLeft" activeCell="A12" sqref="A12"/>
      <selection pane="bottomRight" activeCell="A2" sqref="A2"/>
    </sheetView>
  </sheetViews>
  <sheetFormatPr defaultColWidth="9" defaultRowHeight="14.4"/>
  <cols>
    <col min="1" max="1" width="4.44140625" customWidth="1"/>
    <col min="2" max="2" width="35.33203125" customWidth="1"/>
    <col min="3" max="3" width="32.88671875" customWidth="1"/>
    <col min="4" max="4" width="17.33203125" customWidth="1"/>
    <col min="5" max="5" width="21" customWidth="1"/>
    <col min="11" max="11" width="11.44140625" customWidth="1"/>
    <col min="14" max="14" width="15.109375" customWidth="1"/>
    <col min="15" max="15" width="20.5546875" customWidth="1"/>
    <col min="18" max="20" width="10.109375" customWidth="1"/>
    <col min="21" max="21" width="11.6640625" customWidth="1"/>
    <col min="22" max="22" width="8.33203125" customWidth="1"/>
    <col min="23" max="23" width="9.109375" customWidth="1"/>
    <col min="26" max="26" width="9.33203125" customWidth="1"/>
    <col min="27" max="27" width="7.44140625" customWidth="1"/>
    <col min="28" max="28" width="6.5546875" customWidth="1"/>
    <col min="29" max="29" width="9.88671875" bestFit="1" customWidth="1"/>
    <col min="30" max="30" width="17.5546875" customWidth="1"/>
    <col min="31" max="31" width="11.33203125" customWidth="1"/>
    <col min="32" max="33" width="17.33203125" customWidth="1"/>
  </cols>
  <sheetData>
    <row r="1" spans="1:32" ht="27">
      <c r="A1" s="232" t="s">
        <v>347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</row>
    <row r="2" spans="1:32" ht="14.4" customHeight="1">
      <c r="A2" s="52"/>
      <c r="B2" s="53"/>
      <c r="C2" s="54"/>
      <c r="D2" s="233" t="s">
        <v>349</v>
      </c>
      <c r="E2" s="234"/>
      <c r="F2" s="234"/>
      <c r="G2" s="234"/>
      <c r="H2" s="234"/>
      <c r="I2" s="234"/>
      <c r="J2" s="234"/>
      <c r="K2" s="234"/>
      <c r="L2" s="234"/>
      <c r="M2" s="235"/>
      <c r="N2" s="233" t="s">
        <v>348</v>
      </c>
      <c r="O2" s="234"/>
      <c r="P2" s="234"/>
      <c r="Q2" s="234"/>
      <c r="R2" s="234"/>
      <c r="S2" s="234"/>
      <c r="T2" s="234"/>
      <c r="U2" s="234"/>
      <c r="V2" s="234"/>
      <c r="W2" s="235"/>
      <c r="X2" s="236" t="s">
        <v>0</v>
      </c>
      <c r="Y2" s="236"/>
      <c r="Z2" s="236"/>
      <c r="AA2" s="236" t="s">
        <v>1</v>
      </c>
      <c r="AB2" s="236"/>
    </row>
    <row r="3" spans="1:32" ht="20.399999999999999">
      <c r="A3" s="151" t="s">
        <v>2</v>
      </c>
      <c r="B3" s="151" t="s">
        <v>3</v>
      </c>
      <c r="C3" s="152" t="s">
        <v>4</v>
      </c>
      <c r="D3" s="153" t="s">
        <v>328</v>
      </c>
      <c r="E3" s="153" t="s">
        <v>5</v>
      </c>
      <c r="F3" s="154" t="s">
        <v>6</v>
      </c>
      <c r="G3" s="154" t="s">
        <v>330</v>
      </c>
      <c r="H3" s="154" t="s">
        <v>11</v>
      </c>
      <c r="I3" s="154" t="s">
        <v>331</v>
      </c>
      <c r="J3" s="154" t="s">
        <v>7</v>
      </c>
      <c r="K3" s="154" t="s">
        <v>8</v>
      </c>
      <c r="L3" s="154" t="s">
        <v>9</v>
      </c>
      <c r="M3" s="154" t="s">
        <v>10</v>
      </c>
      <c r="N3" s="153" t="s">
        <v>328</v>
      </c>
      <c r="O3" s="155" t="s">
        <v>5</v>
      </c>
      <c r="P3" s="154" t="s">
        <v>6</v>
      </c>
      <c r="Q3" s="154" t="s">
        <v>330</v>
      </c>
      <c r="R3" s="154" t="s">
        <v>11</v>
      </c>
      <c r="S3" s="154" t="s">
        <v>331</v>
      </c>
      <c r="T3" s="154" t="s">
        <v>7</v>
      </c>
      <c r="U3" s="154" t="s">
        <v>8</v>
      </c>
      <c r="V3" s="154" t="s">
        <v>9</v>
      </c>
      <c r="W3" s="154" t="s">
        <v>10</v>
      </c>
      <c r="X3" s="153" t="s">
        <v>12</v>
      </c>
      <c r="Y3" s="154" t="s">
        <v>13</v>
      </c>
      <c r="Z3" s="154" t="s">
        <v>14</v>
      </c>
      <c r="AA3" s="154" t="s">
        <v>15</v>
      </c>
      <c r="AB3" s="154" t="s">
        <v>16</v>
      </c>
      <c r="AD3" s="50"/>
      <c r="AF3" s="48"/>
    </row>
    <row r="4" spans="1:32" ht="5.55" customHeight="1"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</row>
    <row r="5" spans="1:32" ht="15" customHeight="1">
      <c r="A5" s="162"/>
      <c r="B5" s="230" t="s">
        <v>17</v>
      </c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</row>
    <row r="6" spans="1:32">
      <c r="A6" s="218">
        <v>1</v>
      </c>
      <c r="B6" s="55" t="s">
        <v>18</v>
      </c>
      <c r="C6" s="56" t="s">
        <v>19</v>
      </c>
      <c r="D6" s="142" t="s">
        <v>329</v>
      </c>
      <c r="E6" s="57">
        <v>12077755584.469999</v>
      </c>
      <c r="F6" s="58">
        <f t="shared" ref="F6:F26" si="0">(E6/$E$27)</f>
        <v>5.1176928862465894E-2</v>
      </c>
      <c r="G6" s="142" t="s">
        <v>329</v>
      </c>
      <c r="H6" s="57">
        <v>875.95870000000002</v>
      </c>
      <c r="I6" s="142" t="s">
        <v>329</v>
      </c>
      <c r="J6" s="57">
        <v>886.3596</v>
      </c>
      <c r="K6" s="59">
        <v>1715</v>
      </c>
      <c r="L6" s="60">
        <v>1.2800000000000001E-2</v>
      </c>
      <c r="M6" s="60">
        <v>0.41520000000000001</v>
      </c>
      <c r="N6" s="142" t="s">
        <v>329</v>
      </c>
      <c r="O6" s="57">
        <v>12543114635.32</v>
      </c>
      <c r="P6" s="58">
        <f t="shared" ref="P6:P26" si="1">(O6/$O$27)</f>
        <v>5.149396010843544E-2</v>
      </c>
      <c r="Q6" s="142" t="s">
        <v>329</v>
      </c>
      <c r="R6" s="57">
        <v>895.81780000000003</v>
      </c>
      <c r="S6" s="142" t="s">
        <v>329</v>
      </c>
      <c r="T6" s="57">
        <v>906.39440000000002</v>
      </c>
      <c r="U6" s="59">
        <v>1715</v>
      </c>
      <c r="V6" s="60">
        <v>2.2700000000000001E-2</v>
      </c>
      <c r="W6" s="60">
        <v>0.44729999999999998</v>
      </c>
      <c r="X6" s="156">
        <f>((O6-E6)/E6)</f>
        <v>3.853025900345055E-2</v>
      </c>
      <c r="Y6" s="156">
        <f>((T6-J6)/J6)</f>
        <v>2.2603467035275545E-2</v>
      </c>
      <c r="Z6" s="156">
        <f>((U6-K6)/K6)</f>
        <v>0</v>
      </c>
      <c r="AA6" s="156">
        <f>V6-L6</f>
        <v>9.9000000000000008E-3</v>
      </c>
      <c r="AB6" s="157">
        <f>W6-M6</f>
        <v>3.2099999999999962E-2</v>
      </c>
      <c r="AC6" s="44"/>
    </row>
    <row r="7" spans="1:32" ht="13.2" customHeight="1">
      <c r="A7" s="218">
        <v>2</v>
      </c>
      <c r="B7" s="55" t="s">
        <v>20</v>
      </c>
      <c r="C7" s="56" t="s">
        <v>21</v>
      </c>
      <c r="D7" s="142" t="s">
        <v>329</v>
      </c>
      <c r="E7" s="61">
        <v>2252336266.0700002</v>
      </c>
      <c r="F7" s="62">
        <f t="shared" si="0"/>
        <v>9.5437974428983843E-3</v>
      </c>
      <c r="G7" s="142" t="s">
        <v>329</v>
      </c>
      <c r="H7" s="61">
        <v>596.1191</v>
      </c>
      <c r="I7" s="142" t="s">
        <v>329</v>
      </c>
      <c r="J7" s="61">
        <v>604.77030000000002</v>
      </c>
      <c r="K7" s="63">
        <v>861</v>
      </c>
      <c r="L7" s="64">
        <v>6.9589999999999999E-3</v>
      </c>
      <c r="M7" s="64">
        <v>0.45519999999999999</v>
      </c>
      <c r="N7" s="142" t="s">
        <v>329</v>
      </c>
      <c r="O7" s="61">
        <v>2291570453.3099999</v>
      </c>
      <c r="P7" s="62">
        <f t="shared" si="1"/>
        <v>9.4077141873625224E-3</v>
      </c>
      <c r="Q7" s="142" t="s">
        <v>329</v>
      </c>
      <c r="R7" s="61">
        <v>602.6626</v>
      </c>
      <c r="S7" s="142" t="s">
        <v>329</v>
      </c>
      <c r="T7" s="61">
        <v>611.13019999999995</v>
      </c>
      <c r="U7" s="63">
        <v>868</v>
      </c>
      <c r="V7" s="64">
        <v>3.1519999999999999E-3</v>
      </c>
      <c r="W7" s="64">
        <v>0.47110000000000002</v>
      </c>
      <c r="X7" s="158">
        <f t="shared" ref="X7:X27" si="2">((O7-E7)/E7)</f>
        <v>1.7419329356383243E-2</v>
      </c>
      <c r="Y7" s="158">
        <f t="shared" ref="Y7:Y27" si="3">((T7-J7)/J7)</f>
        <v>1.0516224093676434E-2</v>
      </c>
      <c r="Z7" s="158">
        <f t="shared" ref="Z7:Z27" si="4">((U7-K7)/K7)</f>
        <v>8.130081300813009E-3</v>
      </c>
      <c r="AA7" s="156">
        <f t="shared" ref="AA7:AA27" si="5">V7-L7</f>
        <v>-3.8070000000000001E-3</v>
      </c>
      <c r="AB7" s="157">
        <f t="shared" ref="AB7:AB27" si="6">W7-M7</f>
        <v>1.5900000000000025E-2</v>
      </c>
      <c r="AC7" s="51"/>
      <c r="AD7" s="48"/>
      <c r="AE7" s="48"/>
    </row>
    <row r="8" spans="1:32">
      <c r="A8" s="222">
        <v>3</v>
      </c>
      <c r="B8" s="55" t="s">
        <v>22</v>
      </c>
      <c r="C8" s="56" t="s">
        <v>23</v>
      </c>
      <c r="D8" s="142" t="s">
        <v>329</v>
      </c>
      <c r="E8" s="61">
        <v>18134971347.59</v>
      </c>
      <c r="F8" s="62">
        <f t="shared" si="0"/>
        <v>7.6843096557761448E-2</v>
      </c>
      <c r="G8" s="142" t="s">
        <v>329</v>
      </c>
      <c r="H8" s="61">
        <v>72.642300000000006</v>
      </c>
      <c r="I8" s="142" t="s">
        <v>329</v>
      </c>
      <c r="J8" s="65">
        <v>74.808843920000001</v>
      </c>
      <c r="K8" s="59">
        <v>12645</v>
      </c>
      <c r="L8" s="60">
        <v>-0.24629999999999999</v>
      </c>
      <c r="M8" s="60">
        <v>0.37109999999999999</v>
      </c>
      <c r="N8" s="142" t="s">
        <v>329</v>
      </c>
      <c r="O8" s="61">
        <v>18486159883.82</v>
      </c>
      <c r="P8" s="62">
        <f t="shared" si="1"/>
        <v>7.5892280927981892E-2</v>
      </c>
      <c r="Q8" s="142" t="s">
        <v>329</v>
      </c>
      <c r="R8" s="61">
        <v>73.61</v>
      </c>
      <c r="S8" s="142" t="s">
        <v>329</v>
      </c>
      <c r="T8" s="65">
        <v>75.8</v>
      </c>
      <c r="U8" s="59">
        <v>12802</v>
      </c>
      <c r="V8" s="60">
        <v>1.32E-2</v>
      </c>
      <c r="W8" s="60">
        <v>0.38929999999999998</v>
      </c>
      <c r="X8" s="158">
        <f t="shared" si="2"/>
        <v>1.9365265568873913E-2</v>
      </c>
      <c r="Y8" s="158">
        <f t="shared" si="3"/>
        <v>1.3249183225715007E-2</v>
      </c>
      <c r="Z8" s="158">
        <f t="shared" si="4"/>
        <v>1.2415974693554765E-2</v>
      </c>
      <c r="AA8" s="156">
        <f t="shared" si="5"/>
        <v>0.25950000000000001</v>
      </c>
      <c r="AB8" s="157">
        <f t="shared" si="6"/>
        <v>1.8199999999999994E-2</v>
      </c>
      <c r="AC8" s="40"/>
      <c r="AD8" s="47"/>
      <c r="AE8" s="22"/>
      <c r="AF8" s="49"/>
    </row>
    <row r="9" spans="1:32" ht="13.8" customHeight="1">
      <c r="A9" s="218">
        <v>4</v>
      </c>
      <c r="B9" s="55" t="s">
        <v>24</v>
      </c>
      <c r="C9" s="56" t="s">
        <v>25</v>
      </c>
      <c r="D9" s="142" t="s">
        <v>329</v>
      </c>
      <c r="E9" s="61">
        <v>3307340527.2199998</v>
      </c>
      <c r="F9" s="62">
        <f t="shared" si="0"/>
        <v>1.4014154343637173E-2</v>
      </c>
      <c r="G9" s="142" t="s">
        <v>329</v>
      </c>
      <c r="H9" s="61">
        <v>367.11950000000002</v>
      </c>
      <c r="I9" s="142" t="s">
        <v>329</v>
      </c>
      <c r="J9" s="61">
        <v>367.11950000000002</v>
      </c>
      <c r="K9" s="63">
        <v>2765</v>
      </c>
      <c r="L9" s="64">
        <v>2.9999999999999997E-4</v>
      </c>
      <c r="M9" s="64">
        <v>0.46689999999999998</v>
      </c>
      <c r="N9" s="142" t="s">
        <v>329</v>
      </c>
      <c r="O9" s="61">
        <v>3587813322.23</v>
      </c>
      <c r="P9" s="62">
        <f t="shared" si="1"/>
        <v>1.4729253575598171E-2</v>
      </c>
      <c r="Q9" s="142" t="s">
        <v>329</v>
      </c>
      <c r="R9" s="61">
        <v>372.03289999999998</v>
      </c>
      <c r="S9" s="142" t="s">
        <v>329</v>
      </c>
      <c r="T9" s="61">
        <v>372.03289999999998</v>
      </c>
      <c r="U9" s="63">
        <v>2804</v>
      </c>
      <c r="V9" s="64">
        <v>1.34E-2</v>
      </c>
      <c r="W9" s="64">
        <v>0.48659999999999998</v>
      </c>
      <c r="X9" s="158">
        <f t="shared" si="2"/>
        <v>8.4803119818373504E-2</v>
      </c>
      <c r="Y9" s="158">
        <f t="shared" si="3"/>
        <v>1.3383653006718432E-2</v>
      </c>
      <c r="Z9" s="158">
        <f t="shared" si="4"/>
        <v>1.4104882459312839E-2</v>
      </c>
      <c r="AA9" s="156">
        <f t="shared" si="5"/>
        <v>1.3100000000000001E-2</v>
      </c>
      <c r="AB9" s="157">
        <f t="shared" si="6"/>
        <v>1.9699999999999995E-2</v>
      </c>
      <c r="AD9" s="40"/>
    </row>
    <row r="10" spans="1:32">
      <c r="A10" s="218">
        <v>5</v>
      </c>
      <c r="B10" s="55" t="s">
        <v>26</v>
      </c>
      <c r="C10" s="56" t="s">
        <v>27</v>
      </c>
      <c r="D10" s="142" t="s">
        <v>329</v>
      </c>
      <c r="E10" s="61">
        <v>12751119005.43</v>
      </c>
      <c r="F10" s="62">
        <f t="shared" si="0"/>
        <v>5.4030163608942083E-2</v>
      </c>
      <c r="G10" s="142" t="s">
        <v>329</v>
      </c>
      <c r="H10" s="61">
        <v>2.8906000000000001</v>
      </c>
      <c r="I10" s="142" t="s">
        <v>329</v>
      </c>
      <c r="J10" s="61">
        <v>2.9272</v>
      </c>
      <c r="K10" s="63">
        <v>2927</v>
      </c>
      <c r="L10" s="64">
        <v>5.4000000000000003E-3</v>
      </c>
      <c r="M10" s="64">
        <v>0.56269999999999998</v>
      </c>
      <c r="N10" s="142" t="s">
        <v>329</v>
      </c>
      <c r="O10" s="61">
        <v>13055068874.200001</v>
      </c>
      <c r="P10" s="62">
        <f t="shared" si="1"/>
        <v>5.3595714889500524E-2</v>
      </c>
      <c r="Q10" s="142" t="s">
        <v>329</v>
      </c>
      <c r="R10" s="61">
        <v>2.9338000000000002</v>
      </c>
      <c r="S10" s="142" t="s">
        <v>329</v>
      </c>
      <c r="T10" s="61">
        <v>2.9733999999999998</v>
      </c>
      <c r="U10" s="63">
        <v>2927</v>
      </c>
      <c r="V10" s="64">
        <v>1.54E-2</v>
      </c>
      <c r="W10" s="64">
        <v>0.58679999999999999</v>
      </c>
      <c r="X10" s="158">
        <f t="shared" si="2"/>
        <v>2.3837113326333551E-2</v>
      </c>
      <c r="Y10" s="158">
        <f t="shared" si="3"/>
        <v>1.5783000819896077E-2</v>
      </c>
      <c r="Z10" s="158">
        <f t="shared" si="4"/>
        <v>0</v>
      </c>
      <c r="AA10" s="156">
        <f t="shared" si="5"/>
        <v>0.01</v>
      </c>
      <c r="AB10" s="157">
        <f t="shared" si="6"/>
        <v>2.410000000000001E-2</v>
      </c>
    </row>
    <row r="11" spans="1:32">
      <c r="A11" s="218">
        <v>6</v>
      </c>
      <c r="B11" s="55" t="s">
        <v>341</v>
      </c>
      <c r="C11" s="56" t="s">
        <v>71</v>
      </c>
      <c r="D11" s="142" t="s">
        <v>329</v>
      </c>
      <c r="E11" s="61">
        <v>788877643.89999998</v>
      </c>
      <c r="F11" s="62">
        <f t="shared" si="0"/>
        <v>3.3427017777187145E-3</v>
      </c>
      <c r="G11" s="142" t="s">
        <v>329</v>
      </c>
      <c r="H11" s="61">
        <v>0.97470000000000001</v>
      </c>
      <c r="I11" s="142" t="s">
        <v>329</v>
      </c>
      <c r="J11" s="61">
        <v>1.0011000000000001</v>
      </c>
      <c r="K11" s="63">
        <v>641</v>
      </c>
      <c r="L11" s="64">
        <v>1.6899999999999998E-2</v>
      </c>
      <c r="M11" s="64">
        <v>-1.21E-2</v>
      </c>
      <c r="N11" s="142" t="s">
        <v>329</v>
      </c>
      <c r="O11" s="61">
        <v>881078035.11000001</v>
      </c>
      <c r="P11" s="62">
        <f>(O11/$O$27)</f>
        <v>3.6171396428615627E-3</v>
      </c>
      <c r="Q11" s="142" t="s">
        <v>329</v>
      </c>
      <c r="R11" s="61">
        <v>0.99399999999999999</v>
      </c>
      <c r="S11" s="142" t="s">
        <v>329</v>
      </c>
      <c r="T11" s="61">
        <v>1.0229999999999999</v>
      </c>
      <c r="U11" s="63">
        <v>700</v>
      </c>
      <c r="V11" s="64">
        <v>1.9800000000000002E-2</v>
      </c>
      <c r="W11" s="64">
        <v>8.5000000000000006E-3</v>
      </c>
      <c r="X11" s="158">
        <f>((O11-E11)/E11)</f>
        <v>0.11687540130328193</v>
      </c>
      <c r="Y11" s="158">
        <f>((T11-J11)/J11)</f>
        <v>2.1875936469882937E-2</v>
      </c>
      <c r="Z11" s="158">
        <f>((U11-K11)/K11)</f>
        <v>9.2043681747269887E-2</v>
      </c>
      <c r="AA11" s="156">
        <f>V11-L11</f>
        <v>2.9000000000000033E-3</v>
      </c>
      <c r="AB11" s="157">
        <f>W11-M11</f>
        <v>2.06E-2</v>
      </c>
    </row>
    <row r="12" spans="1:32" ht="12.6" customHeight="1">
      <c r="A12" s="218">
        <v>7</v>
      </c>
      <c r="B12" s="55" t="s">
        <v>28</v>
      </c>
      <c r="C12" s="56" t="s">
        <v>29</v>
      </c>
      <c r="D12" s="142" t="s">
        <v>329</v>
      </c>
      <c r="E12" s="66">
        <v>604418419.90999997</v>
      </c>
      <c r="F12" s="62">
        <f t="shared" si="0"/>
        <v>2.5610949205390372E-3</v>
      </c>
      <c r="G12" s="142" t="s">
        <v>329</v>
      </c>
      <c r="H12" s="61">
        <v>328.2217</v>
      </c>
      <c r="I12" s="142" t="s">
        <v>329</v>
      </c>
      <c r="J12" s="61">
        <v>331.1232</v>
      </c>
      <c r="K12" s="59">
        <v>246</v>
      </c>
      <c r="L12" s="60">
        <v>1.279E-3</v>
      </c>
      <c r="M12" s="60">
        <v>0.53739999999999999</v>
      </c>
      <c r="N12" s="142" t="s">
        <v>329</v>
      </c>
      <c r="O12" s="66">
        <v>759602522.13</v>
      </c>
      <c r="P12" s="62">
        <f t="shared" si="1"/>
        <v>3.1184393278752228E-3</v>
      </c>
      <c r="Q12" s="142" t="s">
        <v>329</v>
      </c>
      <c r="R12" s="61">
        <v>348.11930000000001</v>
      </c>
      <c r="S12" s="142" t="s">
        <v>329</v>
      </c>
      <c r="T12" s="61">
        <v>350.60570000000001</v>
      </c>
      <c r="U12" s="59">
        <v>254</v>
      </c>
      <c r="V12" s="60">
        <v>7.2639999999999996E-3</v>
      </c>
      <c r="W12" s="60">
        <v>0.41749999999999998</v>
      </c>
      <c r="X12" s="158">
        <f t="shared" si="2"/>
        <v>0.25674945883202482</v>
      </c>
      <c r="Y12" s="158">
        <f t="shared" si="3"/>
        <v>5.8837616935328046E-2</v>
      </c>
      <c r="Z12" s="158">
        <f t="shared" si="4"/>
        <v>3.2520325203252036E-2</v>
      </c>
      <c r="AA12" s="156">
        <f t="shared" si="5"/>
        <v>5.9849999999999999E-3</v>
      </c>
      <c r="AB12" s="157">
        <f t="shared" si="6"/>
        <v>-0.11990000000000001</v>
      </c>
    </row>
    <row r="13" spans="1:32" ht="12.6" customHeight="1">
      <c r="A13" s="218">
        <v>8</v>
      </c>
      <c r="B13" s="55" t="s">
        <v>318</v>
      </c>
      <c r="C13" s="56" t="s">
        <v>38</v>
      </c>
      <c r="D13" s="142" t="s">
        <v>329</v>
      </c>
      <c r="E13" s="67">
        <v>4242086855.5799999</v>
      </c>
      <c r="F13" s="62">
        <f t="shared" si="0"/>
        <v>1.7974943748287984E-2</v>
      </c>
      <c r="G13" s="142" t="s">
        <v>329</v>
      </c>
      <c r="H13" s="61">
        <v>8.1</v>
      </c>
      <c r="I13" s="142" t="s">
        <v>329</v>
      </c>
      <c r="J13" s="61">
        <v>8.2799999999999994</v>
      </c>
      <c r="K13" s="63">
        <v>3868</v>
      </c>
      <c r="L13" s="64">
        <v>9.4000000000000004E-3</v>
      </c>
      <c r="M13" s="64">
        <v>0.46460000000000001</v>
      </c>
      <c r="N13" s="142" t="s">
        <v>329</v>
      </c>
      <c r="O13" s="67">
        <v>4279099263.4099998</v>
      </c>
      <c r="P13" s="62">
        <f t="shared" si="1"/>
        <v>1.7567228967962669E-2</v>
      </c>
      <c r="Q13" s="142" t="s">
        <v>329</v>
      </c>
      <c r="R13" s="61">
        <v>8.1999999999999993</v>
      </c>
      <c r="S13" s="142" t="s">
        <v>329</v>
      </c>
      <c r="T13" s="61">
        <v>8.3699999999999992</v>
      </c>
      <c r="U13" s="63">
        <v>3876</v>
      </c>
      <c r="V13" s="64">
        <v>2.0899999999999998E-2</v>
      </c>
      <c r="W13" s="64">
        <v>0.48139999999999999</v>
      </c>
      <c r="X13" s="158">
        <f>((O13-E13)/E13)</f>
        <v>8.7250471501577487E-3</v>
      </c>
      <c r="Y13" s="158">
        <f>((T13-J13)/J13)</f>
        <v>1.0869565217391288E-2</v>
      </c>
      <c r="Z13" s="158">
        <f>((U13-K13)/K13)</f>
        <v>2.0682523267838678E-3</v>
      </c>
      <c r="AA13" s="156">
        <f>V13-L13</f>
        <v>1.1499999999999998E-2</v>
      </c>
      <c r="AB13" s="157">
        <f>W13-M13</f>
        <v>1.6799999999999982E-2</v>
      </c>
    </row>
    <row r="14" spans="1:32">
      <c r="A14" s="218">
        <v>9</v>
      </c>
      <c r="B14" s="55" t="s">
        <v>320</v>
      </c>
      <c r="C14" s="56" t="s">
        <v>79</v>
      </c>
      <c r="D14" s="142" t="s">
        <v>329</v>
      </c>
      <c r="E14" s="66">
        <v>6944335234.8100004</v>
      </c>
      <c r="F14" s="62">
        <f t="shared" si="0"/>
        <v>2.9425148391474268E-2</v>
      </c>
      <c r="G14" s="142" t="s">
        <v>329</v>
      </c>
      <c r="H14" s="61">
        <v>612.14</v>
      </c>
      <c r="I14" s="142" t="s">
        <v>329</v>
      </c>
      <c r="J14" s="61">
        <v>620.27</v>
      </c>
      <c r="K14" s="59">
        <v>2232</v>
      </c>
      <c r="L14" s="60">
        <v>1.12E-2</v>
      </c>
      <c r="M14" s="60">
        <v>0.3503</v>
      </c>
      <c r="N14" s="142" t="s">
        <v>329</v>
      </c>
      <c r="O14" s="66">
        <v>6904064184.0600004</v>
      </c>
      <c r="P14" s="62">
        <f t="shared" si="1"/>
        <v>2.8343646376233059E-2</v>
      </c>
      <c r="Q14" s="142" t="s">
        <v>329</v>
      </c>
      <c r="R14" s="61">
        <v>611.07000000000005</v>
      </c>
      <c r="S14" s="142" t="s">
        <v>329</v>
      </c>
      <c r="T14" s="61">
        <v>620.41</v>
      </c>
      <c r="U14" s="59">
        <v>2242</v>
      </c>
      <c r="V14" s="60">
        <v>-8.0000000000000004E-4</v>
      </c>
      <c r="W14" s="60">
        <v>0.34799999999999998</v>
      </c>
      <c r="X14" s="158">
        <f t="shared" si="2"/>
        <v>-5.7991225060870536E-3</v>
      </c>
      <c r="Y14" s="158">
        <f t="shared" si="3"/>
        <v>2.2570815934993852E-4</v>
      </c>
      <c r="Z14" s="158">
        <f t="shared" si="4"/>
        <v>4.4802867383512543E-3</v>
      </c>
      <c r="AA14" s="156">
        <f t="shared" si="5"/>
        <v>-1.2E-2</v>
      </c>
      <c r="AB14" s="157">
        <f t="shared" si="6"/>
        <v>-2.3000000000000242E-3</v>
      </c>
      <c r="AC14" s="40"/>
      <c r="AD14" s="40"/>
      <c r="AE14" s="117"/>
    </row>
    <row r="15" spans="1:32" ht="13.8" customHeight="1">
      <c r="A15" s="218">
        <v>10</v>
      </c>
      <c r="B15" s="55" t="s">
        <v>30</v>
      </c>
      <c r="C15" s="56" t="s">
        <v>31</v>
      </c>
      <c r="D15" s="142" t="s">
        <v>329</v>
      </c>
      <c r="E15" s="67">
        <v>608525969.51999998</v>
      </c>
      <c r="F15" s="62">
        <f t="shared" si="0"/>
        <v>2.5784997912304359E-3</v>
      </c>
      <c r="G15" s="142" t="s">
        <v>329</v>
      </c>
      <c r="H15" s="61">
        <v>303.22000000000003</v>
      </c>
      <c r="I15" s="142" t="s">
        <v>329</v>
      </c>
      <c r="J15" s="61">
        <v>313.08999999999997</v>
      </c>
      <c r="K15" s="63">
        <v>2472</v>
      </c>
      <c r="L15" s="64">
        <v>2.5999999999999999E-3</v>
      </c>
      <c r="M15" s="64">
        <v>0.19989999999999999</v>
      </c>
      <c r="N15" s="142" t="s">
        <v>329</v>
      </c>
      <c r="O15" s="67">
        <v>618993846.95000005</v>
      </c>
      <c r="P15" s="62">
        <f t="shared" si="1"/>
        <v>2.5411905566465483E-3</v>
      </c>
      <c r="Q15" s="142" t="s">
        <v>329</v>
      </c>
      <c r="R15" s="61">
        <v>308.44</v>
      </c>
      <c r="S15" s="142" t="s">
        <v>329</v>
      </c>
      <c r="T15" s="61">
        <v>318.60000000000002</v>
      </c>
      <c r="U15" s="63">
        <v>2472</v>
      </c>
      <c r="V15" s="64">
        <v>1.72E-2</v>
      </c>
      <c r="W15" s="64">
        <v>0.2205</v>
      </c>
      <c r="X15" s="158">
        <f t="shared" si="2"/>
        <v>1.7202022517226401E-2</v>
      </c>
      <c r="Y15" s="158">
        <f t="shared" si="3"/>
        <v>1.7598773515602698E-2</v>
      </c>
      <c r="Z15" s="158">
        <f t="shared" si="4"/>
        <v>0</v>
      </c>
      <c r="AA15" s="156">
        <f t="shared" si="5"/>
        <v>1.46E-2</v>
      </c>
      <c r="AB15" s="157">
        <f t="shared" si="6"/>
        <v>2.0600000000000007E-2</v>
      </c>
      <c r="AD15" s="48"/>
      <c r="AE15" s="117"/>
    </row>
    <row r="16" spans="1:32">
      <c r="A16" s="218">
        <v>11</v>
      </c>
      <c r="B16" s="55" t="s">
        <v>32</v>
      </c>
      <c r="C16" s="56" t="s">
        <v>33</v>
      </c>
      <c r="D16" s="142" t="s">
        <v>329</v>
      </c>
      <c r="E16" s="67">
        <v>172479621.39449999</v>
      </c>
      <c r="F16" s="62">
        <f t="shared" si="0"/>
        <v>7.30845830800005E-4</v>
      </c>
      <c r="G16" s="142" t="s">
        <v>329</v>
      </c>
      <c r="H16" s="61">
        <v>491.71</v>
      </c>
      <c r="I16" s="142" t="s">
        <v>329</v>
      </c>
      <c r="J16" s="61">
        <v>507.8356</v>
      </c>
      <c r="K16" s="63">
        <v>58</v>
      </c>
      <c r="L16" s="64">
        <v>-8.0000000000000004E-4</v>
      </c>
      <c r="M16" s="64">
        <v>0.55210000000000004</v>
      </c>
      <c r="N16" s="142" t="s">
        <v>329</v>
      </c>
      <c r="O16" s="67">
        <v>204318290.2006</v>
      </c>
      <c r="P16" s="62">
        <f t="shared" si="1"/>
        <v>8.3879946814701312E-4</v>
      </c>
      <c r="Q16" s="142" t="s">
        <v>329</v>
      </c>
      <c r="R16" s="61">
        <v>512.46450000000004</v>
      </c>
      <c r="S16" s="142" t="s">
        <v>329</v>
      </c>
      <c r="T16" s="61">
        <v>527.35119999999995</v>
      </c>
      <c r="U16" s="63">
        <v>74</v>
      </c>
      <c r="V16" s="64">
        <v>4.0099999999999997E-2</v>
      </c>
      <c r="W16" s="64">
        <v>0.61439999999999995</v>
      </c>
      <c r="X16" s="158">
        <f t="shared" si="2"/>
        <v>0.18459380040774648</v>
      </c>
      <c r="Y16" s="158">
        <f t="shared" si="3"/>
        <v>3.8428971895629119E-2</v>
      </c>
      <c r="Z16" s="158">
        <f t="shared" si="4"/>
        <v>0.27586206896551724</v>
      </c>
      <c r="AA16" s="156">
        <f t="shared" si="5"/>
        <v>4.0899999999999999E-2</v>
      </c>
      <c r="AB16" s="157">
        <f t="shared" si="6"/>
        <v>6.2299999999999911E-2</v>
      </c>
      <c r="AD16" s="40"/>
    </row>
    <row r="17" spans="1:33" ht="14.25" customHeight="1">
      <c r="A17" s="222">
        <v>12</v>
      </c>
      <c r="B17" s="55" t="s">
        <v>34</v>
      </c>
      <c r="C17" s="56" t="s">
        <v>35</v>
      </c>
      <c r="D17" s="142" t="s">
        <v>329</v>
      </c>
      <c r="E17" s="67">
        <v>19885385858.330002</v>
      </c>
      <c r="F17" s="62">
        <f t="shared" si="0"/>
        <v>8.4260106967473269E-2</v>
      </c>
      <c r="G17" s="142" t="s">
        <v>329</v>
      </c>
      <c r="H17" s="61">
        <v>5.532</v>
      </c>
      <c r="I17" s="142" t="s">
        <v>329</v>
      </c>
      <c r="J17" s="61">
        <v>5.6097000000000001</v>
      </c>
      <c r="K17" s="63">
        <v>14179</v>
      </c>
      <c r="L17" s="64">
        <v>1.9900000000000001E-2</v>
      </c>
      <c r="M17" s="64">
        <v>0.39050000000000001</v>
      </c>
      <c r="N17" s="142" t="s">
        <v>329</v>
      </c>
      <c r="O17" s="67">
        <v>20369440678.919998</v>
      </c>
      <c r="P17" s="62">
        <f t="shared" si="1"/>
        <v>8.3623820418403508E-2</v>
      </c>
      <c r="Q17" s="142" t="s">
        <v>329</v>
      </c>
      <c r="R17" s="61">
        <v>5.5417870000000002</v>
      </c>
      <c r="S17" s="142" t="s">
        <v>329</v>
      </c>
      <c r="T17" s="61">
        <v>5.6210420000000001</v>
      </c>
      <c r="U17" s="63">
        <v>14553</v>
      </c>
      <c r="V17" s="64">
        <v>1.776223657397491E-3</v>
      </c>
      <c r="W17" s="64">
        <v>0.39297648438635036</v>
      </c>
      <c r="X17" s="158">
        <f t="shared" si="2"/>
        <v>2.4342239272527138E-2</v>
      </c>
      <c r="Y17" s="158">
        <f t="shared" si="3"/>
        <v>2.0218550011587007E-3</v>
      </c>
      <c r="Z17" s="158">
        <f t="shared" si="4"/>
        <v>2.6377036462373934E-2</v>
      </c>
      <c r="AA17" s="156">
        <f t="shared" si="5"/>
        <v>-1.812377634260251E-2</v>
      </c>
      <c r="AB17" s="157">
        <f t="shared" si="6"/>
        <v>2.4764843863503416E-3</v>
      </c>
      <c r="AD17" s="194"/>
    </row>
    <row r="18" spans="1:33" ht="14.25" customHeight="1">
      <c r="A18" s="222">
        <v>13</v>
      </c>
      <c r="B18" s="55" t="s">
        <v>36</v>
      </c>
      <c r="C18" s="56" t="s">
        <v>37</v>
      </c>
      <c r="D18" s="142" t="s">
        <v>329</v>
      </c>
      <c r="E18" s="67">
        <v>497427778.25999999</v>
      </c>
      <c r="F18" s="62">
        <f t="shared" si="0"/>
        <v>2.1077447580541996E-3</v>
      </c>
      <c r="G18" s="142" t="s">
        <v>329</v>
      </c>
      <c r="H18" s="61">
        <v>44.02</v>
      </c>
      <c r="I18" s="142" t="s">
        <v>329</v>
      </c>
      <c r="J18" s="61">
        <v>44.49</v>
      </c>
      <c r="K18" s="63">
        <v>117</v>
      </c>
      <c r="L18" s="64">
        <v>-0.01</v>
      </c>
      <c r="M18" s="64">
        <v>0.65</v>
      </c>
      <c r="N18" s="142" t="s">
        <v>329</v>
      </c>
      <c r="O18" s="67">
        <v>529531798.55000001</v>
      </c>
      <c r="P18" s="62">
        <f t="shared" si="1"/>
        <v>2.1739169339885507E-3</v>
      </c>
      <c r="Q18" s="142" t="s">
        <v>329</v>
      </c>
      <c r="R18" s="61">
        <v>46.09</v>
      </c>
      <c r="S18" s="142" t="s">
        <v>329</v>
      </c>
      <c r="T18" s="61">
        <v>46.09</v>
      </c>
      <c r="U18" s="63">
        <v>118</v>
      </c>
      <c r="V18" s="64">
        <v>0.04</v>
      </c>
      <c r="W18" s="64">
        <v>0.73</v>
      </c>
      <c r="X18" s="158">
        <f t="shared" ref="X18" si="7">((O18-E18)/E18)</f>
        <v>6.4540063287779656E-2</v>
      </c>
      <c r="Y18" s="158">
        <f t="shared" ref="Y18" si="8">((T18-J18)/J18)</f>
        <v>3.5963137783771665E-2</v>
      </c>
      <c r="Z18" s="158">
        <f t="shared" ref="Z18" si="9">((U18-K18)/K18)</f>
        <v>8.5470085470085479E-3</v>
      </c>
      <c r="AA18" s="156">
        <f t="shared" ref="AA18" si="10">V18-L18</f>
        <v>0.05</v>
      </c>
      <c r="AB18" s="157">
        <f t="shared" ref="AB18" si="11">W18-M18</f>
        <v>7.999999999999996E-2</v>
      </c>
      <c r="AD18" s="40"/>
    </row>
    <row r="19" spans="1:33">
      <c r="A19" s="222">
        <v>14</v>
      </c>
      <c r="B19" s="55" t="s">
        <v>39</v>
      </c>
      <c r="C19" s="56" t="s">
        <v>40</v>
      </c>
      <c r="D19" s="142" t="s">
        <v>329</v>
      </c>
      <c r="E19" s="61">
        <v>9130954680.1000004</v>
      </c>
      <c r="F19" s="62">
        <f t="shared" si="0"/>
        <v>3.8690484737970772E-2</v>
      </c>
      <c r="G19" s="142" t="s">
        <v>329</v>
      </c>
      <c r="H19" s="61">
        <v>46.19</v>
      </c>
      <c r="I19" s="142" t="s">
        <v>329</v>
      </c>
      <c r="J19" s="61">
        <v>46.58</v>
      </c>
      <c r="K19" s="63">
        <v>2448</v>
      </c>
      <c r="L19" s="64">
        <v>1.55E-2</v>
      </c>
      <c r="M19" s="64">
        <v>0.49690000000000001</v>
      </c>
      <c r="N19" s="142" t="s">
        <v>329</v>
      </c>
      <c r="O19" s="61">
        <v>9495149203.3999996</v>
      </c>
      <c r="P19" s="62">
        <f t="shared" si="1"/>
        <v>3.898097470358073E-2</v>
      </c>
      <c r="Q19" s="142" t="s">
        <v>329</v>
      </c>
      <c r="R19" s="61">
        <v>46.53</v>
      </c>
      <c r="S19" s="142" t="s">
        <v>329</v>
      </c>
      <c r="T19" s="61">
        <v>46.92</v>
      </c>
      <c r="U19" s="63">
        <v>2455</v>
      </c>
      <c r="V19" s="64">
        <v>7.3000000000000001E-3</v>
      </c>
      <c r="W19" s="64">
        <v>0.50729999999999997</v>
      </c>
      <c r="X19" s="158">
        <f t="shared" si="2"/>
        <v>3.988570046171893E-2</v>
      </c>
      <c r="Y19" s="158">
        <f t="shared" si="3"/>
        <v>7.2992700729927742E-3</v>
      </c>
      <c r="Z19" s="158">
        <f t="shared" si="4"/>
        <v>2.8594771241830064E-3</v>
      </c>
      <c r="AA19" s="156">
        <f t="shared" si="5"/>
        <v>-8.199999999999999E-3</v>
      </c>
      <c r="AB19" s="157">
        <f t="shared" si="6"/>
        <v>1.0399999999999965E-2</v>
      </c>
      <c r="AE19" s="48"/>
    </row>
    <row r="20" spans="1:33">
      <c r="A20" s="222">
        <v>15</v>
      </c>
      <c r="B20" s="55" t="s">
        <v>41</v>
      </c>
      <c r="C20" s="56" t="s">
        <v>42</v>
      </c>
      <c r="D20" s="142" t="s">
        <v>329</v>
      </c>
      <c r="E20" s="61">
        <v>356837714.95999998</v>
      </c>
      <c r="F20" s="62">
        <f t="shared" si="0"/>
        <v>1.5120241692450323E-3</v>
      </c>
      <c r="G20" s="142" t="s">
        <v>329</v>
      </c>
      <c r="H20" s="61">
        <v>2.84</v>
      </c>
      <c r="I20" s="142" t="s">
        <v>329</v>
      </c>
      <c r="J20" s="61">
        <v>2.87</v>
      </c>
      <c r="K20" s="63">
        <v>46</v>
      </c>
      <c r="L20" s="64">
        <v>3.5000000000000001E-3</v>
      </c>
      <c r="M20" s="64">
        <v>4.3E-3</v>
      </c>
      <c r="N20" s="142" t="s">
        <v>329</v>
      </c>
      <c r="O20" s="61">
        <v>385386741.42000002</v>
      </c>
      <c r="P20" s="62">
        <f t="shared" si="1"/>
        <v>1.5821500533144987E-3</v>
      </c>
      <c r="Q20" s="142" t="s">
        <v>329</v>
      </c>
      <c r="R20" s="61">
        <v>2.91</v>
      </c>
      <c r="S20" s="142" t="s">
        <v>329</v>
      </c>
      <c r="T20" s="61">
        <v>2.94</v>
      </c>
      <c r="U20" s="63">
        <v>47</v>
      </c>
      <c r="V20" s="64">
        <v>2.4400000000000002E-2</v>
      </c>
      <c r="W20" s="64">
        <v>4.7000000000000002E-3</v>
      </c>
      <c r="X20" s="158">
        <f t="shared" si="2"/>
        <v>8.0005630747860448E-2</v>
      </c>
      <c r="Y20" s="158">
        <f t="shared" si="3"/>
        <v>2.4390243902438966E-2</v>
      </c>
      <c r="Z20" s="158">
        <f t="shared" si="4"/>
        <v>2.1739130434782608E-2</v>
      </c>
      <c r="AA20" s="156">
        <f t="shared" si="5"/>
        <v>2.0900000000000002E-2</v>
      </c>
      <c r="AB20" s="157">
        <f t="shared" si="6"/>
        <v>4.0000000000000018E-4</v>
      </c>
      <c r="AD20" s="40"/>
      <c r="AE20" s="40"/>
    </row>
    <row r="21" spans="1:33">
      <c r="A21" s="222">
        <v>16</v>
      </c>
      <c r="B21" s="55" t="s">
        <v>43</v>
      </c>
      <c r="C21" s="56" t="s">
        <v>44</v>
      </c>
      <c r="D21" s="142" t="s">
        <v>329</v>
      </c>
      <c r="E21" s="68">
        <v>22466774372</v>
      </c>
      <c r="F21" s="62">
        <f t="shared" si="0"/>
        <v>9.5198193552065574E-2</v>
      </c>
      <c r="G21" s="142" t="s">
        <v>329</v>
      </c>
      <c r="H21" s="61">
        <v>70.39</v>
      </c>
      <c r="I21" s="142" t="s">
        <v>329</v>
      </c>
      <c r="J21" s="61">
        <v>70.459999999999994</v>
      </c>
      <c r="K21" s="63">
        <v>20777</v>
      </c>
      <c r="L21" s="64">
        <v>1.9699999999999999E-2</v>
      </c>
      <c r="M21" s="64">
        <v>0.54749999999999999</v>
      </c>
      <c r="N21" s="142" t="s">
        <v>329</v>
      </c>
      <c r="O21" s="68">
        <v>23195975661</v>
      </c>
      <c r="P21" s="62">
        <f t="shared" si="1"/>
        <v>9.5227754835336451E-2</v>
      </c>
      <c r="Q21" s="142" t="s">
        <v>329</v>
      </c>
      <c r="R21" s="61">
        <v>72.33</v>
      </c>
      <c r="S21" s="142" t="s">
        <v>329</v>
      </c>
      <c r="T21" s="61">
        <v>72.430000000000007</v>
      </c>
      <c r="U21" s="63">
        <v>20955</v>
      </c>
      <c r="V21" s="64">
        <v>4.2799999999999998E-2</v>
      </c>
      <c r="W21" s="64">
        <v>0.59030000000000005</v>
      </c>
      <c r="X21" s="158">
        <f t="shared" si="2"/>
        <v>3.2456875069204083E-2</v>
      </c>
      <c r="Y21" s="158">
        <f t="shared" si="3"/>
        <v>2.7959125745103793E-2</v>
      </c>
      <c r="Z21" s="158">
        <f t="shared" si="4"/>
        <v>8.567165615825191E-3</v>
      </c>
      <c r="AA21" s="156">
        <f t="shared" si="5"/>
        <v>2.3099999999999999E-2</v>
      </c>
      <c r="AB21" s="157">
        <f t="shared" si="6"/>
        <v>4.280000000000006E-2</v>
      </c>
    </row>
    <row r="22" spans="1:33" ht="12.75" customHeight="1">
      <c r="A22" s="218">
        <v>17</v>
      </c>
      <c r="B22" s="55" t="s">
        <v>45</v>
      </c>
      <c r="C22" s="56" t="s">
        <v>46</v>
      </c>
      <c r="D22" s="142" t="s">
        <v>329</v>
      </c>
      <c r="E22" s="61">
        <v>4423394817.2399998</v>
      </c>
      <c r="F22" s="62">
        <f t="shared" si="0"/>
        <v>1.8743197799396906E-2</v>
      </c>
      <c r="G22" s="142" t="s">
        <v>329</v>
      </c>
      <c r="H22" s="61">
        <v>16800.55</v>
      </c>
      <c r="I22" s="142" t="s">
        <v>329</v>
      </c>
      <c r="J22" s="61">
        <v>17052.060000000001</v>
      </c>
      <c r="K22" s="63">
        <v>88</v>
      </c>
      <c r="L22" s="64">
        <v>9.7000000000000003E-3</v>
      </c>
      <c r="M22" s="64">
        <v>0.32579999999999998</v>
      </c>
      <c r="N22" s="142" t="s">
        <v>329</v>
      </c>
      <c r="O22" s="61">
        <v>4602968874.2799997</v>
      </c>
      <c r="P22" s="62">
        <f t="shared" si="1"/>
        <v>1.8896829255240024E-2</v>
      </c>
      <c r="Q22" s="142" t="s">
        <v>329</v>
      </c>
      <c r="R22" s="61">
        <v>17683.27</v>
      </c>
      <c r="S22" s="142" t="s">
        <v>329</v>
      </c>
      <c r="T22" s="61">
        <v>17948.25</v>
      </c>
      <c r="U22" s="63">
        <v>87</v>
      </c>
      <c r="V22" s="64">
        <v>5.2600000000000001E-2</v>
      </c>
      <c r="W22" s="64">
        <v>0.39550000000000002</v>
      </c>
      <c r="X22" s="158">
        <f t="shared" si="2"/>
        <v>4.0596434290721108E-2</v>
      </c>
      <c r="Y22" s="158">
        <f t="shared" si="3"/>
        <v>5.2556113454913872E-2</v>
      </c>
      <c r="Z22" s="158">
        <f t="shared" si="4"/>
        <v>-1.1363636363636364E-2</v>
      </c>
      <c r="AA22" s="156">
        <f t="shared" si="5"/>
        <v>4.2900000000000001E-2</v>
      </c>
      <c r="AB22" s="157">
        <f t="shared" si="6"/>
        <v>6.970000000000004E-2</v>
      </c>
      <c r="AD22" s="40"/>
    </row>
    <row r="23" spans="1:33">
      <c r="A23" s="222">
        <v>18</v>
      </c>
      <c r="B23" s="55" t="s">
        <v>47</v>
      </c>
      <c r="C23" s="56" t="s">
        <v>46</v>
      </c>
      <c r="D23" s="142" t="s">
        <v>329</v>
      </c>
      <c r="E23" s="61">
        <v>67793860933.730003</v>
      </c>
      <c r="F23" s="62">
        <f t="shared" si="0"/>
        <v>0.28726211373068244</v>
      </c>
      <c r="G23" s="142" t="s">
        <v>329</v>
      </c>
      <c r="H23" s="61">
        <v>60408.76</v>
      </c>
      <c r="I23" s="142" t="s">
        <v>329</v>
      </c>
      <c r="J23" s="61">
        <v>61184.639999999999</v>
      </c>
      <c r="K23" s="63">
        <v>33974</v>
      </c>
      <c r="L23" s="64">
        <v>-3.3E-3</v>
      </c>
      <c r="M23" s="64">
        <v>0.4138</v>
      </c>
      <c r="N23" s="142" t="s">
        <v>329</v>
      </c>
      <c r="O23" s="61">
        <v>69690161663.399994</v>
      </c>
      <c r="P23" s="62">
        <f t="shared" si="1"/>
        <v>0.28610297433943394</v>
      </c>
      <c r="Q23" s="142" t="s">
        <v>329</v>
      </c>
      <c r="R23" s="61">
        <v>62212.6</v>
      </c>
      <c r="S23" s="142" t="s">
        <v>329</v>
      </c>
      <c r="T23" s="61">
        <v>63032.36</v>
      </c>
      <c r="U23" s="63">
        <v>34278</v>
      </c>
      <c r="V23" s="64">
        <v>3.0200000000000001E-2</v>
      </c>
      <c r="W23" s="64">
        <v>0.45650000000000002</v>
      </c>
      <c r="X23" s="158">
        <f t="shared" si="2"/>
        <v>2.7971570044132262E-2</v>
      </c>
      <c r="Y23" s="158">
        <f t="shared" si="3"/>
        <v>3.019908264557904E-2</v>
      </c>
      <c r="Z23" s="158">
        <f t="shared" si="4"/>
        <v>8.9480190734090772E-3</v>
      </c>
      <c r="AA23" s="156">
        <f t="shared" si="5"/>
        <v>3.3500000000000002E-2</v>
      </c>
      <c r="AB23" s="157">
        <f t="shared" si="6"/>
        <v>4.2700000000000016E-2</v>
      </c>
    </row>
    <row r="24" spans="1:33">
      <c r="A24" s="218">
        <v>19</v>
      </c>
      <c r="B24" s="56" t="s">
        <v>48</v>
      </c>
      <c r="C24" s="56" t="s">
        <v>49</v>
      </c>
      <c r="D24" s="142" t="s">
        <v>329</v>
      </c>
      <c r="E24" s="61">
        <v>16961195127.67</v>
      </c>
      <c r="F24" s="62">
        <f t="shared" si="0"/>
        <v>7.1869468660824998E-2</v>
      </c>
      <c r="G24" s="142" t="s">
        <v>329</v>
      </c>
      <c r="H24" s="61">
        <v>2.3974099999999998</v>
      </c>
      <c r="I24" s="142" t="s">
        <v>329</v>
      </c>
      <c r="J24" s="69">
        <v>2.42171</v>
      </c>
      <c r="K24" s="63">
        <v>10086</v>
      </c>
      <c r="L24" s="64">
        <v>6.8999999999999999E-3</v>
      </c>
      <c r="M24" s="64">
        <v>0.43219999999999997</v>
      </c>
      <c r="N24" s="142" t="s">
        <v>329</v>
      </c>
      <c r="O24" s="61">
        <v>17403898036.150002</v>
      </c>
      <c r="P24" s="62">
        <f t="shared" si="1"/>
        <v>7.1449209965856492E-2</v>
      </c>
      <c r="Q24" s="142" t="s">
        <v>329</v>
      </c>
      <c r="R24" s="61">
        <v>2.4485999999999999</v>
      </c>
      <c r="S24" s="142" t="s">
        <v>329</v>
      </c>
      <c r="T24" s="69">
        <v>2.4731000000000001</v>
      </c>
      <c r="U24" s="63">
        <v>10296</v>
      </c>
      <c r="V24" s="64">
        <v>2.1399999999999999E-2</v>
      </c>
      <c r="W24" s="64">
        <v>0.46239999999999998</v>
      </c>
      <c r="X24" s="158">
        <f t="shared" ref="X24:X25" si="12">((O24-E24)/E24)</f>
        <v>2.610092656488509E-2</v>
      </c>
      <c r="Y24" s="158">
        <f t="shared" ref="Y24:Y25" si="13">((T24-J24)/J24)</f>
        <v>2.1220542509218711E-2</v>
      </c>
      <c r="Z24" s="158">
        <f t="shared" ref="Z24:Z25" si="14">((U24-K24)/K24)</f>
        <v>2.0820939916716241E-2</v>
      </c>
      <c r="AA24" s="156">
        <f t="shared" ref="AA24:AA25" si="15">V24-L24</f>
        <v>1.4499999999999999E-2</v>
      </c>
      <c r="AB24" s="157">
        <f t="shared" ref="AB24:AB25" si="16">W24-M24</f>
        <v>3.0200000000000005E-2</v>
      </c>
      <c r="AD24" s="199"/>
      <c r="AE24" s="195"/>
    </row>
    <row r="25" spans="1:33">
      <c r="A25" s="218">
        <v>20</v>
      </c>
      <c r="B25" s="55" t="s">
        <v>302</v>
      </c>
      <c r="C25" s="56" t="s">
        <v>119</v>
      </c>
      <c r="D25" s="142" t="s">
        <v>329</v>
      </c>
      <c r="E25" s="61">
        <v>9251431722.6599998</v>
      </c>
      <c r="F25" s="62">
        <f t="shared" si="0"/>
        <v>3.9200980665258893E-2</v>
      </c>
      <c r="G25" s="142" t="s">
        <v>329</v>
      </c>
      <c r="H25" s="61">
        <v>1.89</v>
      </c>
      <c r="I25" s="142" t="s">
        <v>329</v>
      </c>
      <c r="J25" s="69">
        <v>1.92</v>
      </c>
      <c r="K25" s="63">
        <v>5479</v>
      </c>
      <c r="L25" s="64">
        <v>-5.4999999999999997E-3</v>
      </c>
      <c r="M25" s="64">
        <v>0.86309999999999998</v>
      </c>
      <c r="N25" s="142" t="s">
        <v>329</v>
      </c>
      <c r="O25" s="61">
        <v>10315387654.08</v>
      </c>
      <c r="P25" s="62">
        <f t="shared" si="1"/>
        <v>4.2348346148930141E-2</v>
      </c>
      <c r="Q25" s="142" t="s">
        <v>329</v>
      </c>
      <c r="R25" s="61">
        <v>1.96</v>
      </c>
      <c r="S25" s="142" t="s">
        <v>329</v>
      </c>
      <c r="T25" s="69">
        <v>1.98</v>
      </c>
      <c r="U25" s="63">
        <v>5710</v>
      </c>
      <c r="V25" s="64">
        <v>3.3500000000000002E-2</v>
      </c>
      <c r="W25" s="64">
        <v>0.92530000000000001</v>
      </c>
      <c r="X25" s="158">
        <f t="shared" si="12"/>
        <v>0.11500446237029442</v>
      </c>
      <c r="Y25" s="158">
        <f t="shared" si="13"/>
        <v>3.1250000000000028E-2</v>
      </c>
      <c r="Z25" s="158">
        <f t="shared" si="14"/>
        <v>4.216097828070816E-2</v>
      </c>
      <c r="AA25" s="156">
        <f t="shared" si="15"/>
        <v>3.9E-2</v>
      </c>
      <c r="AB25" s="157">
        <f t="shared" si="16"/>
        <v>6.2200000000000033E-2</v>
      </c>
      <c r="AD25" s="40"/>
      <c r="AE25" s="40"/>
      <c r="AF25" s="40"/>
      <c r="AG25" s="40"/>
    </row>
    <row r="26" spans="1:33">
      <c r="A26" s="218">
        <v>21</v>
      </c>
      <c r="B26" s="56" t="s">
        <v>50</v>
      </c>
      <c r="C26" s="56" t="s">
        <v>51</v>
      </c>
      <c r="D26" s="142" t="s">
        <v>329</v>
      </c>
      <c r="E26" s="61">
        <v>23348497806.189999</v>
      </c>
      <c r="F26" s="62">
        <f t="shared" si="0"/>
        <v>9.8934309683272312E-2</v>
      </c>
      <c r="G26" s="142" t="s">
        <v>329</v>
      </c>
      <c r="H26" s="61">
        <v>345.09</v>
      </c>
      <c r="I26" s="142" t="s">
        <v>329</v>
      </c>
      <c r="J26" s="69">
        <v>350.91</v>
      </c>
      <c r="K26" s="63">
        <v>188</v>
      </c>
      <c r="L26" s="64">
        <v>2.0799999999999999E-2</v>
      </c>
      <c r="M26" s="64">
        <v>0.63380000000000003</v>
      </c>
      <c r="N26" s="142" t="s">
        <v>329</v>
      </c>
      <c r="O26" s="61">
        <v>23985407784.330002</v>
      </c>
      <c r="P26" s="62">
        <f t="shared" si="1"/>
        <v>9.8468655317311152E-2</v>
      </c>
      <c r="Q26" s="142" t="s">
        <v>329</v>
      </c>
      <c r="R26" s="61">
        <v>355.46</v>
      </c>
      <c r="S26" s="142" t="s">
        <v>329</v>
      </c>
      <c r="T26" s="69">
        <v>361.49</v>
      </c>
      <c r="U26" s="63">
        <v>188</v>
      </c>
      <c r="V26" s="64">
        <v>3.0099999999999998E-2</v>
      </c>
      <c r="W26" s="64">
        <v>0.68300000000000005</v>
      </c>
      <c r="X26" s="158">
        <f t="shared" si="2"/>
        <v>2.7278413516228433E-2</v>
      </c>
      <c r="Y26" s="158">
        <f t="shared" si="3"/>
        <v>3.0150180958080371E-2</v>
      </c>
      <c r="Z26" s="158">
        <f t="shared" si="4"/>
        <v>0</v>
      </c>
      <c r="AA26" s="156">
        <f t="shared" si="5"/>
        <v>9.2999999999999992E-3</v>
      </c>
      <c r="AB26" s="157">
        <f t="shared" si="6"/>
        <v>4.9200000000000021E-2</v>
      </c>
      <c r="AD26" s="40"/>
      <c r="AE26" s="40"/>
    </row>
    <row r="27" spans="1:33">
      <c r="B27" s="70"/>
      <c r="C27" s="71" t="s">
        <v>52</v>
      </c>
      <c r="D27" s="116" t="s">
        <v>329</v>
      </c>
      <c r="E27" s="72">
        <f>SUM(E6:E26)</f>
        <v>236000007287.03455</v>
      </c>
      <c r="F27" s="73">
        <f>(E27/$E$241)</f>
        <v>2.5241046207222239E-2</v>
      </c>
      <c r="G27" s="142"/>
      <c r="H27" s="74"/>
      <c r="I27" s="74"/>
      <c r="J27" s="75"/>
      <c r="K27" s="76">
        <f>SUM(K6:K26)</f>
        <v>117812</v>
      </c>
      <c r="L27" s="77"/>
      <c r="M27" s="63">
        <v>0</v>
      </c>
      <c r="N27" s="142" t="s">
        <v>329</v>
      </c>
      <c r="O27" s="72">
        <f>SUM(O6:O26)</f>
        <v>243584191406.27057</v>
      </c>
      <c r="P27" s="73">
        <f>(O27/$O$241)</f>
        <v>2.599074791254603E-2</v>
      </c>
      <c r="Q27" s="144"/>
      <c r="R27" s="74"/>
      <c r="S27" s="74"/>
      <c r="T27" s="75"/>
      <c r="U27" s="76">
        <f>SUM(U6:U26)</f>
        <v>119421</v>
      </c>
      <c r="V27" s="77"/>
      <c r="W27" s="76"/>
      <c r="X27" s="158">
        <f t="shared" si="2"/>
        <v>3.2136372394310032E-2</v>
      </c>
      <c r="Y27" s="158" t="e">
        <f t="shared" si="3"/>
        <v>#DIV/0!</v>
      </c>
      <c r="Z27" s="158">
        <f t="shared" si="4"/>
        <v>1.365735239194649E-2</v>
      </c>
      <c r="AA27" s="156">
        <f t="shared" si="5"/>
        <v>0</v>
      </c>
      <c r="AB27" s="157">
        <f t="shared" si="6"/>
        <v>0</v>
      </c>
    </row>
    <row r="28" spans="1:33" ht="4.5" customHeight="1">
      <c r="B28" s="226"/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26"/>
      <c r="Z28" s="226"/>
      <c r="AA28" s="226"/>
      <c r="AB28" s="226"/>
    </row>
    <row r="29" spans="1:33" ht="15" customHeight="1">
      <c r="A29" s="162"/>
      <c r="B29" s="230"/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</row>
    <row r="30" spans="1:33" ht="16.8" customHeight="1">
      <c r="A30" s="217">
        <v>22</v>
      </c>
      <c r="B30" s="55" t="s">
        <v>54</v>
      </c>
      <c r="C30" s="56" t="s">
        <v>19</v>
      </c>
      <c r="D30" s="142" t="s">
        <v>329</v>
      </c>
      <c r="E30" s="78">
        <v>6724823163.1800003</v>
      </c>
      <c r="F30" s="62">
        <f>(E30/$O$78)</f>
        <v>1.0762544873753139E-3</v>
      </c>
      <c r="G30" s="142" t="s">
        <v>329</v>
      </c>
      <c r="H30" s="69">
        <v>100</v>
      </c>
      <c r="I30" s="142" t="s">
        <v>329</v>
      </c>
      <c r="J30" s="69">
        <v>100</v>
      </c>
      <c r="K30" s="63">
        <v>926</v>
      </c>
      <c r="L30" s="64">
        <v>0.14599999999999999</v>
      </c>
      <c r="M30" s="64">
        <v>0.14599999999999999</v>
      </c>
      <c r="N30" s="142" t="s">
        <v>329</v>
      </c>
      <c r="O30" s="78">
        <v>6676532545.1800003</v>
      </c>
      <c r="P30" s="62">
        <f t="shared" ref="P30:P37" si="17">(O30/$O$78)</f>
        <v>1.0685259578572157E-3</v>
      </c>
      <c r="Q30" s="142" t="s">
        <v>329</v>
      </c>
      <c r="R30" s="69">
        <v>100</v>
      </c>
      <c r="S30" s="142" t="s">
        <v>329</v>
      </c>
      <c r="T30" s="69">
        <v>100</v>
      </c>
      <c r="U30" s="63">
        <v>926</v>
      </c>
      <c r="V30" s="64">
        <v>0.14599999999999999</v>
      </c>
      <c r="W30" s="64">
        <v>0.14599999999999999</v>
      </c>
      <c r="X30" s="158">
        <f>((O30-E30)/E30)</f>
        <v>-7.1809498671136177E-3</v>
      </c>
      <c r="Y30" s="158">
        <f>((T30-J30)/J30)</f>
        <v>0</v>
      </c>
      <c r="Z30" s="158">
        <f>((U30-K30)/K30)</f>
        <v>0</v>
      </c>
      <c r="AA30" s="158">
        <f>V30-L30</f>
        <v>0</v>
      </c>
      <c r="AB30" s="159">
        <f>W30-M30</f>
        <v>0</v>
      </c>
    </row>
    <row r="31" spans="1:33" ht="15.6">
      <c r="A31" s="217">
        <v>23</v>
      </c>
      <c r="B31" s="55" t="s">
        <v>55</v>
      </c>
      <c r="C31" s="56" t="s">
        <v>56</v>
      </c>
      <c r="D31" s="142" t="s">
        <v>329</v>
      </c>
      <c r="E31" s="78">
        <v>46564459237.940002</v>
      </c>
      <c r="F31" s="62">
        <f>(E31/$O$78)</f>
        <v>7.4522715305631307E-3</v>
      </c>
      <c r="G31" s="142" t="s">
        <v>329</v>
      </c>
      <c r="H31" s="69">
        <v>100</v>
      </c>
      <c r="I31" s="142" t="s">
        <v>329</v>
      </c>
      <c r="J31" s="69">
        <v>100</v>
      </c>
      <c r="K31" s="63">
        <v>5337</v>
      </c>
      <c r="L31" s="64">
        <v>0.174183</v>
      </c>
      <c r="M31" s="64">
        <v>0.174183</v>
      </c>
      <c r="N31" s="142" t="s">
        <v>329</v>
      </c>
      <c r="O31" s="78">
        <v>46741018239.980003</v>
      </c>
      <c r="P31" s="62">
        <f t="shared" si="17"/>
        <v>7.4805283952599569E-3</v>
      </c>
      <c r="Q31" s="142" t="s">
        <v>329</v>
      </c>
      <c r="R31" s="69">
        <v>100</v>
      </c>
      <c r="S31" s="142" t="s">
        <v>329</v>
      </c>
      <c r="T31" s="69">
        <v>100</v>
      </c>
      <c r="U31" s="63">
        <v>5382</v>
      </c>
      <c r="V31" s="64">
        <v>0.174565</v>
      </c>
      <c r="W31" s="64">
        <v>0.174565</v>
      </c>
      <c r="X31" s="158">
        <f t="shared" ref="X31:X78" si="18">((O31-E31)/E31)</f>
        <v>3.7917116386512947E-3</v>
      </c>
      <c r="Y31" s="158">
        <f t="shared" ref="Y31:Y78" si="19">((T31-J31)/J31)</f>
        <v>0</v>
      </c>
      <c r="Z31" s="158">
        <f t="shared" ref="Z31:Z78" si="20">((U31-K31)/K31)</f>
        <v>8.4317032040472171E-3</v>
      </c>
      <c r="AA31" s="156">
        <f t="shared" ref="AA31:AA78" si="21">V31-L31</f>
        <v>3.8199999999999346E-4</v>
      </c>
      <c r="AB31" s="157">
        <f t="shared" ref="AB31:AB78" si="22">W31-M31</f>
        <v>3.8199999999999346E-4</v>
      </c>
      <c r="AD31" s="141"/>
    </row>
    <row r="32" spans="1:33">
      <c r="A32" s="217">
        <v>24</v>
      </c>
      <c r="B32" s="55" t="s">
        <v>311</v>
      </c>
      <c r="C32" s="56" t="s">
        <v>310</v>
      </c>
      <c r="D32" s="142" t="s">
        <v>329</v>
      </c>
      <c r="E32" s="78">
        <v>2280812224.77</v>
      </c>
      <c r="F32" s="62">
        <f>(E32/$O$78)</f>
        <v>3.6502586494904993E-4</v>
      </c>
      <c r="G32" s="142" t="s">
        <v>329</v>
      </c>
      <c r="H32" s="69">
        <v>1</v>
      </c>
      <c r="I32" s="142" t="s">
        <v>329</v>
      </c>
      <c r="J32" s="69">
        <v>1</v>
      </c>
      <c r="K32" s="63">
        <v>243</v>
      </c>
      <c r="L32" s="64">
        <v>0.18729999999999999</v>
      </c>
      <c r="M32" s="64">
        <v>0.18729999999999999</v>
      </c>
      <c r="N32" s="142" t="s">
        <v>329</v>
      </c>
      <c r="O32" s="78">
        <v>2330371883.0999999</v>
      </c>
      <c r="P32" s="62">
        <f t="shared" si="17"/>
        <v>3.7295749428355678E-4</v>
      </c>
      <c r="Q32" s="142" t="s">
        <v>329</v>
      </c>
      <c r="R32" s="69">
        <v>1</v>
      </c>
      <c r="S32" s="142" t="s">
        <v>329</v>
      </c>
      <c r="T32" s="69">
        <v>1</v>
      </c>
      <c r="U32" s="63">
        <v>245</v>
      </c>
      <c r="V32" s="64">
        <v>0.18920000000000001</v>
      </c>
      <c r="W32" s="64">
        <v>0.18920000000000001</v>
      </c>
      <c r="X32" s="158">
        <f t="shared" ref="X32" si="23">((O32-E32)/E32)</f>
        <v>2.1728951551457765E-2</v>
      </c>
      <c r="Y32" s="158">
        <f t="shared" ref="Y32" si="24">((T32-J32)/J32)</f>
        <v>0</v>
      </c>
      <c r="Z32" s="158">
        <f t="shared" ref="Z32" si="25">((U32-K32)/K32)</f>
        <v>8.23045267489712E-3</v>
      </c>
      <c r="AA32" s="156">
        <f t="shared" ref="AA32" si="26">V32-L32</f>
        <v>1.9000000000000128E-3</v>
      </c>
      <c r="AB32" s="157">
        <f t="shared" ref="AB32" si="27">W32-M32</f>
        <v>1.9000000000000128E-3</v>
      </c>
    </row>
    <row r="33" spans="1:28">
      <c r="A33" s="217">
        <v>25</v>
      </c>
      <c r="B33" s="55" t="s">
        <v>57</v>
      </c>
      <c r="C33" s="56" t="s">
        <v>21</v>
      </c>
      <c r="D33" s="142" t="s">
        <v>329</v>
      </c>
      <c r="E33" s="78">
        <v>3968810411.9699998</v>
      </c>
      <c r="F33" s="62">
        <f>(E33/$O$78)</f>
        <v>6.3517655584042435E-4</v>
      </c>
      <c r="G33" s="142" t="s">
        <v>329</v>
      </c>
      <c r="H33" s="69">
        <v>100</v>
      </c>
      <c r="I33" s="142" t="s">
        <v>329</v>
      </c>
      <c r="J33" s="69">
        <v>100</v>
      </c>
      <c r="K33" s="63">
        <v>2689</v>
      </c>
      <c r="L33" s="64">
        <v>0.15659999999999999</v>
      </c>
      <c r="M33" s="64">
        <v>0.15659999999999999</v>
      </c>
      <c r="N33" s="142" t="s">
        <v>329</v>
      </c>
      <c r="O33" s="78">
        <v>3916419133.96</v>
      </c>
      <c r="P33" s="62">
        <f t="shared" si="17"/>
        <v>6.2679174828647729E-4</v>
      </c>
      <c r="Q33" s="142" t="s">
        <v>329</v>
      </c>
      <c r="R33" s="69">
        <v>100</v>
      </c>
      <c r="S33" s="142" t="s">
        <v>329</v>
      </c>
      <c r="T33" s="69">
        <v>100</v>
      </c>
      <c r="U33" s="63">
        <v>2705</v>
      </c>
      <c r="V33" s="64">
        <v>0.1633</v>
      </c>
      <c r="W33" s="64">
        <v>0.1633</v>
      </c>
      <c r="X33" s="158">
        <f t="shared" si="18"/>
        <v>-1.3200750998835007E-2</v>
      </c>
      <c r="Y33" s="158">
        <f t="shared" si="19"/>
        <v>0</v>
      </c>
      <c r="Z33" s="158">
        <f t="shared" si="20"/>
        <v>5.9501673484566751E-3</v>
      </c>
      <c r="AA33" s="156">
        <f t="shared" si="21"/>
        <v>6.7000000000000115E-3</v>
      </c>
      <c r="AB33" s="157">
        <f t="shared" si="22"/>
        <v>6.7000000000000115E-3</v>
      </c>
    </row>
    <row r="34" spans="1:28">
      <c r="A34" s="217">
        <v>26</v>
      </c>
      <c r="B34" s="55" t="s">
        <v>307</v>
      </c>
      <c r="C34" s="56" t="s">
        <v>308</v>
      </c>
      <c r="D34" s="142" t="s">
        <v>329</v>
      </c>
      <c r="E34" s="78">
        <v>1504642367.26</v>
      </c>
      <c r="F34" s="62">
        <v>0</v>
      </c>
      <c r="G34" s="142" t="s">
        <v>329</v>
      </c>
      <c r="H34" s="69">
        <v>100</v>
      </c>
      <c r="I34" s="142" t="s">
        <v>329</v>
      </c>
      <c r="J34" s="69">
        <v>100</v>
      </c>
      <c r="K34" s="63">
        <v>187</v>
      </c>
      <c r="L34" s="64">
        <v>0.180204</v>
      </c>
      <c r="M34" s="64">
        <v>0.180204</v>
      </c>
      <c r="N34" s="142" t="s">
        <v>329</v>
      </c>
      <c r="O34" s="78">
        <v>1532925965.77</v>
      </c>
      <c r="P34" s="62">
        <f t="shared" si="17"/>
        <v>2.4533261461910942E-4</v>
      </c>
      <c r="Q34" s="142" t="s">
        <v>329</v>
      </c>
      <c r="R34" s="69">
        <v>100</v>
      </c>
      <c r="S34" s="142" t="s">
        <v>329</v>
      </c>
      <c r="T34" s="69">
        <v>100</v>
      </c>
      <c r="U34" s="63">
        <v>189</v>
      </c>
      <c r="V34" s="64">
        <v>0.18404100000000001</v>
      </c>
      <c r="W34" s="64">
        <v>0.18404100000000001</v>
      </c>
      <c r="X34" s="158">
        <f t="shared" ref="X34" si="28">((O34-E34)/E34)</f>
        <v>1.8797555568972377E-2</v>
      </c>
      <c r="Y34" s="158">
        <f t="shared" ref="Y34" si="29">((T34-J34)/J34)</f>
        <v>0</v>
      </c>
      <c r="Z34" s="158">
        <f t="shared" ref="Z34" si="30">((U34-K34)/K34)</f>
        <v>1.06951871657754E-2</v>
      </c>
      <c r="AA34" s="156">
        <f t="shared" ref="AA34" si="31">V34-L34</f>
        <v>3.8370000000000071E-3</v>
      </c>
      <c r="AB34" s="157">
        <f t="shared" ref="AB34" si="32">W34-M34</f>
        <v>3.8370000000000071E-3</v>
      </c>
    </row>
    <row r="35" spans="1:28">
      <c r="A35" s="219">
        <v>27</v>
      </c>
      <c r="B35" s="55" t="s">
        <v>58</v>
      </c>
      <c r="C35" s="56" t="s">
        <v>23</v>
      </c>
      <c r="D35" s="142" t="s">
        <v>329</v>
      </c>
      <c r="E35" s="78">
        <v>436152740415.53003</v>
      </c>
      <c r="F35" s="62">
        <f>(E35/$O$78)</f>
        <v>6.9802778848281524E-2</v>
      </c>
      <c r="G35" s="142" t="s">
        <v>329</v>
      </c>
      <c r="H35" s="69">
        <v>1</v>
      </c>
      <c r="I35" s="142" t="s">
        <v>329</v>
      </c>
      <c r="J35" s="69">
        <v>1</v>
      </c>
      <c r="K35" s="63">
        <v>87595</v>
      </c>
      <c r="L35" s="64">
        <v>0.1686</v>
      </c>
      <c r="M35" s="64">
        <v>0.1686</v>
      </c>
      <c r="N35" s="142" t="s">
        <v>329</v>
      </c>
      <c r="O35" s="78">
        <v>438899481495.53998</v>
      </c>
      <c r="P35" s="62">
        <f t="shared" si="17"/>
        <v>7.0242372922547258E-2</v>
      </c>
      <c r="Q35" s="142" t="s">
        <v>329</v>
      </c>
      <c r="R35" s="69">
        <v>1</v>
      </c>
      <c r="S35" s="142" t="s">
        <v>329</v>
      </c>
      <c r="T35" s="69">
        <v>1</v>
      </c>
      <c r="U35" s="63">
        <v>87747</v>
      </c>
      <c r="V35" s="64">
        <v>0.16889999999999999</v>
      </c>
      <c r="W35" s="64">
        <v>0.16889999999999999</v>
      </c>
      <c r="X35" s="158">
        <f t="shared" si="18"/>
        <v>6.2976586536933887E-3</v>
      </c>
      <c r="Y35" s="158">
        <f t="shared" si="19"/>
        <v>0</v>
      </c>
      <c r="Z35" s="158">
        <f t="shared" si="20"/>
        <v>1.7352588618071807E-3</v>
      </c>
      <c r="AA35" s="156">
        <f t="shared" si="21"/>
        <v>2.9999999999999472E-4</v>
      </c>
      <c r="AB35" s="157">
        <f t="shared" si="22"/>
        <v>2.9999999999999472E-4</v>
      </c>
    </row>
    <row r="36" spans="1:28">
      <c r="A36" s="219">
        <v>28</v>
      </c>
      <c r="B36" s="55" t="s">
        <v>59</v>
      </c>
      <c r="C36" s="56" t="s">
        <v>60</v>
      </c>
      <c r="D36" s="142" t="s">
        <v>329</v>
      </c>
      <c r="E36" s="78">
        <v>2111187767.5699999</v>
      </c>
      <c r="F36" s="62">
        <f>(E36/$O$78)</f>
        <v>3.3787881902676363E-4</v>
      </c>
      <c r="G36" s="142" t="s">
        <v>329</v>
      </c>
      <c r="H36" s="69">
        <v>1</v>
      </c>
      <c r="I36" s="142" t="s">
        <v>329</v>
      </c>
      <c r="J36" s="69">
        <v>1</v>
      </c>
      <c r="K36" s="63">
        <v>433</v>
      </c>
      <c r="L36" s="64">
        <v>0.17499999999999999</v>
      </c>
      <c r="M36" s="64">
        <v>0.17499999999999999</v>
      </c>
      <c r="N36" s="142" t="s">
        <v>329</v>
      </c>
      <c r="O36" s="78">
        <v>2336089796.3000002</v>
      </c>
      <c r="P36" s="62">
        <f t="shared" si="17"/>
        <v>3.7387260083589219E-4</v>
      </c>
      <c r="Q36" s="142" t="s">
        <v>329</v>
      </c>
      <c r="R36" s="69">
        <v>1</v>
      </c>
      <c r="S36" s="142" t="s">
        <v>329</v>
      </c>
      <c r="T36" s="69">
        <v>1</v>
      </c>
      <c r="U36" s="63">
        <v>441</v>
      </c>
      <c r="V36" s="64">
        <v>0.17100000000000001</v>
      </c>
      <c r="W36" s="64">
        <v>0.17100000000000001</v>
      </c>
      <c r="X36" s="158">
        <f t="shared" si="18"/>
        <v>0.10652867176701433</v>
      </c>
      <c r="Y36" s="158">
        <f t="shared" si="19"/>
        <v>0</v>
      </c>
      <c r="Z36" s="158">
        <f t="shared" si="20"/>
        <v>1.8475750577367205E-2</v>
      </c>
      <c r="AA36" s="156">
        <f t="shared" si="21"/>
        <v>-3.9999999999999758E-3</v>
      </c>
      <c r="AB36" s="157">
        <f t="shared" si="22"/>
        <v>-3.9999999999999758E-3</v>
      </c>
    </row>
    <row r="37" spans="1:28">
      <c r="A37" s="219">
        <v>29</v>
      </c>
      <c r="B37" s="55" t="s">
        <v>61</v>
      </c>
      <c r="C37" s="56" t="s">
        <v>25</v>
      </c>
      <c r="D37" s="142" t="s">
        <v>329</v>
      </c>
      <c r="E37" s="78">
        <v>181761656857.39001</v>
      </c>
      <c r="F37" s="62">
        <f>(E37/$O$78)</f>
        <v>2.9089508241140628E-2</v>
      </c>
      <c r="G37" s="142" t="s">
        <v>329</v>
      </c>
      <c r="H37" s="69">
        <v>1</v>
      </c>
      <c r="I37" s="142" t="s">
        <v>329</v>
      </c>
      <c r="J37" s="69">
        <v>1</v>
      </c>
      <c r="K37" s="63">
        <v>41517</v>
      </c>
      <c r="L37" s="64">
        <v>0.15620000000000001</v>
      </c>
      <c r="M37" s="64">
        <v>0.15620000000000001</v>
      </c>
      <c r="N37" s="142" t="s">
        <v>329</v>
      </c>
      <c r="O37" s="78">
        <v>180021877304.47</v>
      </c>
      <c r="P37" s="62">
        <f t="shared" si="17"/>
        <v>2.8811070354308736E-2</v>
      </c>
      <c r="Q37" s="142" t="s">
        <v>329</v>
      </c>
      <c r="R37" s="69">
        <v>1</v>
      </c>
      <c r="S37" s="142" t="s">
        <v>329</v>
      </c>
      <c r="T37" s="69">
        <v>1</v>
      </c>
      <c r="U37" s="63">
        <v>41647</v>
      </c>
      <c r="V37" s="64">
        <v>0.15609999999999999</v>
      </c>
      <c r="W37" s="64">
        <v>0.15609999999999999</v>
      </c>
      <c r="X37" s="158">
        <f t="shared" si="18"/>
        <v>-9.5717632805528523E-3</v>
      </c>
      <c r="Y37" s="158">
        <f t="shared" si="19"/>
        <v>0</v>
      </c>
      <c r="Z37" s="158">
        <f t="shared" si="20"/>
        <v>3.1312474408073799E-3</v>
      </c>
      <c r="AA37" s="156">
        <f t="shared" si="21"/>
        <v>-1.0000000000001674E-4</v>
      </c>
      <c r="AB37" s="157">
        <f t="shared" si="22"/>
        <v>-1.0000000000001674E-4</v>
      </c>
    </row>
    <row r="38" spans="1:28">
      <c r="A38" s="219">
        <v>30</v>
      </c>
      <c r="B38" s="55" t="s">
        <v>62</v>
      </c>
      <c r="C38" s="56" t="s">
        <v>27</v>
      </c>
      <c r="D38" s="142" t="s">
        <v>329</v>
      </c>
      <c r="E38" s="61">
        <v>35522673731.360001</v>
      </c>
      <c r="F38" s="62">
        <f t="shared" ref="F38" si="33">(E38/$E$27)</f>
        <v>0.15051979929880094</v>
      </c>
      <c r="G38" s="142" t="s">
        <v>329</v>
      </c>
      <c r="H38" s="61">
        <v>1</v>
      </c>
      <c r="I38" s="142" t="s">
        <v>329</v>
      </c>
      <c r="J38" s="61">
        <v>1</v>
      </c>
      <c r="K38" s="63">
        <v>2159</v>
      </c>
      <c r="L38" s="64">
        <v>0.17280000000000001</v>
      </c>
      <c r="M38" s="64">
        <v>0.17280000000000001</v>
      </c>
      <c r="N38" s="142" t="s">
        <v>329</v>
      </c>
      <c r="O38" s="61">
        <v>37659846198.010002</v>
      </c>
      <c r="P38" s="62">
        <f t="shared" ref="P38" si="34">(O38/$O$27)</f>
        <v>0.15460710311531542</v>
      </c>
      <c r="Q38" s="142" t="s">
        <v>329</v>
      </c>
      <c r="R38" s="61">
        <v>1</v>
      </c>
      <c r="S38" s="142" t="s">
        <v>329</v>
      </c>
      <c r="T38" s="61">
        <v>1</v>
      </c>
      <c r="U38" s="63">
        <v>2187</v>
      </c>
      <c r="V38" s="64">
        <v>0.1852</v>
      </c>
      <c r="W38" s="64">
        <v>0.1852</v>
      </c>
      <c r="X38" s="158">
        <f t="shared" si="18"/>
        <v>6.0163615014240057E-2</v>
      </c>
      <c r="Y38" s="158">
        <f t="shared" si="19"/>
        <v>0</v>
      </c>
      <c r="Z38" s="158">
        <f t="shared" si="20"/>
        <v>1.2968967114404817E-2</v>
      </c>
      <c r="AA38" s="156">
        <f t="shared" si="21"/>
        <v>1.2399999999999994E-2</v>
      </c>
      <c r="AB38" s="157">
        <f t="shared" si="22"/>
        <v>1.2399999999999994E-2</v>
      </c>
    </row>
    <row r="39" spans="1:28" ht="15" customHeight="1">
      <c r="A39" s="219">
        <v>31</v>
      </c>
      <c r="B39" s="55" t="s">
        <v>63</v>
      </c>
      <c r="C39" s="56" t="s">
        <v>44</v>
      </c>
      <c r="D39" s="142" t="s">
        <v>329</v>
      </c>
      <c r="E39" s="78">
        <v>43107907152</v>
      </c>
      <c r="F39" s="62">
        <f>(E39/$O$78)</f>
        <v>6.899077847536933E-3</v>
      </c>
      <c r="G39" s="142" t="s">
        <v>329</v>
      </c>
      <c r="H39" s="69">
        <v>100</v>
      </c>
      <c r="I39" s="142" t="s">
        <v>329</v>
      </c>
      <c r="J39" s="69">
        <v>100</v>
      </c>
      <c r="K39" s="63">
        <v>17660</v>
      </c>
      <c r="L39" s="64">
        <v>0.17269999999999999</v>
      </c>
      <c r="M39" s="64">
        <v>0.17269999999999999</v>
      </c>
      <c r="N39" s="142" t="s">
        <v>329</v>
      </c>
      <c r="O39" s="78">
        <v>42913944636</v>
      </c>
      <c r="P39" s="62">
        <f t="shared" ref="P39:P54" si="35">(O39/$O$78)</f>
        <v>6.8680356887823981E-3</v>
      </c>
      <c r="Q39" s="142" t="s">
        <v>329</v>
      </c>
      <c r="R39" s="69">
        <v>100</v>
      </c>
      <c r="S39" s="142" t="s">
        <v>329</v>
      </c>
      <c r="T39" s="69">
        <v>100</v>
      </c>
      <c r="U39" s="63">
        <v>17726</v>
      </c>
      <c r="V39" s="64">
        <v>0.17319999999999999</v>
      </c>
      <c r="W39" s="64">
        <v>0.17319999999999999</v>
      </c>
      <c r="X39" s="158">
        <f t="shared" si="18"/>
        <v>-4.4994649198830585E-3</v>
      </c>
      <c r="Y39" s="158">
        <f t="shared" si="19"/>
        <v>0</v>
      </c>
      <c r="Z39" s="158">
        <f t="shared" si="20"/>
        <v>3.737259343148358E-3</v>
      </c>
      <c r="AA39" s="156">
        <f t="shared" si="21"/>
        <v>5.0000000000000044E-4</v>
      </c>
      <c r="AB39" s="157">
        <f t="shared" si="22"/>
        <v>5.0000000000000044E-4</v>
      </c>
    </row>
    <row r="40" spans="1:28" ht="15" customHeight="1">
      <c r="A40" s="217">
        <v>32</v>
      </c>
      <c r="B40" s="55" t="s">
        <v>64</v>
      </c>
      <c r="C40" s="56" t="s">
        <v>65</v>
      </c>
      <c r="D40" s="142" t="s">
        <v>329</v>
      </c>
      <c r="E40" s="78">
        <v>3491373032.9400001</v>
      </c>
      <c r="F40" s="62">
        <f>(E40/$O$78)</f>
        <v>5.5876649877971765E-4</v>
      </c>
      <c r="G40" s="142" t="s">
        <v>329</v>
      </c>
      <c r="H40" s="69">
        <v>1</v>
      </c>
      <c r="I40" s="142" t="s">
        <v>329</v>
      </c>
      <c r="J40" s="69">
        <v>1</v>
      </c>
      <c r="K40" s="63">
        <v>836</v>
      </c>
      <c r="L40" s="64">
        <v>0.15</v>
      </c>
      <c r="M40" s="64">
        <v>0.15</v>
      </c>
      <c r="N40" s="142" t="s">
        <v>329</v>
      </c>
      <c r="O40" s="78">
        <v>3569173440.1999998</v>
      </c>
      <c r="P40" s="62">
        <f t="shared" si="35"/>
        <v>5.7121783547681626E-4</v>
      </c>
      <c r="Q40" s="142" t="s">
        <v>329</v>
      </c>
      <c r="R40" s="69">
        <v>1</v>
      </c>
      <c r="S40" s="142" t="s">
        <v>329</v>
      </c>
      <c r="T40" s="69">
        <v>1</v>
      </c>
      <c r="U40" s="63">
        <v>842</v>
      </c>
      <c r="V40" s="64">
        <v>0.15</v>
      </c>
      <c r="W40" s="64">
        <v>0.15</v>
      </c>
      <c r="X40" s="158">
        <f t="shared" si="18"/>
        <v>2.228361350276167E-2</v>
      </c>
      <c r="Y40" s="158">
        <f t="shared" si="19"/>
        <v>0</v>
      </c>
      <c r="Z40" s="158">
        <f t="shared" si="20"/>
        <v>7.1770334928229667E-3</v>
      </c>
      <c r="AA40" s="156">
        <f t="shared" si="21"/>
        <v>0</v>
      </c>
      <c r="AB40" s="157">
        <f t="shared" si="22"/>
        <v>0</v>
      </c>
    </row>
    <row r="41" spans="1:28">
      <c r="A41" s="217">
        <v>33</v>
      </c>
      <c r="B41" s="55" t="s">
        <v>66</v>
      </c>
      <c r="C41" s="56" t="s">
        <v>67</v>
      </c>
      <c r="D41" s="142" t="s">
        <v>329</v>
      </c>
      <c r="E41" s="78">
        <v>105961736125.91</v>
      </c>
      <c r="F41" s="62">
        <f>(E41/$O$78)</f>
        <v>1.6958333509793297E-2</v>
      </c>
      <c r="G41" s="142" t="s">
        <v>329</v>
      </c>
      <c r="H41" s="69">
        <v>100</v>
      </c>
      <c r="I41" s="142" t="s">
        <v>329</v>
      </c>
      <c r="J41" s="69">
        <v>100</v>
      </c>
      <c r="K41" s="63">
        <v>6519</v>
      </c>
      <c r="L41" s="64">
        <v>0.1759</v>
      </c>
      <c r="M41" s="64">
        <v>0.1759</v>
      </c>
      <c r="N41" s="142" t="s">
        <v>329</v>
      </c>
      <c r="O41" s="78">
        <v>105819289863.02</v>
      </c>
      <c r="P41" s="62">
        <f t="shared" si="35"/>
        <v>1.6935536117813593E-2</v>
      </c>
      <c r="Q41" s="142" t="s">
        <v>329</v>
      </c>
      <c r="R41" s="69">
        <v>100</v>
      </c>
      <c r="S41" s="142" t="s">
        <v>329</v>
      </c>
      <c r="T41" s="69">
        <v>100</v>
      </c>
      <c r="U41" s="63">
        <v>6523</v>
      </c>
      <c r="V41" s="64">
        <v>0.1764</v>
      </c>
      <c r="W41" s="64">
        <v>0.1764</v>
      </c>
      <c r="X41" s="158">
        <f t="shared" si="18"/>
        <v>-1.3443179405888208E-3</v>
      </c>
      <c r="Y41" s="158">
        <f t="shared" si="19"/>
        <v>0</v>
      </c>
      <c r="Z41" s="158">
        <f t="shared" si="20"/>
        <v>6.1359104157079306E-4</v>
      </c>
      <c r="AA41" s="156">
        <f t="shared" si="21"/>
        <v>5.0000000000000044E-4</v>
      </c>
      <c r="AB41" s="157">
        <f t="shared" si="22"/>
        <v>5.0000000000000044E-4</v>
      </c>
    </row>
    <row r="42" spans="1:28">
      <c r="A42" s="217">
        <v>34</v>
      </c>
      <c r="B42" s="55" t="s">
        <v>68</v>
      </c>
      <c r="C42" s="56" t="s">
        <v>69</v>
      </c>
      <c r="D42" s="142" t="s">
        <v>329</v>
      </c>
      <c r="E42" s="78">
        <v>46802284712.129997</v>
      </c>
      <c r="F42" s="62">
        <f>(E42/$O$78)</f>
        <v>7.4903336070814529E-3</v>
      </c>
      <c r="G42" s="142" t="s">
        <v>329</v>
      </c>
      <c r="H42" s="69">
        <v>100</v>
      </c>
      <c r="I42" s="142" t="s">
        <v>329</v>
      </c>
      <c r="J42" s="69">
        <v>100</v>
      </c>
      <c r="K42" s="63">
        <v>6056</v>
      </c>
      <c r="L42" s="64">
        <v>0.1555</v>
      </c>
      <c r="M42" s="64">
        <v>0.1555</v>
      </c>
      <c r="N42" s="142" t="s">
        <v>329</v>
      </c>
      <c r="O42" s="78">
        <v>45638356341.18</v>
      </c>
      <c r="P42" s="62">
        <f t="shared" si="35"/>
        <v>7.3040561241169777E-3</v>
      </c>
      <c r="Q42" s="142" t="s">
        <v>329</v>
      </c>
      <c r="R42" s="69">
        <v>100</v>
      </c>
      <c r="S42" s="142" t="s">
        <v>329</v>
      </c>
      <c r="T42" s="69">
        <v>100</v>
      </c>
      <c r="U42" s="63">
        <v>6077</v>
      </c>
      <c r="V42" s="64">
        <v>0.16</v>
      </c>
      <c r="W42" s="64">
        <v>0.16</v>
      </c>
      <c r="X42" s="158">
        <f t="shared" si="18"/>
        <v>-2.4869050263444412E-2</v>
      </c>
      <c r="Y42" s="158">
        <f t="shared" si="19"/>
        <v>0</v>
      </c>
      <c r="Z42" s="158">
        <f t="shared" si="20"/>
        <v>3.4676354029062086E-3</v>
      </c>
      <c r="AA42" s="156">
        <f t="shared" si="21"/>
        <v>4.500000000000004E-3</v>
      </c>
      <c r="AB42" s="157">
        <f t="shared" si="22"/>
        <v>4.500000000000004E-3</v>
      </c>
    </row>
    <row r="43" spans="1:28">
      <c r="A43" s="217">
        <v>35</v>
      </c>
      <c r="B43" s="55" t="s">
        <v>70</v>
      </c>
      <c r="C43" s="56" t="s">
        <v>71</v>
      </c>
      <c r="D43" s="142" t="s">
        <v>329</v>
      </c>
      <c r="E43" s="78">
        <v>94646110392.660004</v>
      </c>
      <c r="F43" s="62">
        <f>(E43/$O$78)</f>
        <v>1.5147357566284473E-2</v>
      </c>
      <c r="G43" s="142" t="s">
        <v>329</v>
      </c>
      <c r="H43" s="69">
        <v>1</v>
      </c>
      <c r="I43" s="142" t="s">
        <v>329</v>
      </c>
      <c r="J43" s="69">
        <v>1</v>
      </c>
      <c r="K43" s="63">
        <v>19589</v>
      </c>
      <c r="L43" s="64">
        <v>0.19889999999999999</v>
      </c>
      <c r="M43" s="64">
        <v>0.19889999999999999</v>
      </c>
      <c r="N43" s="142" t="s">
        <v>329</v>
      </c>
      <c r="O43" s="78">
        <v>98204470483.75</v>
      </c>
      <c r="P43" s="62">
        <f t="shared" si="35"/>
        <v>1.5716844811198415E-2</v>
      </c>
      <c r="Q43" s="142" t="s">
        <v>329</v>
      </c>
      <c r="R43" s="69">
        <v>1</v>
      </c>
      <c r="S43" s="142" t="s">
        <v>329</v>
      </c>
      <c r="T43" s="69">
        <v>1</v>
      </c>
      <c r="U43" s="63">
        <v>19925</v>
      </c>
      <c r="V43" s="64">
        <v>0.20069999999999999</v>
      </c>
      <c r="W43" s="64">
        <v>0.20069999999999999</v>
      </c>
      <c r="X43" s="158">
        <f t="shared" si="18"/>
        <v>3.7596474660473257E-2</v>
      </c>
      <c r="Y43" s="158">
        <f t="shared" si="19"/>
        <v>0</v>
      </c>
      <c r="Z43" s="158">
        <f t="shared" si="20"/>
        <v>1.715248353667875E-2</v>
      </c>
      <c r="AA43" s="156">
        <f t="shared" si="21"/>
        <v>1.799999999999996E-3</v>
      </c>
      <c r="AB43" s="157">
        <f t="shared" si="22"/>
        <v>1.799999999999996E-3</v>
      </c>
    </row>
    <row r="44" spans="1:28">
      <c r="A44" s="217">
        <v>36</v>
      </c>
      <c r="B44" s="55" t="s">
        <v>72</v>
      </c>
      <c r="C44" s="56" t="s">
        <v>73</v>
      </c>
      <c r="D44" s="142" t="s">
        <v>329</v>
      </c>
      <c r="E44" s="78">
        <v>2067910602.3299999</v>
      </c>
      <c r="F44" s="62">
        <v>0</v>
      </c>
      <c r="G44" s="142" t="s">
        <v>329</v>
      </c>
      <c r="H44" s="69">
        <v>1000</v>
      </c>
      <c r="I44" s="142" t="s">
        <v>329</v>
      </c>
      <c r="J44" s="69">
        <v>1000</v>
      </c>
      <c r="K44" s="63">
        <v>316</v>
      </c>
      <c r="L44" s="64">
        <v>0.20599999999999999</v>
      </c>
      <c r="M44" s="64">
        <v>0.20599999999999999</v>
      </c>
      <c r="N44" s="142" t="s">
        <v>329</v>
      </c>
      <c r="O44" s="78">
        <v>2098153953.4200001</v>
      </c>
      <c r="P44" s="62">
        <f t="shared" si="35"/>
        <v>3.357928606861253E-4</v>
      </c>
      <c r="Q44" s="142" t="s">
        <v>329</v>
      </c>
      <c r="R44" s="69">
        <v>1000</v>
      </c>
      <c r="S44" s="142" t="s">
        <v>329</v>
      </c>
      <c r="T44" s="69">
        <v>1000</v>
      </c>
      <c r="U44" s="63">
        <v>325</v>
      </c>
      <c r="V44" s="64">
        <v>0.2064</v>
      </c>
      <c r="W44" s="64">
        <v>0.2064</v>
      </c>
      <c r="X44" s="158">
        <f t="shared" si="18"/>
        <v>1.4625076662368152E-2</v>
      </c>
      <c r="Y44" s="158">
        <f t="shared" si="19"/>
        <v>0</v>
      </c>
      <c r="Z44" s="158">
        <f t="shared" si="20"/>
        <v>2.8481012658227847E-2</v>
      </c>
      <c r="AA44" s="156">
        <f t="shared" si="21"/>
        <v>4.0000000000001146E-4</v>
      </c>
      <c r="AB44" s="157">
        <f t="shared" si="22"/>
        <v>4.0000000000001146E-4</v>
      </c>
    </row>
    <row r="45" spans="1:28">
      <c r="A45" s="219">
        <v>37</v>
      </c>
      <c r="B45" s="55" t="s">
        <v>74</v>
      </c>
      <c r="C45" s="56" t="s">
        <v>75</v>
      </c>
      <c r="D45" s="142" t="s">
        <v>329</v>
      </c>
      <c r="E45" s="78">
        <v>95100491494.559998</v>
      </c>
      <c r="F45" s="62">
        <f t="shared" ref="F45:F54" si="36">(E45/$O$78)</f>
        <v>1.5220077649479517E-2</v>
      </c>
      <c r="G45" s="142" t="s">
        <v>329</v>
      </c>
      <c r="H45" s="79">
        <v>100</v>
      </c>
      <c r="I45" s="142" t="s">
        <v>329</v>
      </c>
      <c r="J45" s="79">
        <v>100</v>
      </c>
      <c r="K45" s="63">
        <v>5087</v>
      </c>
      <c r="L45" s="64">
        <v>0.15290000000000001</v>
      </c>
      <c r="M45" s="64">
        <v>0.15290000000000001</v>
      </c>
      <c r="N45" s="142" t="s">
        <v>329</v>
      </c>
      <c r="O45" s="78">
        <v>94106184867.440002</v>
      </c>
      <c r="P45" s="62">
        <f t="shared" si="35"/>
        <v>1.506094677818403E-2</v>
      </c>
      <c r="Q45" s="142" t="s">
        <v>329</v>
      </c>
      <c r="R45" s="79">
        <v>100</v>
      </c>
      <c r="S45" s="142" t="s">
        <v>329</v>
      </c>
      <c r="T45" s="79">
        <v>100</v>
      </c>
      <c r="U45" s="63">
        <v>5087</v>
      </c>
      <c r="V45" s="64">
        <v>0.15440000000000001</v>
      </c>
      <c r="W45" s="64">
        <v>0.15440000000000001</v>
      </c>
      <c r="X45" s="158">
        <f t="shared" si="18"/>
        <v>-1.0455325850517524E-2</v>
      </c>
      <c r="Y45" s="158">
        <f t="shared" si="19"/>
        <v>0</v>
      </c>
      <c r="Z45" s="158">
        <f t="shared" si="20"/>
        <v>0</v>
      </c>
      <c r="AA45" s="156">
        <f t="shared" si="21"/>
        <v>1.5000000000000013E-3</v>
      </c>
      <c r="AB45" s="157">
        <f t="shared" si="22"/>
        <v>1.5000000000000013E-3</v>
      </c>
    </row>
    <row r="46" spans="1:28">
      <c r="A46" s="219">
        <v>38</v>
      </c>
      <c r="B46" s="55" t="s">
        <v>76</v>
      </c>
      <c r="C46" s="56" t="s">
        <v>75</v>
      </c>
      <c r="D46" s="142" t="s">
        <v>329</v>
      </c>
      <c r="E46" s="78">
        <v>9373014505.1100006</v>
      </c>
      <c r="F46" s="62">
        <f t="shared" si="36"/>
        <v>1.5000764594958213E-3</v>
      </c>
      <c r="G46" s="142" t="s">
        <v>329</v>
      </c>
      <c r="H46" s="79">
        <v>1000000</v>
      </c>
      <c r="I46" s="142" t="s">
        <v>329</v>
      </c>
      <c r="J46" s="79">
        <v>1000000</v>
      </c>
      <c r="K46" s="63">
        <v>50</v>
      </c>
      <c r="L46" s="64">
        <v>0.15290000000000001</v>
      </c>
      <c r="M46" s="64">
        <v>0.15290000000000001</v>
      </c>
      <c r="N46" s="142" t="s">
        <v>329</v>
      </c>
      <c r="O46" s="78">
        <v>9662984282.1700001</v>
      </c>
      <c r="P46" s="62">
        <f t="shared" si="35"/>
        <v>1.5464838171602969E-3</v>
      </c>
      <c r="Q46" s="142" t="s">
        <v>329</v>
      </c>
      <c r="R46" s="79">
        <v>1000000</v>
      </c>
      <c r="S46" s="142" t="s">
        <v>329</v>
      </c>
      <c r="T46" s="79">
        <v>1000000</v>
      </c>
      <c r="U46" s="63">
        <v>50</v>
      </c>
      <c r="V46" s="64">
        <v>0.1515</v>
      </c>
      <c r="W46" s="64">
        <v>0.1515</v>
      </c>
      <c r="X46" s="158">
        <f t="shared" si="18"/>
        <v>3.093666150862277E-2</v>
      </c>
      <c r="Y46" s="158">
        <f t="shared" si="19"/>
        <v>0</v>
      </c>
      <c r="Z46" s="158">
        <f t="shared" si="20"/>
        <v>0</v>
      </c>
      <c r="AA46" s="156">
        <f t="shared" si="21"/>
        <v>-1.4000000000000123E-3</v>
      </c>
      <c r="AB46" s="157">
        <f t="shared" si="22"/>
        <v>-1.4000000000000123E-3</v>
      </c>
    </row>
    <row r="47" spans="1:28">
      <c r="A47" s="217">
        <v>39</v>
      </c>
      <c r="B47" s="55" t="s">
        <v>77</v>
      </c>
      <c r="C47" s="56" t="s">
        <v>78</v>
      </c>
      <c r="D47" s="142" t="s">
        <v>329</v>
      </c>
      <c r="E47" s="78">
        <v>9077804039.0699997</v>
      </c>
      <c r="F47" s="62">
        <f t="shared" si="36"/>
        <v>1.4528303712216628E-3</v>
      </c>
      <c r="G47" s="142" t="s">
        <v>329</v>
      </c>
      <c r="H47" s="69">
        <v>1</v>
      </c>
      <c r="I47" s="142" t="s">
        <v>329</v>
      </c>
      <c r="J47" s="69">
        <v>1</v>
      </c>
      <c r="K47" s="63">
        <v>1319</v>
      </c>
      <c r="L47" s="64">
        <v>0.1817</v>
      </c>
      <c r="M47" s="64">
        <v>0.1817</v>
      </c>
      <c r="N47" s="142" t="s">
        <v>329</v>
      </c>
      <c r="O47" s="78">
        <v>9317414479.7700005</v>
      </c>
      <c r="P47" s="62">
        <f t="shared" si="35"/>
        <v>1.4911781174400788E-3</v>
      </c>
      <c r="Q47" s="142" t="s">
        <v>329</v>
      </c>
      <c r="R47" s="69">
        <v>1</v>
      </c>
      <c r="S47" s="142" t="s">
        <v>329</v>
      </c>
      <c r="T47" s="69">
        <v>1</v>
      </c>
      <c r="U47" s="63">
        <v>1320</v>
      </c>
      <c r="V47" s="64">
        <v>0.1817</v>
      </c>
      <c r="W47" s="64">
        <v>0.1817</v>
      </c>
      <c r="X47" s="158">
        <f t="shared" si="18"/>
        <v>2.639519862609287E-2</v>
      </c>
      <c r="Y47" s="158">
        <f t="shared" si="19"/>
        <v>0</v>
      </c>
      <c r="Z47" s="158">
        <f t="shared" si="20"/>
        <v>7.5815011372251705E-4</v>
      </c>
      <c r="AA47" s="156">
        <f t="shared" si="21"/>
        <v>0</v>
      </c>
      <c r="AB47" s="157">
        <f t="shared" si="22"/>
        <v>0</v>
      </c>
    </row>
    <row r="48" spans="1:28">
      <c r="A48" s="217">
        <v>40</v>
      </c>
      <c r="B48" s="55" t="s">
        <v>317</v>
      </c>
      <c r="C48" s="56" t="s">
        <v>38</v>
      </c>
      <c r="D48" s="142" t="s">
        <v>329</v>
      </c>
      <c r="E48" s="78">
        <v>74443769105.089996</v>
      </c>
      <c r="F48" s="62">
        <f t="shared" si="36"/>
        <v>1.1914133444454458E-2</v>
      </c>
      <c r="G48" s="142" t="s">
        <v>329</v>
      </c>
      <c r="H48" s="69">
        <v>1</v>
      </c>
      <c r="I48" s="142" t="s">
        <v>329</v>
      </c>
      <c r="J48" s="69">
        <v>1</v>
      </c>
      <c r="K48" s="63">
        <v>4230</v>
      </c>
      <c r="L48" s="64">
        <v>0.15970000000000001</v>
      </c>
      <c r="M48" s="64">
        <v>0.15970000000000001</v>
      </c>
      <c r="N48" s="142" t="s">
        <v>329</v>
      </c>
      <c r="O48" s="78">
        <v>72340067565.419998</v>
      </c>
      <c r="P48" s="62">
        <f t="shared" si="35"/>
        <v>1.1577452736690308E-2</v>
      </c>
      <c r="Q48" s="142" t="s">
        <v>329</v>
      </c>
      <c r="R48" s="69">
        <v>1</v>
      </c>
      <c r="S48" s="142" t="s">
        <v>329</v>
      </c>
      <c r="T48" s="69">
        <v>1</v>
      </c>
      <c r="U48" s="63">
        <v>4272</v>
      </c>
      <c r="V48" s="64">
        <v>0.1598</v>
      </c>
      <c r="W48" s="64">
        <v>0.1598</v>
      </c>
      <c r="X48" s="158">
        <f>((O48-E48)/E48)</f>
        <v>-2.8258933755762244E-2</v>
      </c>
      <c r="Y48" s="158">
        <f>((T48-J48)/J48)</f>
        <v>0</v>
      </c>
      <c r="Z48" s="158">
        <f>((U48-K48)/K48)</f>
        <v>9.9290780141843976E-3</v>
      </c>
      <c r="AA48" s="156">
        <f>V48-L48</f>
        <v>9.9999999999988987E-5</v>
      </c>
      <c r="AB48" s="157">
        <f>W48-M48</f>
        <v>9.9999999999988987E-5</v>
      </c>
    </row>
    <row r="49" spans="1:28">
      <c r="A49" s="217">
        <v>41</v>
      </c>
      <c r="B49" s="55" t="s">
        <v>321</v>
      </c>
      <c r="C49" s="56" t="s">
        <v>79</v>
      </c>
      <c r="D49" s="142" t="s">
        <v>329</v>
      </c>
      <c r="E49" s="78">
        <v>748053001288.16003</v>
      </c>
      <c r="F49" s="62">
        <f t="shared" si="36"/>
        <v>0.11971993610762015</v>
      </c>
      <c r="G49" s="142" t="s">
        <v>329</v>
      </c>
      <c r="H49" s="69">
        <v>100</v>
      </c>
      <c r="I49" s="142" t="s">
        <v>329</v>
      </c>
      <c r="J49" s="69">
        <v>100</v>
      </c>
      <c r="K49" s="63">
        <v>43385</v>
      </c>
      <c r="L49" s="64">
        <v>0.1537</v>
      </c>
      <c r="M49" s="64">
        <v>0.1537</v>
      </c>
      <c r="N49" s="142" t="s">
        <v>329</v>
      </c>
      <c r="O49" s="78">
        <v>748915697496.68005</v>
      </c>
      <c r="P49" s="62">
        <f t="shared" si="35"/>
        <v>0.11985800377767354</v>
      </c>
      <c r="Q49" s="142" t="s">
        <v>329</v>
      </c>
      <c r="R49" s="69">
        <v>100</v>
      </c>
      <c r="S49" s="142" t="s">
        <v>329</v>
      </c>
      <c r="T49" s="69">
        <v>100</v>
      </c>
      <c r="U49" s="63">
        <v>43640</v>
      </c>
      <c r="V49" s="64">
        <v>0.15379999999999999</v>
      </c>
      <c r="W49" s="64">
        <v>0.15379999999999999</v>
      </c>
      <c r="X49" s="158">
        <f t="shared" si="18"/>
        <v>1.1532554605548564E-3</v>
      </c>
      <c r="Y49" s="158">
        <f t="shared" si="19"/>
        <v>0</v>
      </c>
      <c r="Z49" s="158">
        <f t="shared" si="20"/>
        <v>5.8776074680189005E-3</v>
      </c>
      <c r="AA49" s="156">
        <f t="shared" si="21"/>
        <v>9.9999999999988987E-5</v>
      </c>
      <c r="AB49" s="157">
        <f t="shared" si="22"/>
        <v>9.9999999999988987E-5</v>
      </c>
    </row>
    <row r="50" spans="1:28">
      <c r="A50" s="217">
        <v>42</v>
      </c>
      <c r="B50" s="55" t="s">
        <v>80</v>
      </c>
      <c r="C50" s="56" t="s">
        <v>81</v>
      </c>
      <c r="D50" s="142" t="s">
        <v>329</v>
      </c>
      <c r="E50" s="80">
        <v>9514454799.7399998</v>
      </c>
      <c r="F50" s="62">
        <f t="shared" si="36"/>
        <v>1.5227128542525928E-3</v>
      </c>
      <c r="G50" s="142" t="s">
        <v>329</v>
      </c>
      <c r="H50" s="69">
        <v>1</v>
      </c>
      <c r="I50" s="142" t="s">
        <v>329</v>
      </c>
      <c r="J50" s="69">
        <v>1</v>
      </c>
      <c r="K50" s="81">
        <v>2618</v>
      </c>
      <c r="L50" s="82">
        <v>0.1789</v>
      </c>
      <c r="M50" s="82">
        <v>0.1789</v>
      </c>
      <c r="N50" s="142" t="s">
        <v>329</v>
      </c>
      <c r="O50" s="80">
        <v>9698426300.1100006</v>
      </c>
      <c r="P50" s="62">
        <f t="shared" si="35"/>
        <v>1.5521560303804768E-3</v>
      </c>
      <c r="Q50" s="142" t="s">
        <v>329</v>
      </c>
      <c r="R50" s="69">
        <v>1</v>
      </c>
      <c r="S50" s="142" t="s">
        <v>329</v>
      </c>
      <c r="T50" s="69">
        <v>1</v>
      </c>
      <c r="U50" s="81">
        <v>2644</v>
      </c>
      <c r="V50" s="82">
        <v>0.1754</v>
      </c>
      <c r="W50" s="82">
        <v>0.1754</v>
      </c>
      <c r="X50" s="158">
        <f t="shared" si="18"/>
        <v>1.9336000248277831E-2</v>
      </c>
      <c r="Y50" s="158">
        <f t="shared" si="19"/>
        <v>0</v>
      </c>
      <c r="Z50" s="158">
        <f t="shared" si="20"/>
        <v>9.9312452253628725E-3</v>
      </c>
      <c r="AA50" s="156">
        <f t="shared" si="21"/>
        <v>-3.5000000000000031E-3</v>
      </c>
      <c r="AB50" s="157">
        <f t="shared" si="22"/>
        <v>-3.5000000000000031E-3</v>
      </c>
    </row>
    <row r="51" spans="1:28">
      <c r="A51" s="217">
        <v>43</v>
      </c>
      <c r="B51" s="55" t="s">
        <v>82</v>
      </c>
      <c r="C51" s="56" t="s">
        <v>83</v>
      </c>
      <c r="D51" s="142" t="s">
        <v>329</v>
      </c>
      <c r="E51" s="78">
        <v>6119600306.0200005</v>
      </c>
      <c r="F51" s="62">
        <f t="shared" si="36"/>
        <v>9.7939338038784932E-4</v>
      </c>
      <c r="G51" s="142" t="s">
        <v>329</v>
      </c>
      <c r="H51" s="69">
        <v>1</v>
      </c>
      <c r="I51" s="142" t="s">
        <v>329</v>
      </c>
      <c r="J51" s="69">
        <v>1</v>
      </c>
      <c r="K51" s="81">
        <v>956</v>
      </c>
      <c r="L51" s="82">
        <v>0.16009999999999999</v>
      </c>
      <c r="M51" s="82">
        <v>0.16009999999999999</v>
      </c>
      <c r="N51" s="142" t="s">
        <v>329</v>
      </c>
      <c r="O51" s="78">
        <v>6266946325.5699997</v>
      </c>
      <c r="P51" s="62">
        <f t="shared" si="35"/>
        <v>1.0029749394697073E-3</v>
      </c>
      <c r="Q51" s="142" t="s">
        <v>329</v>
      </c>
      <c r="R51" s="69">
        <v>1</v>
      </c>
      <c r="S51" s="142" t="s">
        <v>329</v>
      </c>
      <c r="T51" s="69">
        <v>1</v>
      </c>
      <c r="U51" s="81">
        <v>966</v>
      </c>
      <c r="V51" s="82">
        <v>0.1598</v>
      </c>
      <c r="W51" s="82">
        <v>0.1598</v>
      </c>
      <c r="X51" s="158">
        <f t="shared" si="18"/>
        <v>2.407771948848544E-2</v>
      </c>
      <c r="Y51" s="158">
        <f t="shared" si="19"/>
        <v>0</v>
      </c>
      <c r="Z51" s="158">
        <f t="shared" si="20"/>
        <v>1.0460251046025104E-2</v>
      </c>
      <c r="AA51" s="156">
        <f t="shared" si="21"/>
        <v>-2.9999999999999472E-4</v>
      </c>
      <c r="AB51" s="157">
        <f t="shared" si="22"/>
        <v>-2.9999999999999472E-4</v>
      </c>
    </row>
    <row r="52" spans="1:28">
      <c r="A52" s="217">
        <v>44</v>
      </c>
      <c r="B52" s="55" t="s">
        <v>84</v>
      </c>
      <c r="C52" s="56" t="s">
        <v>85</v>
      </c>
      <c r="D52" s="142" t="s">
        <v>329</v>
      </c>
      <c r="E52" s="78">
        <v>63710000</v>
      </c>
      <c r="F52" s="62">
        <f t="shared" si="36"/>
        <v>1.0196279028734649E-5</v>
      </c>
      <c r="G52" s="142" t="s">
        <v>329</v>
      </c>
      <c r="H52" s="69">
        <v>1</v>
      </c>
      <c r="I52" s="142" t="s">
        <v>329</v>
      </c>
      <c r="J52" s="69">
        <v>1</v>
      </c>
      <c r="K52" s="81">
        <v>30</v>
      </c>
      <c r="L52" s="82">
        <v>0.105</v>
      </c>
      <c r="M52" s="82">
        <v>0.105</v>
      </c>
      <c r="N52" s="142" t="s">
        <v>329</v>
      </c>
      <c r="O52" s="78">
        <v>63710000</v>
      </c>
      <c r="P52" s="62">
        <f t="shared" si="35"/>
        <v>1.0196279028734649E-5</v>
      </c>
      <c r="Q52" s="142" t="s">
        <v>329</v>
      </c>
      <c r="R52" s="69">
        <v>1</v>
      </c>
      <c r="S52" s="142" t="s">
        <v>329</v>
      </c>
      <c r="T52" s="69">
        <v>1</v>
      </c>
      <c r="U52" s="81">
        <v>30</v>
      </c>
      <c r="V52" s="82">
        <v>0.105</v>
      </c>
      <c r="W52" s="82">
        <v>0.105</v>
      </c>
      <c r="X52" s="158">
        <f t="shared" si="18"/>
        <v>0</v>
      </c>
      <c r="Y52" s="158">
        <f t="shared" si="19"/>
        <v>0</v>
      </c>
      <c r="Z52" s="158">
        <f t="shared" si="20"/>
        <v>0</v>
      </c>
      <c r="AA52" s="156">
        <f t="shared" si="21"/>
        <v>0</v>
      </c>
      <c r="AB52" s="157">
        <f t="shared" si="22"/>
        <v>0</v>
      </c>
    </row>
    <row r="53" spans="1:28">
      <c r="A53" s="217">
        <v>45</v>
      </c>
      <c r="B53" s="55" t="s">
        <v>86</v>
      </c>
      <c r="C53" s="56" t="s">
        <v>87</v>
      </c>
      <c r="D53" s="142" t="s">
        <v>329</v>
      </c>
      <c r="E53" s="78">
        <v>2136140439.5799999</v>
      </c>
      <c r="F53" s="62">
        <f t="shared" si="36"/>
        <v>3.4187229581732177E-4</v>
      </c>
      <c r="G53" s="142" t="s">
        <v>329</v>
      </c>
      <c r="H53" s="69">
        <v>10</v>
      </c>
      <c r="I53" s="142" t="s">
        <v>329</v>
      </c>
      <c r="J53" s="69">
        <v>10</v>
      </c>
      <c r="K53" s="63">
        <v>587</v>
      </c>
      <c r="L53" s="64">
        <v>0.16489999999999999</v>
      </c>
      <c r="M53" s="64">
        <v>0.16489999999999999</v>
      </c>
      <c r="N53" s="142" t="s">
        <v>329</v>
      </c>
      <c r="O53" s="78">
        <v>2148533910.9699998</v>
      </c>
      <c r="P53" s="62">
        <f t="shared" si="35"/>
        <v>3.438557723897135E-4</v>
      </c>
      <c r="Q53" s="142" t="s">
        <v>329</v>
      </c>
      <c r="R53" s="69">
        <v>10</v>
      </c>
      <c r="S53" s="142" t="s">
        <v>329</v>
      </c>
      <c r="T53" s="69">
        <v>10</v>
      </c>
      <c r="U53" s="63">
        <v>585</v>
      </c>
      <c r="V53" s="64">
        <v>0.16470000000000001</v>
      </c>
      <c r="W53" s="64">
        <v>0.16470000000000001</v>
      </c>
      <c r="X53" s="158">
        <f t="shared" si="18"/>
        <v>5.8018055181974018E-3</v>
      </c>
      <c r="Y53" s="158">
        <f t="shared" si="19"/>
        <v>0</v>
      </c>
      <c r="Z53" s="158">
        <f t="shared" si="20"/>
        <v>-3.4071550255536627E-3</v>
      </c>
      <c r="AA53" s="156">
        <f t="shared" si="21"/>
        <v>-1.9999999999997797E-4</v>
      </c>
      <c r="AB53" s="157">
        <f t="shared" si="22"/>
        <v>-1.9999999999997797E-4</v>
      </c>
    </row>
    <row r="54" spans="1:28">
      <c r="A54" s="217">
        <v>46</v>
      </c>
      <c r="B54" s="55" t="s">
        <v>88</v>
      </c>
      <c r="C54" s="56" t="s">
        <v>89</v>
      </c>
      <c r="D54" s="142" t="s">
        <v>329</v>
      </c>
      <c r="E54" s="78">
        <v>15425324434.23</v>
      </c>
      <c r="F54" s="62">
        <f t="shared" si="36"/>
        <v>2.4687005499947814E-3</v>
      </c>
      <c r="G54" s="142" t="s">
        <v>329</v>
      </c>
      <c r="H54" s="69">
        <v>100</v>
      </c>
      <c r="I54" s="142" t="s">
        <v>329</v>
      </c>
      <c r="J54" s="69">
        <v>100</v>
      </c>
      <c r="K54" s="63">
        <v>1133</v>
      </c>
      <c r="L54" s="64">
        <v>0.1893</v>
      </c>
      <c r="M54" s="64">
        <v>0.1893</v>
      </c>
      <c r="N54" s="142" t="s">
        <v>329</v>
      </c>
      <c r="O54" s="78">
        <v>15247039011.120001</v>
      </c>
      <c r="P54" s="62">
        <f t="shared" si="35"/>
        <v>2.4401673853301203E-3</v>
      </c>
      <c r="Q54" s="142" t="s">
        <v>329</v>
      </c>
      <c r="R54" s="69">
        <v>100</v>
      </c>
      <c r="S54" s="142" t="s">
        <v>329</v>
      </c>
      <c r="T54" s="69">
        <v>100</v>
      </c>
      <c r="U54" s="63">
        <v>1139</v>
      </c>
      <c r="V54" s="64">
        <v>0.1895</v>
      </c>
      <c r="W54" s="64">
        <v>0.1895</v>
      </c>
      <c r="X54" s="158">
        <f t="shared" si="18"/>
        <v>-1.1557969096220071E-2</v>
      </c>
      <c r="Y54" s="158">
        <f t="shared" si="19"/>
        <v>0</v>
      </c>
      <c r="Z54" s="158">
        <f t="shared" si="20"/>
        <v>5.2956751985878204E-3</v>
      </c>
      <c r="AA54" s="156">
        <f t="shared" si="21"/>
        <v>2.0000000000000573E-4</v>
      </c>
      <c r="AB54" s="157">
        <f t="shared" si="22"/>
        <v>2.0000000000000573E-4</v>
      </c>
    </row>
    <row r="55" spans="1:28">
      <c r="A55" s="217">
        <v>47</v>
      </c>
      <c r="B55" s="55" t="s">
        <v>90</v>
      </c>
      <c r="C55" s="55" t="s">
        <v>91</v>
      </c>
      <c r="D55" s="142" t="s">
        <v>329</v>
      </c>
      <c r="E55" s="83">
        <v>187148799.43000001</v>
      </c>
      <c r="F55" s="62">
        <v>0</v>
      </c>
      <c r="G55" s="142" t="s">
        <v>329</v>
      </c>
      <c r="H55" s="61">
        <v>1</v>
      </c>
      <c r="I55" s="142" t="s">
        <v>329</v>
      </c>
      <c r="J55" s="61">
        <v>1</v>
      </c>
      <c r="K55" s="63">
        <v>166</v>
      </c>
      <c r="L55" s="64">
        <v>0.1565</v>
      </c>
      <c r="M55" s="64">
        <v>0.1565</v>
      </c>
      <c r="N55" s="142" t="s">
        <v>329</v>
      </c>
      <c r="O55" s="83">
        <v>188928745.63</v>
      </c>
      <c r="P55" s="84">
        <f>(O55/$O$206)</f>
        <v>1.2040880050221607E-3</v>
      </c>
      <c r="Q55" s="142" t="s">
        <v>329</v>
      </c>
      <c r="R55" s="61">
        <v>1</v>
      </c>
      <c r="S55" s="142" t="s">
        <v>329</v>
      </c>
      <c r="T55" s="61">
        <v>1</v>
      </c>
      <c r="U55" s="63">
        <v>166</v>
      </c>
      <c r="V55" s="64">
        <v>0.16139999999999999</v>
      </c>
      <c r="W55" s="64">
        <v>0.16139999999999999</v>
      </c>
      <c r="X55" s="156">
        <f t="shared" si="18"/>
        <v>9.5108609054462469E-3</v>
      </c>
      <c r="Y55" s="156">
        <f t="shared" si="19"/>
        <v>0</v>
      </c>
      <c r="Z55" s="156">
        <f t="shared" si="20"/>
        <v>0</v>
      </c>
      <c r="AA55" s="156">
        <f t="shared" si="21"/>
        <v>4.8999999999999877E-3</v>
      </c>
      <c r="AB55" s="157">
        <f t="shared" si="22"/>
        <v>4.8999999999999877E-3</v>
      </c>
    </row>
    <row r="56" spans="1:28">
      <c r="A56" s="219">
        <v>48</v>
      </c>
      <c r="B56" s="55" t="s">
        <v>92</v>
      </c>
      <c r="C56" s="56" t="s">
        <v>35</v>
      </c>
      <c r="D56" s="142" t="s">
        <v>329</v>
      </c>
      <c r="E56" s="78">
        <v>5282945747.0600004</v>
      </c>
      <c r="F56" s="62">
        <f t="shared" ref="F56:F77" si="37">(E56/$O$78)</f>
        <v>8.4549346932492214E-4</v>
      </c>
      <c r="G56" s="142" t="s">
        <v>329</v>
      </c>
      <c r="H56" s="69">
        <v>100</v>
      </c>
      <c r="I56" s="142" t="s">
        <v>329</v>
      </c>
      <c r="J56" s="69">
        <v>100</v>
      </c>
      <c r="K56" s="63">
        <v>19278</v>
      </c>
      <c r="L56" s="64">
        <v>0.14860000000000001</v>
      </c>
      <c r="M56" s="64">
        <v>0.14860000000000001</v>
      </c>
      <c r="N56" s="142" t="s">
        <v>329</v>
      </c>
      <c r="O56" s="78">
        <v>5379715340.0699997</v>
      </c>
      <c r="P56" s="62">
        <f t="shared" ref="P56:P70" si="38">(O56/$O$78)</f>
        <v>8.6098067340319932E-4</v>
      </c>
      <c r="Q56" s="142" t="s">
        <v>329</v>
      </c>
      <c r="R56" s="69">
        <v>100</v>
      </c>
      <c r="S56" s="142" t="s">
        <v>329</v>
      </c>
      <c r="T56" s="69">
        <v>100</v>
      </c>
      <c r="U56" s="63">
        <v>20338</v>
      </c>
      <c r="V56" s="64">
        <v>0.15932735000000001</v>
      </c>
      <c r="W56" s="64">
        <v>0.15932735000000001</v>
      </c>
      <c r="X56" s="158">
        <f t="shared" ref="X56" si="39">((O56-E56)/E56)</f>
        <v>1.8317355059694167E-2</v>
      </c>
      <c r="Y56" s="158">
        <f t="shared" ref="Y56" si="40">((T56-J56)/J56)</f>
        <v>0</v>
      </c>
      <c r="Z56" s="158">
        <f t="shared" ref="Z56" si="41">((U56-K56)/K56)</f>
        <v>5.4984956945741258E-2</v>
      </c>
      <c r="AA56" s="156">
        <f t="shared" ref="AA56" si="42">V56-L56</f>
        <v>1.0727349999999997E-2</v>
      </c>
      <c r="AB56" s="157">
        <f t="shared" ref="AB56" si="43">W56-M56</f>
        <v>1.0727349999999997E-2</v>
      </c>
    </row>
    <row r="57" spans="1:28">
      <c r="A57" s="219">
        <v>49</v>
      </c>
      <c r="B57" s="55" t="s">
        <v>93</v>
      </c>
      <c r="C57" s="56" t="s">
        <v>35</v>
      </c>
      <c r="D57" s="142" t="s">
        <v>329</v>
      </c>
      <c r="E57" s="78">
        <v>569606244585.73999</v>
      </c>
      <c r="F57" s="62">
        <f t="shared" si="37"/>
        <v>9.116095128403516E-2</v>
      </c>
      <c r="G57" s="142" t="s">
        <v>329</v>
      </c>
      <c r="H57" s="69">
        <v>100</v>
      </c>
      <c r="I57" s="142" t="s">
        <v>329</v>
      </c>
      <c r="J57" s="69">
        <v>100</v>
      </c>
      <c r="K57" s="63">
        <v>55694</v>
      </c>
      <c r="L57" s="64">
        <v>0.17050000000000001</v>
      </c>
      <c r="M57" s="64">
        <v>0.17050000000000001</v>
      </c>
      <c r="N57" s="142" t="s">
        <v>329</v>
      </c>
      <c r="O57" s="78">
        <v>578186835537.02002</v>
      </c>
      <c r="P57" s="62">
        <f t="shared" si="38"/>
        <v>9.2534206653218765E-2</v>
      </c>
      <c r="Q57" s="142" t="s">
        <v>329</v>
      </c>
      <c r="R57" s="69">
        <v>100</v>
      </c>
      <c r="S57" s="142" t="s">
        <v>329</v>
      </c>
      <c r="T57" s="69">
        <v>100</v>
      </c>
      <c r="U57" s="63">
        <v>56975</v>
      </c>
      <c r="V57" s="64">
        <v>0.17195919000000001</v>
      </c>
      <c r="W57" s="64">
        <v>0.17195919000000001</v>
      </c>
      <c r="X57" s="158">
        <f t="shared" si="18"/>
        <v>1.5064074582820757E-2</v>
      </c>
      <c r="Y57" s="158">
        <f t="shared" si="19"/>
        <v>0</v>
      </c>
      <c r="Z57" s="158">
        <f t="shared" si="20"/>
        <v>2.3000682299709124E-2</v>
      </c>
      <c r="AA57" s="156">
        <f t="shared" si="21"/>
        <v>1.4591899999999991E-3</v>
      </c>
      <c r="AB57" s="157">
        <f t="shared" si="22"/>
        <v>1.4591899999999991E-3</v>
      </c>
    </row>
    <row r="58" spans="1:28">
      <c r="A58" s="217">
        <v>50</v>
      </c>
      <c r="B58" s="55" t="s">
        <v>94</v>
      </c>
      <c r="C58" s="56" t="s">
        <v>95</v>
      </c>
      <c r="D58" s="142" t="s">
        <v>329</v>
      </c>
      <c r="E58" s="78">
        <v>6916913334.4700003</v>
      </c>
      <c r="F58" s="62">
        <f t="shared" si="37"/>
        <v>1.1069969922434708E-3</v>
      </c>
      <c r="G58" s="142" t="s">
        <v>329</v>
      </c>
      <c r="H58" s="69">
        <v>100</v>
      </c>
      <c r="I58" s="142" t="s">
        <v>329</v>
      </c>
      <c r="J58" s="69">
        <v>100</v>
      </c>
      <c r="K58" s="63">
        <v>1210</v>
      </c>
      <c r="L58" s="64">
        <v>0.1643</v>
      </c>
      <c r="M58" s="64">
        <v>0.1643</v>
      </c>
      <c r="N58" s="142" t="s">
        <v>329</v>
      </c>
      <c r="O58" s="78">
        <v>7136785687.1099997</v>
      </c>
      <c r="P58" s="62">
        <f t="shared" si="38"/>
        <v>1.1421858143784852E-3</v>
      </c>
      <c r="Q58" s="142" t="s">
        <v>329</v>
      </c>
      <c r="R58" s="69">
        <v>100</v>
      </c>
      <c r="S58" s="142" t="s">
        <v>329</v>
      </c>
      <c r="T58" s="69">
        <v>100</v>
      </c>
      <c r="U58" s="63">
        <v>1214</v>
      </c>
      <c r="V58" s="64">
        <v>0.16439999999999999</v>
      </c>
      <c r="W58" s="64">
        <v>0.16439999999999999</v>
      </c>
      <c r="X58" s="158">
        <f t="shared" si="18"/>
        <v>3.1787640238931346E-2</v>
      </c>
      <c r="Y58" s="158">
        <f t="shared" si="19"/>
        <v>0</v>
      </c>
      <c r="Z58" s="158">
        <f t="shared" si="20"/>
        <v>3.3057851239669421E-3</v>
      </c>
      <c r="AA58" s="156">
        <f t="shared" si="21"/>
        <v>9.9999999999988987E-5</v>
      </c>
      <c r="AB58" s="157">
        <f t="shared" si="22"/>
        <v>9.9999999999988987E-5</v>
      </c>
    </row>
    <row r="59" spans="1:28">
      <c r="A59" s="217">
        <v>51</v>
      </c>
      <c r="B59" s="55" t="s">
        <v>96</v>
      </c>
      <c r="C59" s="56" t="s">
        <v>40</v>
      </c>
      <c r="D59" s="142" t="s">
        <v>329</v>
      </c>
      <c r="E59" s="80">
        <v>123193037293.89999</v>
      </c>
      <c r="F59" s="62">
        <f t="shared" si="37"/>
        <v>1.9716066279169959E-2</v>
      </c>
      <c r="G59" s="142" t="s">
        <v>329</v>
      </c>
      <c r="H59" s="69">
        <v>10</v>
      </c>
      <c r="I59" s="142" t="s">
        <v>329</v>
      </c>
      <c r="J59" s="69">
        <v>10</v>
      </c>
      <c r="K59" s="63">
        <v>11988</v>
      </c>
      <c r="L59" s="64">
        <v>0.17280000000000001</v>
      </c>
      <c r="M59" s="64">
        <v>0.17280000000000001</v>
      </c>
      <c r="N59" s="142" t="s">
        <v>329</v>
      </c>
      <c r="O59" s="80">
        <v>126545479774.17</v>
      </c>
      <c r="P59" s="62">
        <f t="shared" si="38"/>
        <v>2.0252598047442071E-2</v>
      </c>
      <c r="Q59" s="142" t="s">
        <v>329</v>
      </c>
      <c r="R59" s="69">
        <v>10</v>
      </c>
      <c r="S59" s="142" t="s">
        <v>329</v>
      </c>
      <c r="T59" s="69">
        <v>10</v>
      </c>
      <c r="U59" s="63">
        <v>12034</v>
      </c>
      <c r="V59" s="64">
        <v>0.1736</v>
      </c>
      <c r="W59" s="64">
        <v>0.1736</v>
      </c>
      <c r="X59" s="158">
        <f t="shared" si="18"/>
        <v>2.7212921719529708E-2</v>
      </c>
      <c r="Y59" s="158">
        <f t="shared" si="19"/>
        <v>0</v>
      </c>
      <c r="Z59" s="158">
        <f t="shared" si="20"/>
        <v>3.8371705038371703E-3</v>
      </c>
      <c r="AA59" s="156">
        <f t="shared" si="21"/>
        <v>7.9999999999999516E-4</v>
      </c>
      <c r="AB59" s="157">
        <f t="shared" si="22"/>
        <v>7.9999999999999516E-4</v>
      </c>
    </row>
    <row r="60" spans="1:28">
      <c r="A60" s="217">
        <v>52</v>
      </c>
      <c r="B60" s="55" t="s">
        <v>338</v>
      </c>
      <c r="C60" s="56" t="s">
        <v>312</v>
      </c>
      <c r="D60" s="142" t="s">
        <v>329</v>
      </c>
      <c r="E60" s="80">
        <v>628179198.40999997</v>
      </c>
      <c r="F60" s="62">
        <f t="shared" si="37"/>
        <v>1.0053508690998627E-4</v>
      </c>
      <c r="G60" s="142" t="s">
        <v>329</v>
      </c>
      <c r="H60" s="69">
        <v>1</v>
      </c>
      <c r="I60" s="142" t="s">
        <v>329</v>
      </c>
      <c r="J60" s="69">
        <v>1</v>
      </c>
      <c r="K60" s="63">
        <v>363</v>
      </c>
      <c r="L60" s="64">
        <v>0.19089999999999999</v>
      </c>
      <c r="M60" s="64">
        <v>0.19089999999999999</v>
      </c>
      <c r="N60" s="142" t="s">
        <v>329</v>
      </c>
      <c r="O60" s="80">
        <v>953418732.57000005</v>
      </c>
      <c r="P60" s="62">
        <f t="shared" si="38"/>
        <v>1.525870888166106E-4</v>
      </c>
      <c r="Q60" s="142" t="s">
        <v>329</v>
      </c>
      <c r="R60" s="69">
        <v>1</v>
      </c>
      <c r="S60" s="142" t="s">
        <v>329</v>
      </c>
      <c r="T60" s="69">
        <v>1</v>
      </c>
      <c r="U60" s="63">
        <v>375</v>
      </c>
      <c r="V60" s="64">
        <v>0.18776399999999999</v>
      </c>
      <c r="W60" s="64">
        <v>0.18776399999999999</v>
      </c>
      <c r="X60" s="158">
        <f t="shared" ref="X60" si="44">((O60-E60)/E60)</f>
        <v>0.51774960868367181</v>
      </c>
      <c r="Y60" s="158">
        <f t="shared" ref="Y60" si="45">((T60-J60)/J60)</f>
        <v>0</v>
      </c>
      <c r="Z60" s="158">
        <f t="shared" ref="Z60" si="46">((U60-K60)/K60)</f>
        <v>3.3057851239669422E-2</v>
      </c>
      <c r="AA60" s="156">
        <f t="shared" ref="AA60" si="47">V60-L60</f>
        <v>-3.1359999999999999E-3</v>
      </c>
      <c r="AB60" s="157">
        <f t="shared" ref="AB60" si="48">W60-M60</f>
        <v>-3.1359999999999999E-3</v>
      </c>
    </row>
    <row r="61" spans="1:28">
      <c r="A61" s="217">
        <v>53</v>
      </c>
      <c r="B61" s="55" t="s">
        <v>97</v>
      </c>
      <c r="C61" s="56" t="s">
        <v>98</v>
      </c>
      <c r="D61" s="142" t="s">
        <v>329</v>
      </c>
      <c r="E61" s="78">
        <v>48394601880</v>
      </c>
      <c r="F61" s="62">
        <f t="shared" si="37"/>
        <v>7.745171311458271E-3</v>
      </c>
      <c r="G61" s="142" t="s">
        <v>329</v>
      </c>
      <c r="H61" s="69">
        <v>100</v>
      </c>
      <c r="I61" s="142" t="s">
        <v>329</v>
      </c>
      <c r="J61" s="69">
        <v>100</v>
      </c>
      <c r="K61" s="63">
        <v>7004</v>
      </c>
      <c r="L61" s="64">
        <v>0.1709</v>
      </c>
      <c r="M61" s="64">
        <v>0.1709</v>
      </c>
      <c r="N61" s="142" t="s">
        <v>329</v>
      </c>
      <c r="O61" s="78">
        <v>48566122180</v>
      </c>
      <c r="P61" s="62">
        <f t="shared" si="38"/>
        <v>7.7726217719494388E-3</v>
      </c>
      <c r="Q61" s="142" t="s">
        <v>329</v>
      </c>
      <c r="R61" s="69">
        <v>100</v>
      </c>
      <c r="S61" s="142" t="s">
        <v>329</v>
      </c>
      <c r="T61" s="69">
        <v>100</v>
      </c>
      <c r="U61" s="63">
        <v>7043</v>
      </c>
      <c r="V61" s="64">
        <v>0.17119999999999999</v>
      </c>
      <c r="W61" s="64">
        <v>0.17119999999999999</v>
      </c>
      <c r="X61" s="158">
        <f t="shared" si="18"/>
        <v>3.544203141195466E-3</v>
      </c>
      <c r="Y61" s="158">
        <f t="shared" si="19"/>
        <v>0</v>
      </c>
      <c r="Z61" s="158">
        <f t="shared" si="20"/>
        <v>5.5682467161621927E-3</v>
      </c>
      <c r="AA61" s="156">
        <f t="shared" si="21"/>
        <v>2.9999999999999472E-4</v>
      </c>
      <c r="AB61" s="157">
        <f t="shared" si="22"/>
        <v>2.9999999999999472E-4</v>
      </c>
    </row>
    <row r="62" spans="1:28">
      <c r="A62" s="217">
        <v>54</v>
      </c>
      <c r="B62" s="55" t="s">
        <v>99</v>
      </c>
      <c r="C62" s="56" t="s">
        <v>100</v>
      </c>
      <c r="D62" s="142" t="s">
        <v>329</v>
      </c>
      <c r="E62" s="78">
        <v>207492316.62</v>
      </c>
      <c r="F62" s="62">
        <f t="shared" si="37"/>
        <v>3.3207495786785055E-5</v>
      </c>
      <c r="G62" s="142" t="s">
        <v>329</v>
      </c>
      <c r="H62" s="69">
        <v>1.01</v>
      </c>
      <c r="I62" s="142" t="s">
        <v>329</v>
      </c>
      <c r="J62" s="69">
        <v>1.01</v>
      </c>
      <c r="K62" s="63">
        <v>134</v>
      </c>
      <c r="L62" s="64">
        <v>0.14879999999999999</v>
      </c>
      <c r="M62" s="64">
        <v>0.14879999999999999</v>
      </c>
      <c r="N62" s="142" t="s">
        <v>329</v>
      </c>
      <c r="O62" s="78">
        <v>217518973.08000001</v>
      </c>
      <c r="P62" s="62">
        <f t="shared" si="38"/>
        <v>3.4812182444945861E-5</v>
      </c>
      <c r="Q62" s="142" t="s">
        <v>329</v>
      </c>
      <c r="R62" s="69">
        <v>1.01</v>
      </c>
      <c r="S62" s="142" t="s">
        <v>329</v>
      </c>
      <c r="T62" s="69">
        <v>1.01</v>
      </c>
      <c r="U62" s="63">
        <v>140</v>
      </c>
      <c r="V62" s="64">
        <v>0.17960000000000001</v>
      </c>
      <c r="W62" s="64">
        <v>0.17960000000000001</v>
      </c>
      <c r="X62" s="158">
        <f t="shared" si="18"/>
        <v>4.8323025273088821E-2</v>
      </c>
      <c r="Y62" s="158">
        <f t="shared" si="19"/>
        <v>0</v>
      </c>
      <c r="Z62" s="158">
        <f t="shared" si="20"/>
        <v>4.4776119402985072E-2</v>
      </c>
      <c r="AA62" s="156">
        <f t="shared" si="21"/>
        <v>3.0800000000000022E-2</v>
      </c>
      <c r="AB62" s="157">
        <f t="shared" si="22"/>
        <v>3.0800000000000022E-2</v>
      </c>
    </row>
    <row r="63" spans="1:28">
      <c r="A63" s="217">
        <v>55</v>
      </c>
      <c r="B63" s="55" t="s">
        <v>101</v>
      </c>
      <c r="C63" s="56" t="s">
        <v>42</v>
      </c>
      <c r="D63" s="142" t="s">
        <v>329</v>
      </c>
      <c r="E63" s="80">
        <v>3106994148.3400002</v>
      </c>
      <c r="F63" s="62">
        <f t="shared" si="37"/>
        <v>4.9724971397143965E-4</v>
      </c>
      <c r="G63" s="142" t="s">
        <v>329</v>
      </c>
      <c r="H63" s="69">
        <v>10</v>
      </c>
      <c r="I63" s="142" t="s">
        <v>329</v>
      </c>
      <c r="J63" s="69">
        <v>10</v>
      </c>
      <c r="K63" s="63">
        <v>1025</v>
      </c>
      <c r="L63" s="64">
        <v>0.17230000000000001</v>
      </c>
      <c r="M63" s="64">
        <v>0.17230000000000001</v>
      </c>
      <c r="N63" s="142" t="s">
        <v>329</v>
      </c>
      <c r="O63" s="80">
        <v>3051254088.9299998</v>
      </c>
      <c r="P63" s="62">
        <f t="shared" si="38"/>
        <v>4.8832896057601327E-4</v>
      </c>
      <c r="Q63" s="142" t="s">
        <v>329</v>
      </c>
      <c r="R63" s="69">
        <v>10</v>
      </c>
      <c r="S63" s="142" t="s">
        <v>329</v>
      </c>
      <c r="T63" s="69">
        <v>10</v>
      </c>
      <c r="U63" s="63">
        <v>1050</v>
      </c>
      <c r="V63" s="64">
        <v>0.16539999999999999</v>
      </c>
      <c r="W63" s="64">
        <v>0.16539999999999999</v>
      </c>
      <c r="X63" s="158">
        <f t="shared" si="18"/>
        <v>-1.7940188088149775E-2</v>
      </c>
      <c r="Y63" s="158">
        <f t="shared" si="19"/>
        <v>0</v>
      </c>
      <c r="Z63" s="158">
        <f t="shared" si="20"/>
        <v>2.4390243902439025E-2</v>
      </c>
      <c r="AA63" s="156">
        <f t="shared" si="21"/>
        <v>-6.9000000000000172E-3</v>
      </c>
      <c r="AB63" s="157">
        <f t="shared" si="22"/>
        <v>-6.9000000000000172E-3</v>
      </c>
    </row>
    <row r="64" spans="1:28" ht="15.6" customHeight="1">
      <c r="A64" s="217">
        <v>56</v>
      </c>
      <c r="B64" s="55" t="s">
        <v>102</v>
      </c>
      <c r="C64" s="56" t="s">
        <v>103</v>
      </c>
      <c r="D64" s="142" t="s">
        <v>329</v>
      </c>
      <c r="E64" s="80">
        <v>2151122225</v>
      </c>
      <c r="F64" s="62">
        <f t="shared" si="37"/>
        <v>3.4427001147406246E-4</v>
      </c>
      <c r="G64" s="142" t="s">
        <v>329</v>
      </c>
      <c r="H64" s="69">
        <v>1</v>
      </c>
      <c r="I64" s="142" t="s">
        <v>329</v>
      </c>
      <c r="J64" s="69">
        <v>1</v>
      </c>
      <c r="K64" s="63">
        <v>303</v>
      </c>
      <c r="L64" s="64">
        <v>0.18590000000000001</v>
      </c>
      <c r="M64" s="64">
        <v>0.18590000000000001</v>
      </c>
      <c r="N64" s="142" t="s">
        <v>329</v>
      </c>
      <c r="O64" s="80">
        <v>2391776087</v>
      </c>
      <c r="P64" s="62">
        <f t="shared" si="38"/>
        <v>3.8278474897672455E-4</v>
      </c>
      <c r="Q64" s="142" t="s">
        <v>329</v>
      </c>
      <c r="R64" s="69">
        <v>1</v>
      </c>
      <c r="S64" s="142" t="s">
        <v>329</v>
      </c>
      <c r="T64" s="69">
        <v>1</v>
      </c>
      <c r="U64" s="63">
        <v>305</v>
      </c>
      <c r="V64" s="64">
        <v>0.17069999999999999</v>
      </c>
      <c r="W64" s="64">
        <v>0.17069999999999999</v>
      </c>
      <c r="X64" s="158">
        <f t="shared" si="18"/>
        <v>0.11187363470246327</v>
      </c>
      <c r="Y64" s="158">
        <f t="shared" si="19"/>
        <v>0</v>
      </c>
      <c r="Z64" s="158">
        <f t="shared" si="20"/>
        <v>6.6006600660066007E-3</v>
      </c>
      <c r="AA64" s="156">
        <f t="shared" si="21"/>
        <v>-1.5200000000000019E-2</v>
      </c>
      <c r="AB64" s="157">
        <f t="shared" si="22"/>
        <v>-1.5200000000000019E-2</v>
      </c>
    </row>
    <row r="65" spans="1:28">
      <c r="A65" s="217">
        <v>57</v>
      </c>
      <c r="B65" s="55" t="s">
        <v>104</v>
      </c>
      <c r="C65" s="56" t="s">
        <v>105</v>
      </c>
      <c r="D65" s="142" t="s">
        <v>329</v>
      </c>
      <c r="E65" s="80">
        <v>2456532455.1999998</v>
      </c>
      <c r="F65" s="62">
        <f t="shared" si="37"/>
        <v>3.9314849091762357E-4</v>
      </c>
      <c r="G65" s="142" t="s">
        <v>329</v>
      </c>
      <c r="H65" s="69">
        <v>1</v>
      </c>
      <c r="I65" s="142" t="s">
        <v>329</v>
      </c>
      <c r="J65" s="69">
        <v>1</v>
      </c>
      <c r="K65" s="63">
        <v>3569</v>
      </c>
      <c r="L65" s="64">
        <v>0.1706</v>
      </c>
      <c r="M65" s="64">
        <v>0.1706</v>
      </c>
      <c r="N65" s="142" t="s">
        <v>329</v>
      </c>
      <c r="O65" s="80">
        <v>2291077457.98</v>
      </c>
      <c r="P65" s="62">
        <f t="shared" si="38"/>
        <v>3.6666873391945007E-4</v>
      </c>
      <c r="Q65" s="142" t="s">
        <v>329</v>
      </c>
      <c r="R65" s="69">
        <v>1</v>
      </c>
      <c r="S65" s="142" t="s">
        <v>329</v>
      </c>
      <c r="T65" s="69">
        <v>1</v>
      </c>
      <c r="U65" s="63">
        <v>3626</v>
      </c>
      <c r="V65" s="64">
        <v>0.1699</v>
      </c>
      <c r="W65" s="64">
        <v>0.1699</v>
      </c>
      <c r="X65" s="158">
        <f t="shared" si="18"/>
        <v>-6.7353067886306101E-2</v>
      </c>
      <c r="Y65" s="158">
        <f t="shared" si="19"/>
        <v>0</v>
      </c>
      <c r="Z65" s="158">
        <f t="shared" si="20"/>
        <v>1.5970860184925748E-2</v>
      </c>
      <c r="AA65" s="156">
        <f t="shared" si="21"/>
        <v>-7.0000000000000617E-4</v>
      </c>
      <c r="AB65" s="157">
        <f t="shared" si="22"/>
        <v>-7.0000000000000617E-4</v>
      </c>
    </row>
    <row r="66" spans="1:28">
      <c r="A66" s="219">
        <v>58</v>
      </c>
      <c r="B66" s="55" t="s">
        <v>345</v>
      </c>
      <c r="C66" s="56" t="s">
        <v>150</v>
      </c>
      <c r="D66" s="142" t="s">
        <v>329</v>
      </c>
      <c r="E66" s="80">
        <v>302285202.12</v>
      </c>
      <c r="F66" s="62">
        <f t="shared" si="37"/>
        <v>4.8378343542190724E-5</v>
      </c>
      <c r="G66" s="142" t="s">
        <v>329</v>
      </c>
      <c r="H66" s="69">
        <v>1</v>
      </c>
      <c r="I66" s="142" t="s">
        <v>329</v>
      </c>
      <c r="J66" s="69">
        <v>1</v>
      </c>
      <c r="K66" s="63">
        <v>46</v>
      </c>
      <c r="L66" s="64">
        <v>0.1636</v>
      </c>
      <c r="M66" s="64">
        <v>0.1636</v>
      </c>
      <c r="N66" s="142" t="s">
        <v>329</v>
      </c>
      <c r="O66" s="80">
        <v>311304547.89999998</v>
      </c>
      <c r="P66" s="62">
        <f t="shared" si="38"/>
        <v>4.9821818133770064E-5</v>
      </c>
      <c r="Q66" s="142" t="s">
        <v>329</v>
      </c>
      <c r="R66" s="69">
        <v>1</v>
      </c>
      <c r="S66" s="142" t="s">
        <v>329</v>
      </c>
      <c r="T66" s="69">
        <v>1</v>
      </c>
      <c r="U66" s="63">
        <v>49</v>
      </c>
      <c r="V66" s="64">
        <v>0.1623</v>
      </c>
      <c r="W66" s="64">
        <v>0.1623</v>
      </c>
      <c r="X66" s="158">
        <f t="shared" si="18"/>
        <v>2.9837205780319696E-2</v>
      </c>
      <c r="Y66" s="158">
        <f t="shared" si="19"/>
        <v>0</v>
      </c>
      <c r="Z66" s="158">
        <f t="shared" si="20"/>
        <v>6.5217391304347824E-2</v>
      </c>
      <c r="AA66" s="156">
        <f t="shared" si="21"/>
        <v>-1.2999999999999956E-3</v>
      </c>
      <c r="AB66" s="157">
        <f t="shared" si="22"/>
        <v>-1.2999999999999956E-3</v>
      </c>
    </row>
    <row r="67" spans="1:28">
      <c r="A67" s="217">
        <v>59</v>
      </c>
      <c r="B67" s="55" t="s">
        <v>106</v>
      </c>
      <c r="C67" s="56" t="s">
        <v>107</v>
      </c>
      <c r="D67" s="142" t="s">
        <v>329</v>
      </c>
      <c r="E67" s="80">
        <v>22306928564.68</v>
      </c>
      <c r="F67" s="62">
        <f t="shared" si="37"/>
        <v>3.570046584830146E-3</v>
      </c>
      <c r="G67" s="142" t="s">
        <v>329</v>
      </c>
      <c r="H67" s="69">
        <v>100</v>
      </c>
      <c r="I67" s="142" t="s">
        <v>329</v>
      </c>
      <c r="J67" s="69">
        <v>100</v>
      </c>
      <c r="K67" s="63">
        <v>166</v>
      </c>
      <c r="L67" s="64">
        <v>0.1603</v>
      </c>
      <c r="M67" s="64">
        <v>0.1603</v>
      </c>
      <c r="N67" s="142" t="s">
        <v>329</v>
      </c>
      <c r="O67" s="80">
        <v>25001071062.258801</v>
      </c>
      <c r="P67" s="62">
        <f t="shared" si="38"/>
        <v>4.0012226741173145E-3</v>
      </c>
      <c r="Q67" s="142" t="s">
        <v>329</v>
      </c>
      <c r="R67" s="69">
        <v>100</v>
      </c>
      <c r="S67" s="142" t="s">
        <v>329</v>
      </c>
      <c r="T67" s="69">
        <v>100</v>
      </c>
      <c r="U67" s="63">
        <v>167</v>
      </c>
      <c r="V67" s="64">
        <v>0.1598</v>
      </c>
      <c r="W67" s="64">
        <v>0.1598</v>
      </c>
      <c r="X67" s="158">
        <f t="shared" si="18"/>
        <v>0.12077604004365755</v>
      </c>
      <c r="Y67" s="158">
        <f t="shared" si="19"/>
        <v>0</v>
      </c>
      <c r="Z67" s="158">
        <f t="shared" si="20"/>
        <v>6.024096385542169E-3</v>
      </c>
      <c r="AA67" s="156">
        <f t="shared" si="21"/>
        <v>-5.0000000000000044E-4</v>
      </c>
      <c r="AB67" s="157">
        <f t="shared" si="22"/>
        <v>-5.0000000000000044E-4</v>
      </c>
    </row>
    <row r="68" spans="1:28">
      <c r="A68" s="217">
        <v>60</v>
      </c>
      <c r="B68" s="55" t="s">
        <v>304</v>
      </c>
      <c r="C68" s="56" t="s">
        <v>73</v>
      </c>
      <c r="D68" s="142" t="s">
        <v>329</v>
      </c>
      <c r="E68" s="80">
        <v>517927214.94</v>
      </c>
      <c r="F68" s="62">
        <f t="shared" si="37"/>
        <v>8.2890133418673137E-5</v>
      </c>
      <c r="G68" s="142" t="s">
        <v>329</v>
      </c>
      <c r="H68" s="69">
        <v>1000</v>
      </c>
      <c r="I68" s="142" t="s">
        <v>329</v>
      </c>
      <c r="J68" s="69">
        <v>1000</v>
      </c>
      <c r="K68" s="63">
        <v>52</v>
      </c>
      <c r="L68" s="64">
        <v>0.20039999999999999</v>
      </c>
      <c r="M68" s="64">
        <v>0.20039999999999999</v>
      </c>
      <c r="N68" s="142" t="s">
        <v>329</v>
      </c>
      <c r="O68" s="80">
        <v>518218558.91000003</v>
      </c>
      <c r="P68" s="62">
        <f t="shared" si="38"/>
        <v>8.2936760704993321E-5</v>
      </c>
      <c r="Q68" s="142" t="s">
        <v>329</v>
      </c>
      <c r="R68" s="69">
        <v>1000</v>
      </c>
      <c r="S68" s="142" t="s">
        <v>329</v>
      </c>
      <c r="T68" s="69">
        <v>1000</v>
      </c>
      <c r="U68" s="63">
        <v>54</v>
      </c>
      <c r="V68" s="64">
        <v>0.20100000000000001</v>
      </c>
      <c r="W68" s="64">
        <v>0.20100000000000001</v>
      </c>
      <c r="X68" s="158">
        <f t="shared" si="18"/>
        <v>5.625191370447289E-4</v>
      </c>
      <c r="Y68" s="158">
        <f t="shared" si="19"/>
        <v>0</v>
      </c>
      <c r="Z68" s="158">
        <f t="shared" si="20"/>
        <v>3.8461538461538464E-2</v>
      </c>
      <c r="AA68" s="156">
        <f t="shared" si="21"/>
        <v>6.0000000000001719E-4</v>
      </c>
      <c r="AB68" s="157">
        <f t="shared" si="22"/>
        <v>6.0000000000001719E-4</v>
      </c>
    </row>
    <row r="69" spans="1:28">
      <c r="A69" s="217">
        <v>61</v>
      </c>
      <c r="B69" s="55" t="s">
        <v>306</v>
      </c>
      <c r="C69" s="56" t="s">
        <v>31</v>
      </c>
      <c r="D69" s="142" t="s">
        <v>329</v>
      </c>
      <c r="E69" s="67">
        <v>2874334105.98</v>
      </c>
      <c r="F69" s="62">
        <f t="shared" si="37"/>
        <v>4.6001432375420863E-4</v>
      </c>
      <c r="G69" s="142" t="s">
        <v>329</v>
      </c>
      <c r="H69" s="61">
        <v>1</v>
      </c>
      <c r="I69" s="142" t="s">
        <v>329</v>
      </c>
      <c r="J69" s="61">
        <v>1</v>
      </c>
      <c r="K69" s="63">
        <v>580</v>
      </c>
      <c r="L69" s="64">
        <v>0.16009999999999999</v>
      </c>
      <c r="M69" s="64">
        <v>0.16009999999999999</v>
      </c>
      <c r="N69" s="142" t="s">
        <v>329</v>
      </c>
      <c r="O69" s="67">
        <v>2933655681.3099999</v>
      </c>
      <c r="P69" s="62">
        <f t="shared" si="38"/>
        <v>4.6950827030088545E-4</v>
      </c>
      <c r="Q69" s="142" t="s">
        <v>329</v>
      </c>
      <c r="R69" s="61">
        <v>1</v>
      </c>
      <c r="S69" s="142" t="s">
        <v>329</v>
      </c>
      <c r="T69" s="61">
        <v>1</v>
      </c>
      <c r="U69" s="63">
        <v>580</v>
      </c>
      <c r="V69" s="64">
        <v>0.16001520999999999</v>
      </c>
      <c r="W69" s="64">
        <v>0.16001520999999999</v>
      </c>
      <c r="X69" s="158">
        <f t="shared" si="18"/>
        <v>2.0638371581989185E-2</v>
      </c>
      <c r="Y69" s="158">
        <f t="shared" si="19"/>
        <v>0</v>
      </c>
      <c r="Z69" s="158">
        <f t="shared" si="20"/>
        <v>0</v>
      </c>
      <c r="AA69" s="156">
        <f t="shared" si="21"/>
        <v>-8.4790000000001253E-5</v>
      </c>
      <c r="AB69" s="157">
        <f t="shared" si="22"/>
        <v>-8.4790000000001253E-5</v>
      </c>
    </row>
    <row r="70" spans="1:28">
      <c r="A70" s="217">
        <v>62</v>
      </c>
      <c r="B70" s="55" t="s">
        <v>108</v>
      </c>
      <c r="C70" s="56" t="s">
        <v>46</v>
      </c>
      <c r="D70" s="142" t="s">
        <v>329</v>
      </c>
      <c r="E70" s="78">
        <v>2949534769257.4102</v>
      </c>
      <c r="F70" s="62">
        <f t="shared" si="37"/>
        <v>0.47204959209391029</v>
      </c>
      <c r="G70" s="142" t="s">
        <v>329</v>
      </c>
      <c r="H70" s="69">
        <v>100</v>
      </c>
      <c r="I70" s="142" t="s">
        <v>329</v>
      </c>
      <c r="J70" s="69">
        <v>100</v>
      </c>
      <c r="K70" s="63">
        <v>353744</v>
      </c>
      <c r="L70" s="64">
        <v>0.1535</v>
      </c>
      <c r="M70" s="64">
        <v>0.1535</v>
      </c>
      <c r="N70" s="142" t="s">
        <v>329</v>
      </c>
      <c r="O70" s="78">
        <v>2964473090636.1099</v>
      </c>
      <c r="P70" s="62">
        <f t="shared" si="38"/>
        <v>0.47444035167636411</v>
      </c>
      <c r="Q70" s="142" t="s">
        <v>329</v>
      </c>
      <c r="R70" s="69">
        <v>100</v>
      </c>
      <c r="S70" s="142" t="s">
        <v>329</v>
      </c>
      <c r="T70" s="69">
        <v>100</v>
      </c>
      <c r="U70" s="63">
        <v>356617</v>
      </c>
      <c r="V70" s="64">
        <v>0.15359999999999999</v>
      </c>
      <c r="W70" s="64">
        <v>0.15359999999999999</v>
      </c>
      <c r="X70" s="158">
        <f t="shared" si="18"/>
        <v>5.0646364756909293E-3</v>
      </c>
      <c r="Y70" s="158">
        <f t="shared" si="19"/>
        <v>0</v>
      </c>
      <c r="Z70" s="158">
        <f t="shared" si="20"/>
        <v>8.121692523406757E-3</v>
      </c>
      <c r="AA70" s="156">
        <f t="shared" si="21"/>
        <v>9.9999999999988987E-5</v>
      </c>
      <c r="AB70" s="157">
        <f t="shared" si="22"/>
        <v>9.9999999999988987E-5</v>
      </c>
    </row>
    <row r="71" spans="1:28">
      <c r="A71" s="217">
        <v>63</v>
      </c>
      <c r="B71" s="55" t="s">
        <v>109</v>
      </c>
      <c r="C71" s="55" t="s">
        <v>110</v>
      </c>
      <c r="D71" s="142" t="s">
        <v>329</v>
      </c>
      <c r="E71" s="78">
        <v>18089293265.779999</v>
      </c>
      <c r="F71" s="62">
        <f t="shared" si="37"/>
        <v>2.895047583903681E-3</v>
      </c>
      <c r="G71" s="142" t="s">
        <v>329</v>
      </c>
      <c r="H71" s="69">
        <v>100</v>
      </c>
      <c r="I71" s="142" t="s">
        <v>329</v>
      </c>
      <c r="J71" s="69">
        <v>100</v>
      </c>
      <c r="K71" s="63">
        <v>1912</v>
      </c>
      <c r="L71" s="64">
        <v>0.1903</v>
      </c>
      <c r="M71" s="64">
        <v>0.1903</v>
      </c>
      <c r="N71" s="142" t="s">
        <v>329</v>
      </c>
      <c r="O71" s="78">
        <v>18433753020.77</v>
      </c>
      <c r="P71" s="62">
        <f t="shared" ref="P71:P77" si="49">(O71/$O$78)</f>
        <v>2.9501756293604012E-3</v>
      </c>
      <c r="Q71" s="142" t="s">
        <v>329</v>
      </c>
      <c r="R71" s="69">
        <v>100</v>
      </c>
      <c r="S71" s="142" t="s">
        <v>329</v>
      </c>
      <c r="T71" s="69">
        <v>100</v>
      </c>
      <c r="U71" s="63">
        <v>1961</v>
      </c>
      <c r="V71" s="64">
        <v>0.1885</v>
      </c>
      <c r="W71" s="64">
        <v>0.1885</v>
      </c>
      <c r="X71" s="158">
        <f t="shared" si="18"/>
        <v>1.9042189759929728E-2</v>
      </c>
      <c r="Y71" s="158">
        <f t="shared" si="19"/>
        <v>0</v>
      </c>
      <c r="Z71" s="158">
        <f t="shared" si="20"/>
        <v>2.5627615062761507E-2</v>
      </c>
      <c r="AA71" s="156">
        <f t="shared" si="21"/>
        <v>-1.799999999999996E-3</v>
      </c>
      <c r="AB71" s="157">
        <f t="shared" si="22"/>
        <v>-1.799999999999996E-3</v>
      </c>
    </row>
    <row r="72" spans="1:28">
      <c r="A72" s="217">
        <v>64</v>
      </c>
      <c r="B72" s="220" t="s">
        <v>111</v>
      </c>
      <c r="C72" s="56" t="s">
        <v>112</v>
      </c>
      <c r="D72" s="142" t="s">
        <v>329</v>
      </c>
      <c r="E72" s="78">
        <v>17559725672.189999</v>
      </c>
      <c r="F72" s="62">
        <f t="shared" si="37"/>
        <v>2.8102945004188406E-3</v>
      </c>
      <c r="G72" s="142" t="s">
        <v>329</v>
      </c>
      <c r="H72" s="69">
        <v>1</v>
      </c>
      <c r="I72" s="142" t="s">
        <v>329</v>
      </c>
      <c r="J72" s="69">
        <v>1</v>
      </c>
      <c r="K72" s="63">
        <v>1003</v>
      </c>
      <c r="L72" s="64">
        <v>0.190334</v>
      </c>
      <c r="M72" s="64">
        <v>0.190334</v>
      </c>
      <c r="N72" s="142" t="s">
        <v>329</v>
      </c>
      <c r="O72" s="78">
        <v>18080191928.490002</v>
      </c>
      <c r="P72" s="62">
        <f t="shared" si="49"/>
        <v>2.8935909872227295E-3</v>
      </c>
      <c r="Q72" s="142" t="s">
        <v>329</v>
      </c>
      <c r="R72" s="69">
        <v>1</v>
      </c>
      <c r="S72" s="142" t="s">
        <v>329</v>
      </c>
      <c r="T72" s="69">
        <v>1</v>
      </c>
      <c r="U72" s="63">
        <v>1015</v>
      </c>
      <c r="V72" s="64">
        <v>0.18978700000000001</v>
      </c>
      <c r="W72" s="64">
        <v>0.18978700000000001</v>
      </c>
      <c r="X72" s="158">
        <f t="shared" si="18"/>
        <v>2.9639771487107291E-2</v>
      </c>
      <c r="Y72" s="158">
        <f t="shared" si="19"/>
        <v>0</v>
      </c>
      <c r="Z72" s="158">
        <f t="shared" si="20"/>
        <v>1.1964107676969093E-2</v>
      </c>
      <c r="AA72" s="156">
        <f t="shared" si="21"/>
        <v>-5.4699999999999194E-4</v>
      </c>
      <c r="AB72" s="157">
        <f t="shared" si="22"/>
        <v>-5.4699999999999194E-4</v>
      </c>
    </row>
    <row r="73" spans="1:28">
      <c r="A73" s="217">
        <v>65</v>
      </c>
      <c r="B73" s="55" t="s">
        <v>113</v>
      </c>
      <c r="C73" s="56" t="s">
        <v>49</v>
      </c>
      <c r="D73" s="142" t="s">
        <v>329</v>
      </c>
      <c r="E73" s="78">
        <v>250962038057.34</v>
      </c>
      <c r="F73" s="62">
        <f t="shared" si="37"/>
        <v>4.0164479134399036E-2</v>
      </c>
      <c r="G73" s="142" t="s">
        <v>329</v>
      </c>
      <c r="H73" s="69">
        <v>1</v>
      </c>
      <c r="I73" s="142" t="s">
        <v>329</v>
      </c>
      <c r="J73" s="69">
        <v>1</v>
      </c>
      <c r="K73" s="63">
        <v>98073</v>
      </c>
      <c r="L73" s="64">
        <v>0.152</v>
      </c>
      <c r="M73" s="64">
        <v>0.152</v>
      </c>
      <c r="N73" s="142" t="s">
        <v>329</v>
      </c>
      <c r="O73" s="78">
        <v>256229406772.73999</v>
      </c>
      <c r="P73" s="62">
        <f t="shared" si="49"/>
        <v>4.1007479623638501E-2</v>
      </c>
      <c r="Q73" s="142" t="s">
        <v>329</v>
      </c>
      <c r="R73" s="69">
        <v>1</v>
      </c>
      <c r="S73" s="142" t="s">
        <v>329</v>
      </c>
      <c r="T73" s="69">
        <v>1</v>
      </c>
      <c r="U73" s="63">
        <v>98892</v>
      </c>
      <c r="V73" s="64">
        <v>0.15179999999999999</v>
      </c>
      <c r="W73" s="64">
        <v>0.15179999999999999</v>
      </c>
      <c r="X73" s="158">
        <f t="shared" si="18"/>
        <v>2.0988707121498994E-2</v>
      </c>
      <c r="Y73" s="158">
        <f t="shared" si="19"/>
        <v>0</v>
      </c>
      <c r="Z73" s="158">
        <f t="shared" si="20"/>
        <v>8.3509222721850056E-3</v>
      </c>
      <c r="AA73" s="156">
        <f t="shared" si="21"/>
        <v>-2.0000000000000573E-4</v>
      </c>
      <c r="AB73" s="157">
        <f t="shared" si="22"/>
        <v>-2.0000000000000573E-4</v>
      </c>
    </row>
    <row r="74" spans="1:28">
      <c r="A74" s="217">
        <v>66</v>
      </c>
      <c r="B74" s="55" t="s">
        <v>114</v>
      </c>
      <c r="C74" s="56" t="s">
        <v>115</v>
      </c>
      <c r="D74" s="142" t="s">
        <v>329</v>
      </c>
      <c r="E74" s="80">
        <v>3697205507.7800002</v>
      </c>
      <c r="F74" s="62">
        <f t="shared" si="37"/>
        <v>5.917083500847505E-4</v>
      </c>
      <c r="G74" s="142" t="s">
        <v>329</v>
      </c>
      <c r="H74" s="69">
        <v>1</v>
      </c>
      <c r="I74" s="142" t="s">
        <v>329</v>
      </c>
      <c r="J74" s="69">
        <v>1</v>
      </c>
      <c r="K74" s="63">
        <v>171</v>
      </c>
      <c r="L74" s="64">
        <v>0.15160000000000001</v>
      </c>
      <c r="M74" s="64">
        <v>0.15160000000000001</v>
      </c>
      <c r="N74" s="142" t="s">
        <v>329</v>
      </c>
      <c r="O74" s="80">
        <v>3816813388.96</v>
      </c>
      <c r="P74" s="62">
        <f t="shared" si="49"/>
        <v>6.1085064062857441E-4</v>
      </c>
      <c r="Q74" s="142" t="s">
        <v>329</v>
      </c>
      <c r="R74" s="69">
        <v>1</v>
      </c>
      <c r="S74" s="142" t="s">
        <v>329</v>
      </c>
      <c r="T74" s="69">
        <v>1</v>
      </c>
      <c r="U74" s="63">
        <v>172</v>
      </c>
      <c r="V74" s="64">
        <v>0.153</v>
      </c>
      <c r="W74" s="64">
        <v>0.153</v>
      </c>
      <c r="X74" s="158">
        <f t="shared" si="18"/>
        <v>3.2350887968848344E-2</v>
      </c>
      <c r="Y74" s="158">
        <f t="shared" si="19"/>
        <v>0</v>
      </c>
      <c r="Z74" s="158">
        <f t="shared" si="20"/>
        <v>5.8479532163742687E-3</v>
      </c>
      <c r="AA74" s="156">
        <f t="shared" si="21"/>
        <v>1.3999999999999846E-3</v>
      </c>
      <c r="AB74" s="157">
        <f t="shared" si="22"/>
        <v>1.3999999999999846E-3</v>
      </c>
    </row>
    <row r="75" spans="1:28">
      <c r="A75" s="217">
        <v>67</v>
      </c>
      <c r="B75" s="55" t="s">
        <v>116</v>
      </c>
      <c r="C75" s="56" t="s">
        <v>117</v>
      </c>
      <c r="D75" s="142" t="s">
        <v>329</v>
      </c>
      <c r="E75" s="78">
        <v>12164930625.139999</v>
      </c>
      <c r="F75" s="62">
        <f t="shared" si="37"/>
        <v>1.9469004397916633E-3</v>
      </c>
      <c r="G75" s="142" t="s">
        <v>329</v>
      </c>
      <c r="H75" s="69">
        <v>1</v>
      </c>
      <c r="I75" s="142" t="s">
        <v>329</v>
      </c>
      <c r="J75" s="69">
        <v>1</v>
      </c>
      <c r="K75" s="63">
        <v>746</v>
      </c>
      <c r="L75" s="64">
        <v>0.16289999999999999</v>
      </c>
      <c r="M75" s="64">
        <v>0.16289999999999999</v>
      </c>
      <c r="N75" s="142" t="s">
        <v>329</v>
      </c>
      <c r="O75" s="78">
        <v>12274187948.379999</v>
      </c>
      <c r="P75" s="62">
        <f>(O75/$O$78)</f>
        <v>1.964386205820351E-3</v>
      </c>
      <c r="Q75" s="142" t="s">
        <v>329</v>
      </c>
      <c r="R75" s="69">
        <v>1</v>
      </c>
      <c r="S75" s="142" t="s">
        <v>329</v>
      </c>
      <c r="T75" s="69">
        <v>1</v>
      </c>
      <c r="U75" s="63">
        <v>749</v>
      </c>
      <c r="V75" s="64">
        <v>0.1633</v>
      </c>
      <c r="W75" s="64">
        <v>0.1633</v>
      </c>
      <c r="X75" s="158">
        <f t="shared" si="18"/>
        <v>8.981335496826344E-3</v>
      </c>
      <c r="Y75" s="158">
        <f t="shared" si="19"/>
        <v>0</v>
      </c>
      <c r="Z75" s="158">
        <f t="shared" si="20"/>
        <v>4.0214477211796247E-3</v>
      </c>
      <c r="AA75" s="156">
        <f t="shared" si="21"/>
        <v>4.0000000000001146E-4</v>
      </c>
      <c r="AB75" s="157">
        <f t="shared" si="22"/>
        <v>4.0000000000001146E-4</v>
      </c>
    </row>
    <row r="76" spans="1:28">
      <c r="A76" s="217">
        <v>68</v>
      </c>
      <c r="B76" s="55" t="s">
        <v>118</v>
      </c>
      <c r="C76" s="56" t="s">
        <v>119</v>
      </c>
      <c r="D76" s="142" t="s">
        <v>329</v>
      </c>
      <c r="E76" s="78">
        <v>21300695487.290001</v>
      </c>
      <c r="F76" s="62">
        <f t="shared" si="37"/>
        <v>3.4090069799798746E-3</v>
      </c>
      <c r="G76" s="142" t="s">
        <v>329</v>
      </c>
      <c r="H76" s="69">
        <v>1</v>
      </c>
      <c r="I76" s="142" t="s">
        <v>329</v>
      </c>
      <c r="J76" s="69">
        <v>1</v>
      </c>
      <c r="K76" s="63">
        <v>9037</v>
      </c>
      <c r="L76" s="64">
        <v>0.17949999999999999</v>
      </c>
      <c r="M76" s="64">
        <v>0.17949999999999999</v>
      </c>
      <c r="N76" s="142" t="s">
        <v>329</v>
      </c>
      <c r="O76" s="78">
        <v>21469160065.16</v>
      </c>
      <c r="P76" s="62">
        <f t="shared" si="49"/>
        <v>3.4359683964360122E-3</v>
      </c>
      <c r="Q76" s="142" t="s">
        <v>329</v>
      </c>
      <c r="R76" s="69">
        <v>1</v>
      </c>
      <c r="S76" s="142" t="s">
        <v>329</v>
      </c>
      <c r="T76" s="69">
        <v>1</v>
      </c>
      <c r="U76" s="63">
        <v>9204</v>
      </c>
      <c r="V76" s="64">
        <v>0.18429999999999999</v>
      </c>
      <c r="W76" s="64">
        <v>0.18429999999999999</v>
      </c>
      <c r="X76" s="158">
        <f t="shared" si="18"/>
        <v>7.9088768707350782E-3</v>
      </c>
      <c r="Y76" s="158">
        <f t="shared" si="19"/>
        <v>0</v>
      </c>
      <c r="Z76" s="158">
        <f t="shared" si="20"/>
        <v>1.8479583932721037E-2</v>
      </c>
      <c r="AA76" s="156">
        <f t="shared" si="21"/>
        <v>4.7999999999999987E-3</v>
      </c>
      <c r="AB76" s="157">
        <f t="shared" si="22"/>
        <v>4.7999999999999987E-3</v>
      </c>
    </row>
    <row r="77" spans="1:28">
      <c r="A77" s="217">
        <v>69</v>
      </c>
      <c r="B77" s="55" t="s">
        <v>120</v>
      </c>
      <c r="C77" s="56" t="s">
        <v>121</v>
      </c>
      <c r="D77" s="142" t="s">
        <v>329</v>
      </c>
      <c r="E77" s="78">
        <v>164141021542.63</v>
      </c>
      <c r="F77" s="62">
        <f t="shared" si="37"/>
        <v>2.6269465636637901E-2</v>
      </c>
      <c r="G77" s="142" t="s">
        <v>329</v>
      </c>
      <c r="H77" s="69">
        <v>1</v>
      </c>
      <c r="I77" s="142" t="s">
        <v>329</v>
      </c>
      <c r="J77" s="69">
        <v>1</v>
      </c>
      <c r="K77" s="63">
        <v>9145</v>
      </c>
      <c r="L77" s="64">
        <v>0.16020000000000001</v>
      </c>
      <c r="M77" s="64">
        <v>0.16020000000000001</v>
      </c>
      <c r="N77" s="142" t="s">
        <v>329</v>
      </c>
      <c r="O77" s="78">
        <v>163783117479.59</v>
      </c>
      <c r="P77" s="62">
        <f t="shared" si="49"/>
        <v>2.6212185936555124E-2</v>
      </c>
      <c r="Q77" s="142" t="s">
        <v>329</v>
      </c>
      <c r="R77" s="69">
        <v>1</v>
      </c>
      <c r="S77" s="142" t="s">
        <v>329</v>
      </c>
      <c r="T77" s="69">
        <v>1</v>
      </c>
      <c r="U77" s="63">
        <v>9185</v>
      </c>
      <c r="V77" s="64">
        <v>0.161</v>
      </c>
      <c r="W77" s="64">
        <v>0.161</v>
      </c>
      <c r="X77" s="158">
        <f t="shared" si="18"/>
        <v>-2.1804668916785997E-3</v>
      </c>
      <c r="Y77" s="158">
        <f t="shared" si="19"/>
        <v>0</v>
      </c>
      <c r="Z77" s="158">
        <f t="shared" si="20"/>
        <v>4.3739748496446143E-3</v>
      </c>
      <c r="AA77" s="156">
        <f t="shared" si="21"/>
        <v>7.9999999999999516E-4</v>
      </c>
      <c r="AB77" s="157">
        <f t="shared" si="22"/>
        <v>7.9999999999999516E-4</v>
      </c>
    </row>
    <row r="78" spans="1:28">
      <c r="B78" s="70"/>
      <c r="C78" s="71" t="s">
        <v>52</v>
      </c>
      <c r="D78" s="116" t="s">
        <v>329</v>
      </c>
      <c r="E78" s="85">
        <f>SUM(E30:E77)</f>
        <v>6207558805093.9512</v>
      </c>
      <c r="F78" s="73">
        <f>(E78/$E$241)</f>
        <v>0.66392065167547865</v>
      </c>
      <c r="G78" s="142" t="s">
        <v>329</v>
      </c>
      <c r="H78" s="74"/>
      <c r="I78" s="142"/>
      <c r="J78" s="79"/>
      <c r="K78" s="76">
        <f>SUM(K30:K77)</f>
        <v>826866</v>
      </c>
      <c r="L78" s="86"/>
      <c r="M78" s="86"/>
      <c r="N78" s="142"/>
      <c r="O78" s="85">
        <f>SUM(O30:O77)</f>
        <v>6248357839213.2686</v>
      </c>
      <c r="P78" s="73">
        <f>(O78/$O$241)</f>
        <v>0.66670785377655772</v>
      </c>
      <c r="Q78" s="142"/>
      <c r="R78" s="74"/>
      <c r="S78" s="74"/>
      <c r="T78" s="79"/>
      <c r="U78" s="76">
        <f>SUM(U30:U77)</f>
        <v>834531</v>
      </c>
      <c r="V78" s="86"/>
      <c r="W78" s="86"/>
      <c r="X78" s="158">
        <f t="shared" si="18"/>
        <v>6.5724764598021216E-3</v>
      </c>
      <c r="Y78" s="158" t="e">
        <f t="shared" si="19"/>
        <v>#DIV/0!</v>
      </c>
      <c r="Z78" s="158">
        <f t="shared" si="20"/>
        <v>9.2699421671709799E-3</v>
      </c>
      <c r="AA78" s="156">
        <f t="shared" si="21"/>
        <v>0</v>
      </c>
      <c r="AB78" s="157">
        <f t="shared" si="22"/>
        <v>0</v>
      </c>
    </row>
    <row r="79" spans="1:28" ht="3" customHeight="1">
      <c r="B79" s="226"/>
      <c r="C79" s="226"/>
      <c r="D79" s="226"/>
      <c r="E79" s="226"/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6"/>
      <c r="V79" s="226"/>
      <c r="W79" s="226"/>
      <c r="X79" s="226"/>
      <c r="Y79" s="226"/>
      <c r="Z79" s="226"/>
      <c r="AA79" s="226"/>
      <c r="AB79" s="226"/>
    </row>
    <row r="80" spans="1:28" ht="15" customHeight="1">
      <c r="A80" s="162"/>
      <c r="B80" s="230"/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</row>
    <row r="81" spans="1:30" ht="17.399999999999999" customHeight="1">
      <c r="A81" s="217">
        <v>69</v>
      </c>
      <c r="B81" s="55" t="s">
        <v>122</v>
      </c>
      <c r="C81" s="56" t="s">
        <v>21</v>
      </c>
      <c r="D81" s="142" t="s">
        <v>329</v>
      </c>
      <c r="E81" s="67">
        <v>1094463277.9200001</v>
      </c>
      <c r="F81" s="62">
        <f>(E81/$E$119)</f>
        <v>4.7107251600388275E-3</v>
      </c>
      <c r="G81" s="142" t="s">
        <v>329</v>
      </c>
      <c r="H81" s="87">
        <v>1.7566999999999999</v>
      </c>
      <c r="I81" s="142" t="s">
        <v>329</v>
      </c>
      <c r="J81" s="87">
        <v>1.7566999999999999</v>
      </c>
      <c r="K81" s="63">
        <v>575</v>
      </c>
      <c r="L81" s="64">
        <v>2.797E-3</v>
      </c>
      <c r="M81" s="64">
        <v>5.2400000000000002E-2</v>
      </c>
      <c r="N81" s="142" t="s">
        <v>329</v>
      </c>
      <c r="O81" s="67">
        <v>1111700060.8099999</v>
      </c>
      <c r="P81" s="62">
        <f t="shared" ref="P81:P118" si="50">(O81/$O$119)</f>
        <v>4.8017548496324626E-3</v>
      </c>
      <c r="Q81" s="142" t="s">
        <v>329</v>
      </c>
      <c r="R81" s="87">
        <v>1.782</v>
      </c>
      <c r="S81" s="142" t="s">
        <v>329</v>
      </c>
      <c r="T81" s="87">
        <v>1.782</v>
      </c>
      <c r="U81" s="63">
        <v>580</v>
      </c>
      <c r="V81" s="64">
        <v>3.1519999999999999E-3</v>
      </c>
      <c r="W81" s="64">
        <v>6.7500000000000004E-2</v>
      </c>
      <c r="X81" s="158">
        <f>((O81-E81)/E81)</f>
        <v>1.5749073758562222E-2</v>
      </c>
      <c r="Y81" s="158">
        <f>((T81-J81)/J81)</f>
        <v>1.4402003757044516E-2</v>
      </c>
      <c r="Z81" s="158">
        <f>((U81-K81)/K81)</f>
        <v>8.6956521739130436E-3</v>
      </c>
      <c r="AA81" s="156">
        <f>V81-L81</f>
        <v>3.5499999999999985E-4</v>
      </c>
      <c r="AB81" s="157">
        <f>W81-M81</f>
        <v>1.5100000000000002E-2</v>
      </c>
    </row>
    <row r="82" spans="1:30" ht="15" customHeight="1">
      <c r="A82" s="219">
        <v>70</v>
      </c>
      <c r="B82" s="55" t="s">
        <v>123</v>
      </c>
      <c r="C82" s="56" t="s">
        <v>23</v>
      </c>
      <c r="D82" s="142" t="s">
        <v>329</v>
      </c>
      <c r="E82" s="67">
        <v>1252214495.6700001</v>
      </c>
      <c r="F82" s="62">
        <f>(E82/$E$119)</f>
        <v>5.3897087728046892E-3</v>
      </c>
      <c r="G82" s="142" t="s">
        <v>329</v>
      </c>
      <c r="H82" s="87">
        <v>1.4067000000000001</v>
      </c>
      <c r="I82" s="142" t="s">
        <v>329</v>
      </c>
      <c r="J82" s="87">
        <v>1.4067000000000001</v>
      </c>
      <c r="K82" s="63">
        <v>1610</v>
      </c>
      <c r="L82" s="64">
        <v>0.13750000000000001</v>
      </c>
      <c r="M82" s="64">
        <v>0.1075</v>
      </c>
      <c r="N82" s="142" t="s">
        <v>329</v>
      </c>
      <c r="O82" s="67">
        <v>1247661657.5599999</v>
      </c>
      <c r="P82" s="62">
        <f t="shared" si="50"/>
        <v>5.3890124018920234E-3</v>
      </c>
      <c r="Q82" s="142" t="s">
        <v>329</v>
      </c>
      <c r="R82" s="87">
        <v>1.41</v>
      </c>
      <c r="S82" s="142" t="s">
        <v>329</v>
      </c>
      <c r="T82" s="87">
        <v>1.41</v>
      </c>
      <c r="U82" s="63">
        <v>1618</v>
      </c>
      <c r="V82" s="64">
        <v>2.3E-3</v>
      </c>
      <c r="W82" s="64">
        <v>0.1113</v>
      </c>
      <c r="X82" s="158">
        <f t="shared" ref="X82:X119" si="51">((O82-E82)/E82)</f>
        <v>-3.635829265467916E-3</v>
      </c>
      <c r="Y82" s="158">
        <f t="shared" ref="Y82:Y119" si="52">((T82-J82)/J82)</f>
        <v>2.3459159735550283E-3</v>
      </c>
      <c r="Z82" s="158">
        <f t="shared" ref="Z82:Z119" si="53">((U82-K82)/K82)</f>
        <v>4.9689440993788822E-3</v>
      </c>
      <c r="AA82" s="156">
        <f t="shared" ref="AA82:AA119" si="54">V82-L82</f>
        <v>-0.13520000000000001</v>
      </c>
      <c r="AB82" s="157">
        <f t="shared" ref="AB82:AB119" si="55">W82-M82</f>
        <v>3.7999999999999978E-3</v>
      </c>
      <c r="AD82" s="40"/>
    </row>
    <row r="83" spans="1:30" ht="15.6" customHeight="1">
      <c r="A83" s="219">
        <v>71</v>
      </c>
      <c r="B83" s="55" t="s">
        <v>124</v>
      </c>
      <c r="C83" s="56" t="s">
        <v>23</v>
      </c>
      <c r="D83" s="142" t="s">
        <v>329</v>
      </c>
      <c r="E83" s="67">
        <v>704840649.83000004</v>
      </c>
      <c r="F83" s="62">
        <f>(E83/$E$119)</f>
        <v>3.0337341142066135E-3</v>
      </c>
      <c r="G83" s="142" t="s">
        <v>329</v>
      </c>
      <c r="H83" s="87">
        <v>1.2659</v>
      </c>
      <c r="I83" s="142" t="s">
        <v>329</v>
      </c>
      <c r="J83" s="87">
        <v>1.2659</v>
      </c>
      <c r="K83" s="63">
        <v>913</v>
      </c>
      <c r="L83" s="64">
        <v>0.1404</v>
      </c>
      <c r="M83" s="64">
        <v>0.13070000000000001</v>
      </c>
      <c r="N83" s="142" t="s">
        <v>329</v>
      </c>
      <c r="O83" s="67">
        <v>708800626.39999998</v>
      </c>
      <c r="P83" s="62">
        <f t="shared" si="50"/>
        <v>3.0615153900044765E-3</v>
      </c>
      <c r="Q83" s="142" t="s">
        <v>329</v>
      </c>
      <c r="R83" s="87">
        <v>1.27</v>
      </c>
      <c r="S83" s="142" t="s">
        <v>329</v>
      </c>
      <c r="T83" s="87">
        <v>1.27</v>
      </c>
      <c r="U83" s="63">
        <v>925</v>
      </c>
      <c r="V83" s="64">
        <v>3.2000000000000002E-3</v>
      </c>
      <c r="W83" s="64">
        <v>0.13150000000000001</v>
      </c>
      <c r="X83" s="158">
        <f t="shared" si="51"/>
        <v>5.6182579295831429E-3</v>
      </c>
      <c r="Y83" s="158">
        <f t="shared" si="52"/>
        <v>3.2388024330515779E-3</v>
      </c>
      <c r="Z83" s="158">
        <f t="shared" si="53"/>
        <v>1.3143483023001095E-2</v>
      </c>
      <c r="AA83" s="156">
        <f t="shared" si="54"/>
        <v>-0.13719999999999999</v>
      </c>
      <c r="AB83" s="157">
        <f t="shared" si="55"/>
        <v>7.9999999999999516E-4</v>
      </c>
      <c r="AD83" s="40"/>
    </row>
    <row r="84" spans="1:30" ht="16.2" customHeight="1">
      <c r="A84" s="217">
        <v>72</v>
      </c>
      <c r="B84" s="55" t="s">
        <v>125</v>
      </c>
      <c r="C84" s="56" t="s">
        <v>60</v>
      </c>
      <c r="D84" s="142" t="s">
        <v>329</v>
      </c>
      <c r="E84" s="67">
        <v>323037002.38999999</v>
      </c>
      <c r="F84" s="62">
        <f>(E84/$E$119)</f>
        <v>1.390397069944751E-3</v>
      </c>
      <c r="G84" s="142" t="s">
        <v>329</v>
      </c>
      <c r="H84" s="66">
        <v>1251.05</v>
      </c>
      <c r="I84" s="142" t="s">
        <v>329</v>
      </c>
      <c r="J84" s="66">
        <v>1251.05</v>
      </c>
      <c r="K84" s="63">
        <v>98</v>
      </c>
      <c r="L84" s="64">
        <v>1.4E-3</v>
      </c>
      <c r="M84" s="64">
        <v>3.6900000000000002E-2</v>
      </c>
      <c r="N84" s="142" t="s">
        <v>329</v>
      </c>
      <c r="O84" s="67">
        <v>326579185.29000002</v>
      </c>
      <c r="P84" s="62">
        <f t="shared" si="50"/>
        <v>1.4105901780851735E-3</v>
      </c>
      <c r="Q84" s="142" t="s">
        <v>329</v>
      </c>
      <c r="R84" s="66">
        <v>1250.53</v>
      </c>
      <c r="S84" s="142" t="s">
        <v>329</v>
      </c>
      <c r="T84" s="66">
        <v>1250.53</v>
      </c>
      <c r="U84" s="63">
        <v>98</v>
      </c>
      <c r="V84" s="64">
        <v>7.9000000000000008E-3</v>
      </c>
      <c r="W84" s="64">
        <v>3.49E-2</v>
      </c>
      <c r="X84" s="158">
        <f t="shared" si="51"/>
        <v>1.0965254363410625E-2</v>
      </c>
      <c r="Y84" s="158">
        <f t="shared" si="52"/>
        <v>-4.1565085328322754E-4</v>
      </c>
      <c r="Z84" s="158">
        <f t="shared" si="53"/>
        <v>0</v>
      </c>
      <c r="AA84" s="156">
        <f t="shared" si="54"/>
        <v>6.5000000000000006E-3</v>
      </c>
      <c r="AB84" s="157">
        <f t="shared" si="55"/>
        <v>-2.0000000000000018E-3</v>
      </c>
    </row>
    <row r="85" spans="1:30" ht="15" customHeight="1">
      <c r="A85" s="217">
        <v>73</v>
      </c>
      <c r="B85" s="55" t="s">
        <v>126</v>
      </c>
      <c r="C85" s="56" t="s">
        <v>27</v>
      </c>
      <c r="D85" s="142" t="s">
        <v>329</v>
      </c>
      <c r="E85" s="67">
        <v>1839962668.6900001</v>
      </c>
      <c r="F85" s="62">
        <f>(E85/$O$119)</f>
        <v>7.9473321797675876E-3</v>
      </c>
      <c r="G85" s="142" t="s">
        <v>329</v>
      </c>
      <c r="H85" s="66">
        <v>1.0793999999999999</v>
      </c>
      <c r="I85" s="142" t="s">
        <v>329</v>
      </c>
      <c r="J85" s="66">
        <v>1.0793999999999999</v>
      </c>
      <c r="K85" s="63">
        <v>1081</v>
      </c>
      <c r="L85" s="64">
        <v>1.43E-2</v>
      </c>
      <c r="M85" s="64">
        <v>7.0499999999999993E-2</v>
      </c>
      <c r="N85" s="142" t="s">
        <v>329</v>
      </c>
      <c r="O85" s="67">
        <v>1855202063.4300001</v>
      </c>
      <c r="P85" s="62">
        <f t="shared" si="50"/>
        <v>8.013155543620731E-3</v>
      </c>
      <c r="Q85" s="142" t="s">
        <v>329</v>
      </c>
      <c r="R85" s="66">
        <v>1.0907</v>
      </c>
      <c r="S85" s="142" t="s">
        <v>329</v>
      </c>
      <c r="T85" s="66">
        <v>1.0907</v>
      </c>
      <c r="U85" s="63">
        <v>1081</v>
      </c>
      <c r="V85" s="64">
        <v>1.0500000000000001E-2</v>
      </c>
      <c r="W85" s="64">
        <v>8.0399999999999999E-2</v>
      </c>
      <c r="X85" s="158">
        <f t="shared" si="51"/>
        <v>8.2824477905576281E-3</v>
      </c>
      <c r="Y85" s="158">
        <f t="shared" si="52"/>
        <v>1.0468778951269306E-2</v>
      </c>
      <c r="Z85" s="158">
        <f t="shared" si="53"/>
        <v>0</v>
      </c>
      <c r="AA85" s="156">
        <f t="shared" si="54"/>
        <v>-3.7999999999999996E-3</v>
      </c>
      <c r="AB85" s="157">
        <f t="shared" si="55"/>
        <v>9.900000000000006E-3</v>
      </c>
    </row>
    <row r="86" spans="1:30" ht="15.6" customHeight="1">
      <c r="A86" s="217">
        <v>74</v>
      </c>
      <c r="B86" s="55" t="s">
        <v>127</v>
      </c>
      <c r="C86" s="56" t="s">
        <v>128</v>
      </c>
      <c r="D86" s="142" t="s">
        <v>329</v>
      </c>
      <c r="E86" s="67">
        <v>514585012.82999998</v>
      </c>
      <c r="F86" s="62">
        <f t="shared" ref="F86:F104" si="56">(E86/$E$119)</f>
        <v>2.2148468713578634E-3</v>
      </c>
      <c r="G86" s="142" t="s">
        <v>329</v>
      </c>
      <c r="H86" s="66">
        <v>2.9350999999999998</v>
      </c>
      <c r="I86" s="142" t="s">
        <v>329</v>
      </c>
      <c r="J86" s="66">
        <v>2.9350999999999998</v>
      </c>
      <c r="K86" s="63">
        <v>1390</v>
      </c>
      <c r="L86" s="64">
        <v>0.14430000000000001</v>
      </c>
      <c r="M86" s="64">
        <v>0.1313</v>
      </c>
      <c r="N86" s="142" t="s">
        <v>329</v>
      </c>
      <c r="O86" s="67">
        <v>516072191.02999997</v>
      </c>
      <c r="P86" s="62">
        <f t="shared" si="50"/>
        <v>2.2290654047758263E-3</v>
      </c>
      <c r="Q86" s="142" t="s">
        <v>329</v>
      </c>
      <c r="R86" s="66">
        <v>2.9436</v>
      </c>
      <c r="S86" s="142" t="s">
        <v>329</v>
      </c>
      <c r="T86" s="66">
        <v>2.9436</v>
      </c>
      <c r="U86" s="63">
        <v>1385</v>
      </c>
      <c r="V86" s="64">
        <v>2.8999999999999998E-3</v>
      </c>
      <c r="W86" s="64">
        <v>0.1323</v>
      </c>
      <c r="X86" s="158">
        <f t="shared" si="51"/>
        <v>2.890053466231239E-3</v>
      </c>
      <c r="Y86" s="158">
        <f t="shared" si="52"/>
        <v>2.8959831010869049E-3</v>
      </c>
      <c r="Z86" s="158">
        <f t="shared" si="53"/>
        <v>-3.5971223021582736E-3</v>
      </c>
      <c r="AA86" s="156">
        <f t="shared" si="54"/>
        <v>-0.14140000000000003</v>
      </c>
      <c r="AB86" s="157">
        <f t="shared" si="55"/>
        <v>1.0000000000000009E-3</v>
      </c>
      <c r="AD86" s="40"/>
    </row>
    <row r="87" spans="1:30" ht="15" customHeight="1">
      <c r="A87" s="217">
        <v>75</v>
      </c>
      <c r="B87" s="56" t="s">
        <v>129</v>
      </c>
      <c r="C87" s="56" t="s">
        <v>130</v>
      </c>
      <c r="D87" s="142" t="s">
        <v>329</v>
      </c>
      <c r="E87" s="67">
        <v>5095419067.0200005</v>
      </c>
      <c r="F87" s="62">
        <f t="shared" si="56"/>
        <v>2.1931406273922694E-2</v>
      </c>
      <c r="G87" s="142" t="s">
        <v>329</v>
      </c>
      <c r="H87" s="66">
        <v>1243.08</v>
      </c>
      <c r="I87" s="142" t="s">
        <v>329</v>
      </c>
      <c r="J87" s="66">
        <v>1243.08</v>
      </c>
      <c r="K87" s="63">
        <v>408</v>
      </c>
      <c r="L87" s="64">
        <v>2.47E-3</v>
      </c>
      <c r="M87" s="64">
        <v>0.11087</v>
      </c>
      <c r="N87" s="142" t="s">
        <v>329</v>
      </c>
      <c r="O87" s="67">
        <v>5618829194.0200005</v>
      </c>
      <c r="P87" s="62">
        <f t="shared" si="50"/>
        <v>2.4269352213567231E-2</v>
      </c>
      <c r="Q87" s="142" t="s">
        <v>329</v>
      </c>
      <c r="R87" s="66">
        <v>1247.01</v>
      </c>
      <c r="S87" s="142" t="s">
        <v>329</v>
      </c>
      <c r="T87" s="66">
        <v>1247.01</v>
      </c>
      <c r="U87" s="63">
        <v>418</v>
      </c>
      <c r="V87" s="64">
        <v>2.3400000000000001E-3</v>
      </c>
      <c r="W87" s="64">
        <v>0.11438</v>
      </c>
      <c r="X87" s="158">
        <f t="shared" ref="X87" si="57">((O87-E87)/E87)</f>
        <v>0.10272170357640684</v>
      </c>
      <c r="Y87" s="158">
        <f t="shared" si="52"/>
        <v>3.1615020754899637E-3</v>
      </c>
      <c r="Z87" s="158">
        <f t="shared" ref="Z87" si="58">((U87-K87)/K87)</f>
        <v>2.4509803921568627E-2</v>
      </c>
      <c r="AA87" s="156">
        <f t="shared" si="54"/>
        <v>-1.2999999999999991E-4</v>
      </c>
      <c r="AB87" s="157">
        <f t="shared" si="55"/>
        <v>3.5099999999999992E-3</v>
      </c>
    </row>
    <row r="88" spans="1:30" ht="16.2" customHeight="1">
      <c r="A88" s="217">
        <v>76</v>
      </c>
      <c r="B88" s="55" t="s">
        <v>131</v>
      </c>
      <c r="C88" s="56" t="s">
        <v>65</v>
      </c>
      <c r="D88" s="142" t="s">
        <v>329</v>
      </c>
      <c r="E88" s="67">
        <v>197338974.55000001</v>
      </c>
      <c r="F88" s="62">
        <f t="shared" si="56"/>
        <v>8.4937493219109804E-4</v>
      </c>
      <c r="G88" s="142" t="s">
        <v>329</v>
      </c>
      <c r="H88" s="66">
        <v>11.66</v>
      </c>
      <c r="I88" s="142" t="s">
        <v>329</v>
      </c>
      <c r="J88" s="66">
        <v>11.702999999999999</v>
      </c>
      <c r="K88" s="63">
        <v>47</v>
      </c>
      <c r="L88" s="64">
        <v>1.8500000000000001E-3</v>
      </c>
      <c r="M88" s="64">
        <v>0.1071</v>
      </c>
      <c r="N88" s="142" t="s">
        <v>329</v>
      </c>
      <c r="O88" s="67">
        <v>200735396.80000001</v>
      </c>
      <c r="P88" s="62">
        <f t="shared" si="50"/>
        <v>8.6703437290000594E-4</v>
      </c>
      <c r="Q88" s="142" t="s">
        <v>329</v>
      </c>
      <c r="R88" s="66">
        <v>11.704000000000001</v>
      </c>
      <c r="S88" s="142" t="s">
        <v>329</v>
      </c>
      <c r="T88" s="66">
        <v>11.756</v>
      </c>
      <c r="U88" s="63">
        <v>47</v>
      </c>
      <c r="V88" s="64">
        <v>2.96E-3</v>
      </c>
      <c r="W88" s="64">
        <v>0.10979999999999999</v>
      </c>
      <c r="X88" s="158">
        <f t="shared" si="51"/>
        <v>1.7211107221698087E-2</v>
      </c>
      <c r="Y88" s="158">
        <f t="shared" si="52"/>
        <v>4.5287533111168787E-3</v>
      </c>
      <c r="Z88" s="158">
        <f t="shared" si="53"/>
        <v>0</v>
      </c>
      <c r="AA88" s="156">
        <f t="shared" si="54"/>
        <v>1.1099999999999999E-3</v>
      </c>
      <c r="AB88" s="157">
        <f t="shared" si="55"/>
        <v>2.6999999999999941E-3</v>
      </c>
    </row>
    <row r="89" spans="1:30" ht="16.2" customHeight="1">
      <c r="A89" s="217">
        <v>77</v>
      </c>
      <c r="B89" s="55" t="s">
        <v>132</v>
      </c>
      <c r="C89" s="56" t="s">
        <v>67</v>
      </c>
      <c r="D89" s="142" t="s">
        <v>329</v>
      </c>
      <c r="E89" s="67">
        <v>2178317877.1500001</v>
      </c>
      <c r="F89" s="62">
        <f t="shared" si="56"/>
        <v>9.3757890625206855E-3</v>
      </c>
      <c r="G89" s="142" t="s">
        <v>329</v>
      </c>
      <c r="H89" s="67">
        <v>4984.0600000000004</v>
      </c>
      <c r="I89" s="142" t="s">
        <v>329</v>
      </c>
      <c r="J89" s="67">
        <v>4984.0600000000004</v>
      </c>
      <c r="K89" s="63">
        <v>1222</v>
      </c>
      <c r="L89" s="64">
        <v>0.13150000000000001</v>
      </c>
      <c r="M89" s="64">
        <v>8.9800000000000005E-2</v>
      </c>
      <c r="N89" s="142" t="s">
        <v>329</v>
      </c>
      <c r="O89" s="67">
        <v>2184550099.1700001</v>
      </c>
      <c r="P89" s="62">
        <f t="shared" si="50"/>
        <v>9.4357051895020173E-3</v>
      </c>
      <c r="Q89" s="142" t="s">
        <v>329</v>
      </c>
      <c r="R89" s="67">
        <v>4998.74</v>
      </c>
      <c r="S89" s="142" t="s">
        <v>329</v>
      </c>
      <c r="T89" s="67">
        <v>4998.74</v>
      </c>
      <c r="U89" s="63">
        <v>1214</v>
      </c>
      <c r="V89" s="64">
        <v>2.8999999999999998E-3</v>
      </c>
      <c r="W89" s="64">
        <v>9.2200000000000004E-2</v>
      </c>
      <c r="X89" s="158">
        <f t="shared" si="51"/>
        <v>2.8610250530349142E-3</v>
      </c>
      <c r="Y89" s="158">
        <f t="shared" si="52"/>
        <v>2.9453899030106741E-3</v>
      </c>
      <c r="Z89" s="158">
        <f t="shared" si="53"/>
        <v>-6.5466448445171853E-3</v>
      </c>
      <c r="AA89" s="156">
        <f t="shared" si="54"/>
        <v>-0.12859999999999999</v>
      </c>
      <c r="AB89" s="157">
        <f t="shared" si="55"/>
        <v>2.3999999999999994E-3</v>
      </c>
      <c r="AD89" s="40"/>
    </row>
    <row r="90" spans="1:30" ht="15.6" customHeight="1">
      <c r="A90" s="217">
        <v>78</v>
      </c>
      <c r="B90" s="55" t="s">
        <v>133</v>
      </c>
      <c r="C90" s="56" t="s">
        <v>69</v>
      </c>
      <c r="D90" s="142" t="s">
        <v>329</v>
      </c>
      <c r="E90" s="67">
        <v>372179335.49000001</v>
      </c>
      <c r="F90" s="62">
        <f t="shared" si="56"/>
        <v>1.6019126407523265E-3</v>
      </c>
      <c r="G90" s="142" t="s">
        <v>329</v>
      </c>
      <c r="H90" s="87">
        <v>114.87</v>
      </c>
      <c r="I90" s="142" t="s">
        <v>329</v>
      </c>
      <c r="J90" s="87">
        <v>114.87</v>
      </c>
      <c r="K90" s="63">
        <v>101</v>
      </c>
      <c r="L90" s="64">
        <v>2.3E-3</v>
      </c>
      <c r="M90" s="64">
        <v>0.12570000000000001</v>
      </c>
      <c r="N90" s="142" t="s">
        <v>329</v>
      </c>
      <c r="O90" s="67">
        <v>373393539.30000001</v>
      </c>
      <c r="P90" s="62">
        <f t="shared" si="50"/>
        <v>1.612794944752311E-3</v>
      </c>
      <c r="Q90" s="142" t="s">
        <v>329</v>
      </c>
      <c r="R90" s="87">
        <v>115.13</v>
      </c>
      <c r="S90" s="142" t="s">
        <v>329</v>
      </c>
      <c r="T90" s="87">
        <v>115.13</v>
      </c>
      <c r="U90" s="63">
        <v>101</v>
      </c>
      <c r="V90" s="64">
        <v>2.3E-3</v>
      </c>
      <c r="W90" s="64">
        <v>0.12570000000000001</v>
      </c>
      <c r="X90" s="158">
        <f t="shared" si="51"/>
        <v>3.2624159758934991E-3</v>
      </c>
      <c r="Y90" s="158">
        <f t="shared" si="52"/>
        <v>2.2634282232087653E-3</v>
      </c>
      <c r="Z90" s="158">
        <f t="shared" si="53"/>
        <v>0</v>
      </c>
      <c r="AA90" s="156">
        <f t="shared" si="54"/>
        <v>0</v>
      </c>
      <c r="AB90" s="157">
        <f t="shared" si="55"/>
        <v>0</v>
      </c>
    </row>
    <row r="91" spans="1:30" ht="13.5" customHeight="1">
      <c r="A91" s="217">
        <v>79</v>
      </c>
      <c r="B91" s="55" t="s">
        <v>134</v>
      </c>
      <c r="C91" s="56" t="s">
        <v>71</v>
      </c>
      <c r="D91" s="142" t="s">
        <v>329</v>
      </c>
      <c r="E91" s="67">
        <v>1066162318.23</v>
      </c>
      <c r="F91" s="62">
        <f t="shared" si="56"/>
        <v>4.588913816017952E-3</v>
      </c>
      <c r="G91" s="142" t="s">
        <v>329</v>
      </c>
      <c r="H91" s="87">
        <v>1.5323</v>
      </c>
      <c r="I91" s="142" t="s">
        <v>329</v>
      </c>
      <c r="J91" s="87">
        <v>1.5323</v>
      </c>
      <c r="K91" s="63">
        <v>3147</v>
      </c>
      <c r="L91" s="64">
        <v>4.3E-3</v>
      </c>
      <c r="M91" s="64">
        <v>4.6100000000000002E-2</v>
      </c>
      <c r="N91" s="142" t="s">
        <v>329</v>
      </c>
      <c r="O91" s="67">
        <v>1061165476.67</v>
      </c>
      <c r="P91" s="62">
        <f t="shared" si="50"/>
        <v>4.5834813305219184E-3</v>
      </c>
      <c r="Q91" s="142" t="s">
        <v>329</v>
      </c>
      <c r="R91" s="87">
        <v>1.5494000000000001</v>
      </c>
      <c r="S91" s="142" t="s">
        <v>329</v>
      </c>
      <c r="T91" s="87">
        <v>1.5494000000000001</v>
      </c>
      <c r="U91" s="63">
        <v>3172</v>
      </c>
      <c r="V91" s="64">
        <v>1.12E-2</v>
      </c>
      <c r="W91" s="64">
        <v>5.7500000000000002E-2</v>
      </c>
      <c r="X91" s="158">
        <f t="shared" si="51"/>
        <v>-4.6867549852030203E-3</v>
      </c>
      <c r="Y91" s="158">
        <f t="shared" si="52"/>
        <v>1.115969457678008E-2</v>
      </c>
      <c r="Z91" s="158">
        <f t="shared" si="53"/>
        <v>7.9440737210041308E-3</v>
      </c>
      <c r="AA91" s="156">
        <f t="shared" si="54"/>
        <v>6.8999999999999999E-3</v>
      </c>
      <c r="AB91" s="157">
        <f t="shared" si="55"/>
        <v>1.14E-2</v>
      </c>
    </row>
    <row r="92" spans="1:30" ht="15" customHeight="1">
      <c r="A92" s="217">
        <v>80</v>
      </c>
      <c r="B92" s="55" t="s">
        <v>135</v>
      </c>
      <c r="C92" s="56" t="s">
        <v>71</v>
      </c>
      <c r="D92" s="142" t="s">
        <v>329</v>
      </c>
      <c r="E92" s="67">
        <v>189377382.34999999</v>
      </c>
      <c r="F92" s="62">
        <f t="shared" si="56"/>
        <v>8.1510711028501628E-4</v>
      </c>
      <c r="G92" s="142" t="s">
        <v>329</v>
      </c>
      <c r="H92" s="87">
        <v>1.0389999999999999</v>
      </c>
      <c r="I92" s="142" t="s">
        <v>329</v>
      </c>
      <c r="J92" s="87">
        <v>1.0389999999999999</v>
      </c>
      <c r="K92" s="63">
        <v>203</v>
      </c>
      <c r="L92" s="64">
        <v>4.4999999999999997E-3</v>
      </c>
      <c r="M92" s="64">
        <v>6.2100000000000002E-2</v>
      </c>
      <c r="N92" s="142" t="s">
        <v>329</v>
      </c>
      <c r="O92" s="67">
        <v>200610197.41</v>
      </c>
      <c r="P92" s="62">
        <f t="shared" si="50"/>
        <v>8.6649360043871315E-4</v>
      </c>
      <c r="Q92" s="142" t="s">
        <v>329</v>
      </c>
      <c r="R92" s="87">
        <v>1.0487</v>
      </c>
      <c r="S92" s="142" t="s">
        <v>329</v>
      </c>
      <c r="T92" s="87">
        <v>1.0487</v>
      </c>
      <c r="U92" s="63">
        <v>266</v>
      </c>
      <c r="V92" s="64">
        <v>9.2999999999999992E-3</v>
      </c>
      <c r="W92" s="64">
        <v>7.1900000000000006E-2</v>
      </c>
      <c r="X92" s="158">
        <f t="shared" ref="X92" si="59">((O92-E92)/E92)</f>
        <v>5.9314448856621883E-2</v>
      </c>
      <c r="Y92" s="158">
        <f t="shared" ref="Y92" si="60">((T92-J92)/J92)</f>
        <v>9.33589990375365E-3</v>
      </c>
      <c r="Z92" s="158">
        <f t="shared" ref="Z92" si="61">((U92-K92)/K92)</f>
        <v>0.31034482758620691</v>
      </c>
      <c r="AA92" s="156">
        <f t="shared" ref="AA92" si="62">V92-L92</f>
        <v>4.7999999999999996E-3</v>
      </c>
      <c r="AB92" s="157">
        <f t="shared" ref="AB92" si="63">W92-M92</f>
        <v>9.8000000000000032E-3</v>
      </c>
    </row>
    <row r="93" spans="1:30" ht="15.6" customHeight="1">
      <c r="A93" s="217">
        <v>81</v>
      </c>
      <c r="B93" s="55" t="s">
        <v>136</v>
      </c>
      <c r="C93" s="56" t="s">
        <v>29</v>
      </c>
      <c r="D93" s="142" t="s">
        <v>329</v>
      </c>
      <c r="E93" s="67">
        <v>334241608.69999999</v>
      </c>
      <c r="F93" s="62">
        <f t="shared" si="56"/>
        <v>1.4386232844899821E-3</v>
      </c>
      <c r="G93" s="142" t="s">
        <v>329</v>
      </c>
      <c r="H93" s="87">
        <v>151.0247</v>
      </c>
      <c r="I93" s="142" t="s">
        <v>329</v>
      </c>
      <c r="J93" s="87">
        <v>151.0247</v>
      </c>
      <c r="K93" s="63">
        <v>515</v>
      </c>
      <c r="L93" s="64">
        <v>3.3100000000000002E-4</v>
      </c>
      <c r="M93" s="64">
        <v>0.12959999999999999</v>
      </c>
      <c r="N93" s="142" t="s">
        <v>329</v>
      </c>
      <c r="O93" s="67">
        <v>351910375.49000001</v>
      </c>
      <c r="P93" s="62">
        <f t="shared" si="50"/>
        <v>1.5200029321882794E-3</v>
      </c>
      <c r="Q93" s="142" t="s">
        <v>329</v>
      </c>
      <c r="R93" s="87">
        <v>158.08439999999999</v>
      </c>
      <c r="S93" s="142" t="s">
        <v>329</v>
      </c>
      <c r="T93" s="87">
        <v>158.08439999999999</v>
      </c>
      <c r="U93" s="63">
        <v>538</v>
      </c>
      <c r="V93" s="64">
        <v>6.038E-3</v>
      </c>
      <c r="W93" s="64">
        <v>0.13109999999999999</v>
      </c>
      <c r="X93" s="158">
        <f t="shared" si="51"/>
        <v>5.2862259904507283E-2</v>
      </c>
      <c r="Y93" s="158">
        <f t="shared" si="52"/>
        <v>4.6745333710313558E-2</v>
      </c>
      <c r="Z93" s="158">
        <f t="shared" si="53"/>
        <v>4.4660194174757278E-2</v>
      </c>
      <c r="AA93" s="156">
        <f t="shared" si="54"/>
        <v>5.7070000000000003E-3</v>
      </c>
      <c r="AB93" s="157">
        <f t="shared" si="55"/>
        <v>1.5000000000000013E-3</v>
      </c>
    </row>
    <row r="94" spans="1:30" ht="15" customHeight="1">
      <c r="A94" s="217">
        <v>82</v>
      </c>
      <c r="B94" s="55" t="s">
        <v>137</v>
      </c>
      <c r="C94" s="56" t="s">
        <v>73</v>
      </c>
      <c r="D94" s="142" t="s">
        <v>329</v>
      </c>
      <c r="E94" s="67">
        <v>3306743685.73</v>
      </c>
      <c r="F94" s="62">
        <f t="shared" si="56"/>
        <v>1.4232693770933858E-2</v>
      </c>
      <c r="G94" s="142" t="s">
        <v>329</v>
      </c>
      <c r="H94" s="66">
        <v>1411.11</v>
      </c>
      <c r="I94" s="142" t="s">
        <v>329</v>
      </c>
      <c r="J94" s="66">
        <v>1411.11</v>
      </c>
      <c r="K94" s="63">
        <v>335</v>
      </c>
      <c r="L94" s="64">
        <v>3.5000000000000001E-3</v>
      </c>
      <c r="M94" s="64">
        <v>0.16919999999999999</v>
      </c>
      <c r="N94" s="142" t="s">
        <v>329</v>
      </c>
      <c r="O94" s="67">
        <v>3319037180.4899998</v>
      </c>
      <c r="P94" s="62">
        <f t="shared" si="50"/>
        <v>1.4335883786779904E-2</v>
      </c>
      <c r="Q94" s="142" t="s">
        <v>329</v>
      </c>
      <c r="R94" s="66">
        <v>1415.24</v>
      </c>
      <c r="S94" s="142" t="s">
        <v>329</v>
      </c>
      <c r="T94" s="66">
        <v>1415.24</v>
      </c>
      <c r="U94" s="63">
        <v>332</v>
      </c>
      <c r="V94" s="64">
        <v>2.8999999999999998E-3</v>
      </c>
      <c r="W94" s="64">
        <v>0.1701</v>
      </c>
      <c r="X94" s="158">
        <f t="shared" si="51"/>
        <v>3.7177041610607408E-3</v>
      </c>
      <c r="Y94" s="158">
        <f t="shared" si="52"/>
        <v>2.9267739580898081E-3</v>
      </c>
      <c r="Z94" s="158">
        <f t="shared" si="53"/>
        <v>-8.9552238805970154E-3</v>
      </c>
      <c r="AA94" s="156">
        <f t="shared" si="54"/>
        <v>-6.0000000000000027E-4</v>
      </c>
      <c r="AB94" s="157">
        <f t="shared" si="55"/>
        <v>9.000000000000119E-4</v>
      </c>
    </row>
    <row r="95" spans="1:30" ht="14.4" customHeight="1">
      <c r="A95" s="219">
        <v>83</v>
      </c>
      <c r="B95" s="55" t="s">
        <v>138</v>
      </c>
      <c r="C95" s="56" t="s">
        <v>75</v>
      </c>
      <c r="D95" s="142" t="s">
        <v>329</v>
      </c>
      <c r="E95" s="67">
        <v>149014482.93000001</v>
      </c>
      <c r="F95" s="62">
        <f t="shared" si="56"/>
        <v>6.4137946709605159E-4</v>
      </c>
      <c r="G95" s="142" t="s">
        <v>329</v>
      </c>
      <c r="H95" s="66">
        <v>1016.44</v>
      </c>
      <c r="I95" s="142" t="s">
        <v>329</v>
      </c>
      <c r="J95" s="66">
        <v>1036.23</v>
      </c>
      <c r="K95" s="63">
        <v>70</v>
      </c>
      <c r="L95" s="64">
        <v>-1.1000000000000001E-3</v>
      </c>
      <c r="M95" s="64">
        <v>4.7800000000000002E-2</v>
      </c>
      <c r="N95" s="142" t="s">
        <v>329</v>
      </c>
      <c r="O95" s="67">
        <v>149602670.90000001</v>
      </c>
      <c r="P95" s="62">
        <f t="shared" si="50"/>
        <v>6.4617730612395643E-4</v>
      </c>
      <c r="Q95" s="142" t="s">
        <v>329</v>
      </c>
      <c r="R95" s="66">
        <v>1020.91</v>
      </c>
      <c r="S95" s="142" t="s">
        <v>329</v>
      </c>
      <c r="T95" s="66">
        <v>1041.79</v>
      </c>
      <c r="U95" s="63">
        <v>70</v>
      </c>
      <c r="V95" s="64">
        <v>2.7000000000000001E-3</v>
      </c>
      <c r="W95" s="64">
        <v>5.3199999999999997E-2</v>
      </c>
      <c r="X95" s="158">
        <f t="shared" si="51"/>
        <v>3.9471865984751419E-3</v>
      </c>
      <c r="Y95" s="158">
        <f t="shared" si="52"/>
        <v>5.3656041612382827E-3</v>
      </c>
      <c r="Z95" s="158">
        <f t="shared" si="53"/>
        <v>0</v>
      </c>
      <c r="AA95" s="156">
        <f t="shared" si="54"/>
        <v>3.8000000000000004E-3</v>
      </c>
      <c r="AB95" s="157">
        <f t="shared" si="55"/>
        <v>5.3999999999999951E-3</v>
      </c>
    </row>
    <row r="96" spans="1:30" ht="15" customHeight="1">
      <c r="A96" s="217">
        <v>84</v>
      </c>
      <c r="B96" s="55" t="s">
        <v>139</v>
      </c>
      <c r="C96" s="56" t="s">
        <v>78</v>
      </c>
      <c r="D96" s="142" t="s">
        <v>329</v>
      </c>
      <c r="E96" s="67">
        <v>788647970.64999998</v>
      </c>
      <c r="F96" s="62">
        <f t="shared" si="56"/>
        <v>3.3944527081940833E-3</v>
      </c>
      <c r="G96" s="142" t="s">
        <v>329</v>
      </c>
      <c r="H96" s="88">
        <v>1.21</v>
      </c>
      <c r="I96" s="142" t="s">
        <v>329</v>
      </c>
      <c r="J96" s="88">
        <v>1.21</v>
      </c>
      <c r="K96" s="63">
        <v>72</v>
      </c>
      <c r="L96" s="64">
        <v>1.6999999999999999E-3</v>
      </c>
      <c r="M96" s="64">
        <v>0.13780000000000001</v>
      </c>
      <c r="N96" s="142" t="s">
        <v>329</v>
      </c>
      <c r="O96" s="67">
        <v>789599706.71000004</v>
      </c>
      <c r="P96" s="62">
        <f t="shared" si="50"/>
        <v>3.4105100418907954E-3</v>
      </c>
      <c r="Q96" s="142" t="s">
        <v>329</v>
      </c>
      <c r="R96" s="88">
        <v>1.21</v>
      </c>
      <c r="S96" s="142" t="s">
        <v>329</v>
      </c>
      <c r="T96" s="88">
        <v>1.21</v>
      </c>
      <c r="U96" s="63">
        <v>74</v>
      </c>
      <c r="V96" s="64">
        <v>1.6999999999999999E-3</v>
      </c>
      <c r="W96" s="64">
        <v>0.13750000000000001</v>
      </c>
      <c r="X96" s="158">
        <f t="shared" si="51"/>
        <v>1.2067945337076637E-3</v>
      </c>
      <c r="Y96" s="158">
        <f t="shared" si="52"/>
        <v>0</v>
      </c>
      <c r="Z96" s="158">
        <f t="shared" si="53"/>
        <v>2.7777777777777776E-2</v>
      </c>
      <c r="AA96" s="156">
        <f t="shared" si="54"/>
        <v>0</v>
      </c>
      <c r="AB96" s="157">
        <f t="shared" si="55"/>
        <v>-2.9999999999999472E-4</v>
      </c>
    </row>
    <row r="97" spans="1:30" ht="15" customHeight="1">
      <c r="A97" s="217">
        <v>85</v>
      </c>
      <c r="B97" s="55" t="s">
        <v>316</v>
      </c>
      <c r="C97" s="56" t="s">
        <v>38</v>
      </c>
      <c r="D97" s="142" t="s">
        <v>329</v>
      </c>
      <c r="E97" s="67">
        <v>1057917660.46</v>
      </c>
      <c r="F97" s="62">
        <f t="shared" si="56"/>
        <v>4.5534276397555017E-3</v>
      </c>
      <c r="G97" s="142" t="s">
        <v>329</v>
      </c>
      <c r="H97" s="87">
        <v>3.92</v>
      </c>
      <c r="I97" s="142" t="s">
        <v>329</v>
      </c>
      <c r="J97" s="87">
        <v>3.94</v>
      </c>
      <c r="K97" s="81">
        <v>823</v>
      </c>
      <c r="L97" s="82">
        <v>-2.9999999999999997E-4</v>
      </c>
      <c r="M97" s="82">
        <v>0.1545</v>
      </c>
      <c r="N97" s="142" t="s">
        <v>329</v>
      </c>
      <c r="O97" s="67">
        <v>1075790876.3900001</v>
      </c>
      <c r="P97" s="62">
        <f t="shared" si="50"/>
        <v>4.6466526718836835E-3</v>
      </c>
      <c r="Q97" s="142" t="s">
        <v>329</v>
      </c>
      <c r="R97" s="87">
        <v>3.94</v>
      </c>
      <c r="S97" s="142" t="s">
        <v>329</v>
      </c>
      <c r="T97" s="87">
        <v>3.96</v>
      </c>
      <c r="U97" s="81">
        <v>829</v>
      </c>
      <c r="V97" s="82">
        <v>6.0000000000000001E-3</v>
      </c>
      <c r="W97" s="82">
        <v>0.1613</v>
      </c>
      <c r="X97" s="158">
        <f>((O97-E97)/E97)</f>
        <v>1.689471364172945E-2</v>
      </c>
      <c r="Y97" s="158">
        <f>((T97-J97)/J97)</f>
        <v>5.0761421319797002E-3</v>
      </c>
      <c r="Z97" s="158">
        <f>((U97-K97)/K97)</f>
        <v>7.2904009720534627E-3</v>
      </c>
      <c r="AA97" s="156">
        <f>V97-L97</f>
        <v>6.3E-3</v>
      </c>
      <c r="AB97" s="157">
        <f>W97-M97</f>
        <v>6.8000000000000005E-3</v>
      </c>
    </row>
    <row r="98" spans="1:30" ht="14.4" customHeight="1">
      <c r="A98" s="217">
        <v>86</v>
      </c>
      <c r="B98" s="55" t="s">
        <v>322</v>
      </c>
      <c r="C98" s="56" t="s">
        <v>79</v>
      </c>
      <c r="D98" s="142" t="s">
        <v>329</v>
      </c>
      <c r="E98" s="88">
        <v>11737142896.879999</v>
      </c>
      <c r="F98" s="62">
        <f t="shared" si="56"/>
        <v>5.0518327537111836E-2</v>
      </c>
      <c r="G98" s="142" t="s">
        <v>329</v>
      </c>
      <c r="H98" s="88">
        <v>1753.56</v>
      </c>
      <c r="I98" s="142" t="s">
        <v>329</v>
      </c>
      <c r="J98" s="88">
        <v>1753.56</v>
      </c>
      <c r="K98" s="63">
        <v>2295</v>
      </c>
      <c r="L98" s="64">
        <v>2.3999999999999998E-3</v>
      </c>
      <c r="M98" s="64">
        <v>5.2400000000000002E-2</v>
      </c>
      <c r="N98" s="142" t="s">
        <v>329</v>
      </c>
      <c r="O98" s="88">
        <v>11769197957.34</v>
      </c>
      <c r="P98" s="62">
        <f t="shared" si="50"/>
        <v>5.083457792272298E-2</v>
      </c>
      <c r="Q98" s="142" t="s">
        <v>329</v>
      </c>
      <c r="R98" s="88">
        <v>1757.78</v>
      </c>
      <c r="S98" s="142" t="s">
        <v>329</v>
      </c>
      <c r="T98" s="88">
        <v>1757.78</v>
      </c>
      <c r="U98" s="63">
        <v>2299</v>
      </c>
      <c r="V98" s="64">
        <v>2.3999999999999998E-3</v>
      </c>
      <c r="W98" s="64">
        <v>5.4899999999999997E-2</v>
      </c>
      <c r="X98" s="158">
        <f t="shared" si="51"/>
        <v>2.7310786570147287E-3</v>
      </c>
      <c r="Y98" s="158">
        <f t="shared" si="52"/>
        <v>2.4065329957344075E-3</v>
      </c>
      <c r="Z98" s="158">
        <f t="shared" si="53"/>
        <v>1.7429193899782135E-3</v>
      </c>
      <c r="AA98" s="156">
        <f t="shared" si="54"/>
        <v>0</v>
      </c>
      <c r="AB98" s="157">
        <f t="shared" si="55"/>
        <v>2.4999999999999953E-3</v>
      </c>
    </row>
    <row r="99" spans="1:30" ht="13.8" customHeight="1">
      <c r="A99" s="217">
        <v>87</v>
      </c>
      <c r="B99" s="55" t="s">
        <v>140</v>
      </c>
      <c r="C99" s="56" t="s">
        <v>87</v>
      </c>
      <c r="D99" s="142" t="s">
        <v>329</v>
      </c>
      <c r="E99" s="67">
        <v>24200481.59</v>
      </c>
      <c r="F99" s="62">
        <f t="shared" si="56"/>
        <v>1.0416230476706998E-4</v>
      </c>
      <c r="G99" s="142" t="s">
        <v>329</v>
      </c>
      <c r="H99" s="87">
        <v>0.73919999999999997</v>
      </c>
      <c r="I99" s="142" t="s">
        <v>329</v>
      </c>
      <c r="J99" s="87">
        <v>0.73919999999999997</v>
      </c>
      <c r="K99" s="63">
        <v>744</v>
      </c>
      <c r="L99" s="64">
        <v>2.2000000000000001E-3</v>
      </c>
      <c r="M99" s="64">
        <v>1.34E-2</v>
      </c>
      <c r="N99" s="142" t="s">
        <v>329</v>
      </c>
      <c r="O99" s="67">
        <v>24253334.030000001</v>
      </c>
      <c r="P99" s="62">
        <f t="shared" si="50"/>
        <v>1.0475718082938237E-4</v>
      </c>
      <c r="Q99" s="142" t="s">
        <v>329</v>
      </c>
      <c r="R99" s="87">
        <v>0.74080000000000001</v>
      </c>
      <c r="S99" s="142" t="s">
        <v>329</v>
      </c>
      <c r="T99" s="87">
        <v>0.74080000000000001</v>
      </c>
      <c r="U99" s="63">
        <v>744</v>
      </c>
      <c r="V99" s="64">
        <v>2.2000000000000001E-3</v>
      </c>
      <c r="W99" s="64">
        <v>1.5599999999999999E-2</v>
      </c>
      <c r="X99" s="158">
        <f t="shared" si="51"/>
        <v>2.1839416626254562E-3</v>
      </c>
      <c r="Y99" s="158">
        <f t="shared" si="52"/>
        <v>2.1645021645022265E-3</v>
      </c>
      <c r="Z99" s="158">
        <f t="shared" si="53"/>
        <v>0</v>
      </c>
      <c r="AA99" s="156">
        <f t="shared" si="54"/>
        <v>0</v>
      </c>
      <c r="AB99" s="157">
        <f t="shared" si="55"/>
        <v>2.1999999999999988E-3</v>
      </c>
    </row>
    <row r="100" spans="1:30" ht="15.6" customHeight="1">
      <c r="A100" s="219">
        <v>88</v>
      </c>
      <c r="B100" s="55" t="s">
        <v>141</v>
      </c>
      <c r="C100" s="56" t="s">
        <v>35</v>
      </c>
      <c r="D100" s="142" t="s">
        <v>329</v>
      </c>
      <c r="E100" s="67">
        <v>13443096602.98</v>
      </c>
      <c r="F100" s="62">
        <f t="shared" si="56"/>
        <v>5.7860994218866112E-2</v>
      </c>
      <c r="G100" s="142" t="s">
        <v>329</v>
      </c>
      <c r="H100" s="87">
        <v>1</v>
      </c>
      <c r="I100" s="142" t="s">
        <v>329</v>
      </c>
      <c r="J100" s="87">
        <v>1</v>
      </c>
      <c r="K100" s="63">
        <v>7084</v>
      </c>
      <c r="L100" s="64">
        <v>0.06</v>
      </c>
      <c r="M100" s="64">
        <v>0.06</v>
      </c>
      <c r="N100" s="142" t="s">
        <v>329</v>
      </c>
      <c r="O100" s="67">
        <v>13481323730.27</v>
      </c>
      <c r="P100" s="62">
        <f t="shared" si="50"/>
        <v>5.8229745489195246E-2</v>
      </c>
      <c r="Q100" s="142" t="s">
        <v>329</v>
      </c>
      <c r="R100" s="87">
        <v>1</v>
      </c>
      <c r="S100" s="142" t="s">
        <v>329</v>
      </c>
      <c r="T100" s="87">
        <v>1</v>
      </c>
      <c r="U100" s="63">
        <v>7166</v>
      </c>
      <c r="V100" s="64">
        <v>0.06</v>
      </c>
      <c r="W100" s="64">
        <v>0.06</v>
      </c>
      <c r="X100" s="158">
        <f t="shared" si="51"/>
        <v>2.8436251273777882E-3</v>
      </c>
      <c r="Y100" s="158">
        <f t="shared" si="52"/>
        <v>0</v>
      </c>
      <c r="Z100" s="158">
        <f t="shared" si="53"/>
        <v>1.1575381140598532E-2</v>
      </c>
      <c r="AA100" s="156">
        <f t="shared" si="54"/>
        <v>0</v>
      </c>
      <c r="AB100" s="157">
        <f t="shared" si="55"/>
        <v>0</v>
      </c>
    </row>
    <row r="101" spans="1:30" ht="14.4" customHeight="1">
      <c r="A101" s="219">
        <v>89</v>
      </c>
      <c r="B101" s="55" t="s">
        <v>142</v>
      </c>
      <c r="C101" s="56" t="s">
        <v>143</v>
      </c>
      <c r="D101" s="142" t="s">
        <v>329</v>
      </c>
      <c r="E101" s="67">
        <v>2006503131.8399999</v>
      </c>
      <c r="F101" s="62">
        <f t="shared" si="56"/>
        <v>8.6362740327102089E-3</v>
      </c>
      <c r="G101" s="142" t="s">
        <v>329</v>
      </c>
      <c r="H101" s="67">
        <v>291.67</v>
      </c>
      <c r="I101" s="142" t="s">
        <v>329</v>
      </c>
      <c r="J101" s="67">
        <v>291.67</v>
      </c>
      <c r="K101" s="63">
        <v>592</v>
      </c>
      <c r="L101" s="64">
        <v>3.0000000000000001E-3</v>
      </c>
      <c r="M101" s="64">
        <v>0.1681</v>
      </c>
      <c r="N101" s="142" t="s">
        <v>329</v>
      </c>
      <c r="O101" s="67">
        <v>2039596676.6900001</v>
      </c>
      <c r="P101" s="62">
        <f t="shared" si="50"/>
        <v>8.8096093351426805E-3</v>
      </c>
      <c r="Q101" s="142" t="s">
        <v>329</v>
      </c>
      <c r="R101" s="67">
        <v>292.64999999999998</v>
      </c>
      <c r="S101" s="142" t="s">
        <v>329</v>
      </c>
      <c r="T101" s="67">
        <v>292.64999999999998</v>
      </c>
      <c r="U101" s="63">
        <v>562</v>
      </c>
      <c r="V101" s="64">
        <v>3.0000000000000001E-3</v>
      </c>
      <c r="W101" s="64">
        <v>0.16869999999999999</v>
      </c>
      <c r="X101" s="158">
        <f t="shared" si="51"/>
        <v>1.6493143880444761E-2</v>
      </c>
      <c r="Y101" s="158">
        <f t="shared" si="52"/>
        <v>3.3599616004387194E-3</v>
      </c>
      <c r="Z101" s="158">
        <f t="shared" si="53"/>
        <v>-5.0675675675675678E-2</v>
      </c>
      <c r="AA101" s="156">
        <f t="shared" si="54"/>
        <v>0</v>
      </c>
      <c r="AB101" s="157">
        <f t="shared" si="55"/>
        <v>5.9999999999998943E-4</v>
      </c>
    </row>
    <row r="102" spans="1:30" ht="13.8" customHeight="1">
      <c r="A102" s="219">
        <v>90</v>
      </c>
      <c r="B102" s="55" t="s">
        <v>144</v>
      </c>
      <c r="C102" s="56" t="s">
        <v>40</v>
      </c>
      <c r="D102" s="142" t="s">
        <v>329</v>
      </c>
      <c r="E102" s="67">
        <v>778069973.99000001</v>
      </c>
      <c r="F102" s="62">
        <f t="shared" si="56"/>
        <v>3.3489235104454214E-3</v>
      </c>
      <c r="G102" s="142" t="s">
        <v>329</v>
      </c>
      <c r="H102" s="87">
        <v>116.27</v>
      </c>
      <c r="I102" s="142" t="s">
        <v>329</v>
      </c>
      <c r="J102" s="87">
        <v>116.27</v>
      </c>
      <c r="K102" s="81">
        <v>213</v>
      </c>
      <c r="L102" s="82">
        <v>0.14399999999999999</v>
      </c>
      <c r="M102" s="82">
        <v>0.16550000000000001</v>
      </c>
      <c r="N102" s="142" t="s">
        <v>329</v>
      </c>
      <c r="O102" s="67">
        <v>774966485.88</v>
      </c>
      <c r="P102" s="62">
        <f t="shared" si="50"/>
        <v>3.3473049188875643E-3</v>
      </c>
      <c r="Q102" s="142" t="s">
        <v>329</v>
      </c>
      <c r="R102" s="87">
        <v>116.78</v>
      </c>
      <c r="S102" s="142" t="s">
        <v>329</v>
      </c>
      <c r="T102" s="87">
        <v>116.78</v>
      </c>
      <c r="U102" s="81">
        <v>214</v>
      </c>
      <c r="V102" s="82">
        <v>4.4000000000000003E-3</v>
      </c>
      <c r="W102" s="82">
        <v>0.1704</v>
      </c>
      <c r="X102" s="158">
        <f t="shared" si="51"/>
        <v>-3.9887005201924182E-3</v>
      </c>
      <c r="Y102" s="158">
        <f t="shared" si="52"/>
        <v>4.3863421346865498E-3</v>
      </c>
      <c r="Z102" s="158">
        <f t="shared" si="53"/>
        <v>4.6948356807511738E-3</v>
      </c>
      <c r="AA102" s="156">
        <f t="shared" si="54"/>
        <v>-0.1396</v>
      </c>
      <c r="AB102" s="157">
        <f t="shared" si="55"/>
        <v>4.8999999999999877E-3</v>
      </c>
      <c r="AD102" s="40"/>
    </row>
    <row r="103" spans="1:30" ht="15.6" customHeight="1">
      <c r="A103" s="219">
        <v>91</v>
      </c>
      <c r="B103" s="56" t="s">
        <v>145</v>
      </c>
      <c r="C103" s="89" t="s">
        <v>44</v>
      </c>
      <c r="D103" s="142" t="s">
        <v>329</v>
      </c>
      <c r="E103" s="67">
        <v>1255191097</v>
      </c>
      <c r="F103" s="62">
        <f t="shared" si="56"/>
        <v>5.4025204870572531E-3</v>
      </c>
      <c r="G103" s="142" t="s">
        <v>329</v>
      </c>
      <c r="H103" s="87">
        <v>107.68</v>
      </c>
      <c r="I103" s="142" t="s">
        <v>329</v>
      </c>
      <c r="J103" s="87">
        <v>107.99</v>
      </c>
      <c r="K103" s="63">
        <v>4158</v>
      </c>
      <c r="L103" s="64">
        <v>-1E-3</v>
      </c>
      <c r="M103" s="64">
        <v>5.8799999999999998E-2</v>
      </c>
      <c r="N103" s="142" t="s">
        <v>329</v>
      </c>
      <c r="O103" s="67">
        <v>1241080560</v>
      </c>
      <c r="P103" s="62">
        <f t="shared" si="50"/>
        <v>5.3605867336397354E-3</v>
      </c>
      <c r="Q103" s="142" t="s">
        <v>329</v>
      </c>
      <c r="R103" s="87">
        <v>108.87</v>
      </c>
      <c r="S103" s="142" t="s">
        <v>329</v>
      </c>
      <c r="T103" s="87">
        <v>109.23</v>
      </c>
      <c r="U103" s="63">
        <v>4228</v>
      </c>
      <c r="V103" s="64">
        <v>9.9000000000000008E-3</v>
      </c>
      <c r="W103" s="64">
        <v>7.0000000000000007E-2</v>
      </c>
      <c r="X103" s="158">
        <f t="shared" si="51"/>
        <v>-1.124174401310305E-2</v>
      </c>
      <c r="Y103" s="158">
        <f t="shared" si="52"/>
        <v>1.1482544680063054E-2</v>
      </c>
      <c r="Z103" s="158">
        <f t="shared" si="53"/>
        <v>1.6835016835016835E-2</v>
      </c>
      <c r="AA103" s="156">
        <f t="shared" si="54"/>
        <v>1.09E-2</v>
      </c>
      <c r="AB103" s="157">
        <f t="shared" si="55"/>
        <v>1.1200000000000009E-2</v>
      </c>
    </row>
    <row r="104" spans="1:30" ht="13.2" customHeight="1">
      <c r="A104" s="217">
        <v>92</v>
      </c>
      <c r="B104" s="55" t="s">
        <v>146</v>
      </c>
      <c r="C104" s="56" t="s">
        <v>19</v>
      </c>
      <c r="D104" s="142" t="s">
        <v>329</v>
      </c>
      <c r="E104" s="68">
        <v>1795102749.9400001</v>
      </c>
      <c r="F104" s="58">
        <f t="shared" si="56"/>
        <v>7.726376809159015E-3</v>
      </c>
      <c r="G104" s="142" t="s">
        <v>329</v>
      </c>
      <c r="H104" s="90">
        <v>413.28140000000002</v>
      </c>
      <c r="I104" s="142" t="s">
        <v>329</v>
      </c>
      <c r="J104" s="90">
        <v>413.28140000000002</v>
      </c>
      <c r="K104" s="59">
        <v>97</v>
      </c>
      <c r="L104" s="60">
        <v>2.5000000000000001E-3</v>
      </c>
      <c r="M104" s="60">
        <v>7.4399999999999994E-2</v>
      </c>
      <c r="N104" s="142" t="s">
        <v>329</v>
      </c>
      <c r="O104" s="68">
        <v>1802056867.0899999</v>
      </c>
      <c r="P104" s="58">
        <f t="shared" si="50"/>
        <v>7.783606033589823E-3</v>
      </c>
      <c r="Q104" s="142" t="s">
        <v>329</v>
      </c>
      <c r="R104" s="90">
        <v>414.6431</v>
      </c>
      <c r="S104" s="142" t="s">
        <v>329</v>
      </c>
      <c r="T104" s="90">
        <v>414.6431</v>
      </c>
      <c r="U104" s="59">
        <v>97</v>
      </c>
      <c r="V104" s="60">
        <v>3.3E-3</v>
      </c>
      <c r="W104" s="60">
        <v>7.7899999999999997E-2</v>
      </c>
      <c r="X104" s="156">
        <f t="shared" si="51"/>
        <v>3.8739382189862353E-3</v>
      </c>
      <c r="Y104" s="156">
        <f t="shared" si="52"/>
        <v>3.2948494657634841E-3</v>
      </c>
      <c r="Z104" s="156">
        <f t="shared" si="53"/>
        <v>0</v>
      </c>
      <c r="AA104" s="156">
        <f t="shared" si="54"/>
        <v>7.9999999999999993E-4</v>
      </c>
      <c r="AB104" s="157">
        <f t="shared" si="55"/>
        <v>3.5000000000000031E-3</v>
      </c>
    </row>
    <row r="105" spans="1:30" ht="14.4" customHeight="1">
      <c r="A105" s="217">
        <v>93</v>
      </c>
      <c r="B105" s="55" t="s">
        <v>147</v>
      </c>
      <c r="C105" s="56" t="s">
        <v>98</v>
      </c>
      <c r="D105" s="142" t="s">
        <v>329</v>
      </c>
      <c r="E105" s="78">
        <v>5340143113.8100004</v>
      </c>
      <c r="F105" s="62">
        <f>(E105/$O$78)</f>
        <v>8.5464745317505352E-4</v>
      </c>
      <c r="G105" s="142" t="s">
        <v>329</v>
      </c>
      <c r="H105" s="87">
        <v>104.77</v>
      </c>
      <c r="I105" s="163" t="s">
        <v>329</v>
      </c>
      <c r="J105" s="87">
        <v>104.77</v>
      </c>
      <c r="K105" s="63">
        <v>506</v>
      </c>
      <c r="L105" s="64">
        <v>3.7000000000000002E-3</v>
      </c>
      <c r="M105" s="64">
        <v>0.1057</v>
      </c>
      <c r="N105" s="142" t="s">
        <v>329</v>
      </c>
      <c r="O105" s="78">
        <v>4175652072</v>
      </c>
      <c r="P105" s="62">
        <f t="shared" si="50"/>
        <v>1.8035851839834211E-2</v>
      </c>
      <c r="Q105" s="142" t="s">
        <v>329</v>
      </c>
      <c r="R105" s="87">
        <v>105.53</v>
      </c>
      <c r="S105" s="163" t="s">
        <v>329</v>
      </c>
      <c r="T105" s="87">
        <v>105.53</v>
      </c>
      <c r="U105" s="63">
        <v>506</v>
      </c>
      <c r="V105" s="64">
        <v>7.1999999999999998E-3</v>
      </c>
      <c r="W105" s="64">
        <v>0.1154</v>
      </c>
      <c r="X105" s="158">
        <f t="shared" si="51"/>
        <v>-0.21806363930557243</v>
      </c>
      <c r="Y105" s="158">
        <f t="shared" si="52"/>
        <v>7.2539849193471902E-3</v>
      </c>
      <c r="Z105" s="158">
        <f t="shared" si="53"/>
        <v>0</v>
      </c>
      <c r="AA105" s="156">
        <f t="shared" si="54"/>
        <v>3.4999999999999996E-3</v>
      </c>
      <c r="AB105" s="157">
        <f t="shared" si="55"/>
        <v>9.7000000000000003E-3</v>
      </c>
    </row>
    <row r="106" spans="1:30" ht="14.4" customHeight="1">
      <c r="A106" s="217">
        <v>94</v>
      </c>
      <c r="B106" s="55" t="s">
        <v>148</v>
      </c>
      <c r="C106" s="56" t="s">
        <v>42</v>
      </c>
      <c r="D106" s="142" t="s">
        <v>329</v>
      </c>
      <c r="E106" s="67">
        <v>67766648.659999996</v>
      </c>
      <c r="F106" s="62">
        <f t="shared" ref="F106:F118" si="64">(E106/$E$119)</f>
        <v>2.9167726619467964E-4</v>
      </c>
      <c r="G106" s="142" t="s">
        <v>329</v>
      </c>
      <c r="H106" s="67">
        <v>13.54</v>
      </c>
      <c r="I106" s="142" t="s">
        <v>329</v>
      </c>
      <c r="J106" s="67">
        <v>13.7</v>
      </c>
      <c r="K106" s="63">
        <v>54</v>
      </c>
      <c r="L106" s="64">
        <v>0</v>
      </c>
      <c r="M106" s="64">
        <v>6.6E-3</v>
      </c>
      <c r="N106" s="142" t="s">
        <v>329</v>
      </c>
      <c r="O106" s="67">
        <v>61890308.210000001</v>
      </c>
      <c r="P106" s="62">
        <f t="shared" si="50"/>
        <v>2.6732218344585173E-4</v>
      </c>
      <c r="Q106" s="142" t="s">
        <v>329</v>
      </c>
      <c r="R106" s="67">
        <v>12.88</v>
      </c>
      <c r="S106" s="142" t="s">
        <v>329</v>
      </c>
      <c r="T106" s="67">
        <v>13.04</v>
      </c>
      <c r="U106" s="63">
        <v>53</v>
      </c>
      <c r="V106" s="64">
        <v>2.0999999999999999E-3</v>
      </c>
      <c r="W106" s="64">
        <v>6.6E-3</v>
      </c>
      <c r="X106" s="158">
        <f t="shared" si="51"/>
        <v>-8.6714343503732527E-2</v>
      </c>
      <c r="Y106" s="158">
        <f t="shared" si="52"/>
        <v>-4.8175182481751837E-2</v>
      </c>
      <c r="Z106" s="158">
        <f t="shared" si="53"/>
        <v>-1.8518518518518517E-2</v>
      </c>
      <c r="AA106" s="156">
        <f t="shared" si="54"/>
        <v>2.0999999999999999E-3</v>
      </c>
      <c r="AB106" s="157">
        <f t="shared" si="55"/>
        <v>0</v>
      </c>
    </row>
    <row r="107" spans="1:30" ht="13.8" customHeight="1">
      <c r="A107" s="217">
        <v>95</v>
      </c>
      <c r="B107" s="55" t="s">
        <v>149</v>
      </c>
      <c r="C107" s="56" t="s">
        <v>150</v>
      </c>
      <c r="D107" s="142" t="s">
        <v>329</v>
      </c>
      <c r="E107" s="67">
        <v>1156741645.22</v>
      </c>
      <c r="F107" s="62">
        <f t="shared" si="64"/>
        <v>4.978780084936631E-3</v>
      </c>
      <c r="G107" s="142" t="s">
        <v>329</v>
      </c>
      <c r="H107" s="67">
        <v>169.74</v>
      </c>
      <c r="I107" s="142" t="s">
        <v>329</v>
      </c>
      <c r="J107" s="67">
        <v>169.74</v>
      </c>
      <c r="K107" s="63">
        <v>190</v>
      </c>
      <c r="L107" s="64">
        <v>0.20219999999999999</v>
      </c>
      <c r="M107" s="64">
        <v>0.17069999999999999</v>
      </c>
      <c r="N107" s="142" t="s">
        <v>329</v>
      </c>
      <c r="O107" s="67">
        <v>1156741645.22</v>
      </c>
      <c r="P107" s="62">
        <f t="shared" si="50"/>
        <v>4.9963025104630861E-3</v>
      </c>
      <c r="Q107" s="142" t="s">
        <v>329</v>
      </c>
      <c r="R107" s="67">
        <v>169.74</v>
      </c>
      <c r="S107" s="142" t="s">
        <v>329</v>
      </c>
      <c r="T107" s="67">
        <v>169.74</v>
      </c>
      <c r="U107" s="63">
        <v>190</v>
      </c>
      <c r="V107" s="64">
        <v>0</v>
      </c>
      <c r="W107" s="64">
        <v>0.17069999999999999</v>
      </c>
      <c r="X107" s="158">
        <f t="shared" si="51"/>
        <v>0</v>
      </c>
      <c r="Y107" s="158">
        <f t="shared" si="52"/>
        <v>0</v>
      </c>
      <c r="Z107" s="158">
        <f t="shared" si="53"/>
        <v>0</v>
      </c>
      <c r="AA107" s="156">
        <f t="shared" si="54"/>
        <v>-0.20219999999999999</v>
      </c>
      <c r="AB107" s="157">
        <f t="shared" si="55"/>
        <v>0</v>
      </c>
      <c r="AD107" s="40"/>
    </row>
    <row r="108" spans="1:30" ht="14.4" customHeight="1">
      <c r="A108" s="217">
        <v>96</v>
      </c>
      <c r="B108" s="55" t="s">
        <v>151</v>
      </c>
      <c r="C108" s="56" t="s">
        <v>152</v>
      </c>
      <c r="D108" s="142" t="s">
        <v>329</v>
      </c>
      <c r="E108" s="67">
        <v>12564422211.860001</v>
      </c>
      <c r="F108" s="62">
        <f t="shared" si="64"/>
        <v>5.4079055029826156E-2</v>
      </c>
      <c r="G108" s="142" t="s">
        <v>329</v>
      </c>
      <c r="H108" s="67">
        <v>1.08</v>
      </c>
      <c r="I108" s="142" t="s">
        <v>329</v>
      </c>
      <c r="J108" s="67">
        <v>1.08</v>
      </c>
      <c r="K108" s="63">
        <v>5528</v>
      </c>
      <c r="L108" s="64">
        <v>0.16009999999999999</v>
      </c>
      <c r="M108" s="64">
        <v>0.16009999999999999</v>
      </c>
      <c r="N108" s="142" t="s">
        <v>329</v>
      </c>
      <c r="O108" s="67">
        <v>12763703929.34</v>
      </c>
      <c r="P108" s="62">
        <f t="shared" si="50"/>
        <v>5.5130137527676176E-2</v>
      </c>
      <c r="Q108" s="142" t="s">
        <v>329</v>
      </c>
      <c r="R108" s="67">
        <v>1.08</v>
      </c>
      <c r="S108" s="142" t="s">
        <v>329</v>
      </c>
      <c r="T108" s="67">
        <v>1.08</v>
      </c>
      <c r="U108" s="63">
        <v>5539</v>
      </c>
      <c r="V108" s="64">
        <v>0.16009999999999999</v>
      </c>
      <c r="W108" s="64">
        <v>0.16009999999999999</v>
      </c>
      <c r="X108" s="158">
        <f t="shared" si="51"/>
        <v>1.5860794401822195E-2</v>
      </c>
      <c r="Y108" s="158">
        <f t="shared" si="52"/>
        <v>0</v>
      </c>
      <c r="Z108" s="158">
        <f t="shared" si="53"/>
        <v>1.9898697539797393E-3</v>
      </c>
      <c r="AA108" s="156">
        <f t="shared" si="54"/>
        <v>0</v>
      </c>
      <c r="AB108" s="157">
        <f t="shared" si="55"/>
        <v>0</v>
      </c>
    </row>
    <row r="109" spans="1:30" ht="13.5" customHeight="1">
      <c r="A109" s="217">
        <v>97</v>
      </c>
      <c r="B109" s="55" t="s">
        <v>153</v>
      </c>
      <c r="C109" s="56" t="s">
        <v>46</v>
      </c>
      <c r="D109" s="142" t="s">
        <v>329</v>
      </c>
      <c r="E109" s="67">
        <v>14922148038.32</v>
      </c>
      <c r="F109" s="62">
        <f t="shared" si="64"/>
        <v>6.4227041349007433E-2</v>
      </c>
      <c r="G109" s="142" t="s">
        <v>329</v>
      </c>
      <c r="H109" s="87">
        <v>259.25</v>
      </c>
      <c r="I109" s="142" t="s">
        <v>329</v>
      </c>
      <c r="J109" s="87">
        <v>259.25</v>
      </c>
      <c r="K109" s="63">
        <v>5903</v>
      </c>
      <c r="L109" s="64">
        <v>0</v>
      </c>
      <c r="M109" s="64">
        <v>0</v>
      </c>
      <c r="N109" s="142" t="s">
        <v>329</v>
      </c>
      <c r="O109" s="67">
        <v>14918291828.83</v>
      </c>
      <c r="P109" s="62">
        <f t="shared" si="50"/>
        <v>6.4436427290579884E-2</v>
      </c>
      <c r="Q109" s="142" t="s">
        <v>329</v>
      </c>
      <c r="R109" s="87">
        <v>259.25</v>
      </c>
      <c r="S109" s="142" t="s">
        <v>329</v>
      </c>
      <c r="T109" s="87">
        <v>259.25</v>
      </c>
      <c r="U109" s="63">
        <v>5911</v>
      </c>
      <c r="V109" s="64">
        <v>0</v>
      </c>
      <c r="W109" s="64">
        <v>0</v>
      </c>
      <c r="X109" s="158">
        <f t="shared" si="51"/>
        <v>-2.5842187599915543E-4</v>
      </c>
      <c r="Y109" s="158">
        <f t="shared" si="52"/>
        <v>0</v>
      </c>
      <c r="Z109" s="158">
        <f t="shared" si="53"/>
        <v>1.355243096730476E-3</v>
      </c>
      <c r="AA109" s="156">
        <f t="shared" si="54"/>
        <v>0</v>
      </c>
      <c r="AB109" s="157">
        <f t="shared" si="55"/>
        <v>0</v>
      </c>
    </row>
    <row r="110" spans="1:30" ht="13.5" customHeight="1">
      <c r="A110" s="217">
        <v>98</v>
      </c>
      <c r="B110" s="55" t="s">
        <v>154</v>
      </c>
      <c r="C110" s="56" t="s">
        <v>46</v>
      </c>
      <c r="D110" s="142" t="s">
        <v>329</v>
      </c>
      <c r="E110" s="67">
        <v>1306401429.24</v>
      </c>
      <c r="F110" s="62">
        <f t="shared" si="64"/>
        <v>5.6229370194377471E-3</v>
      </c>
      <c r="G110" s="142" t="s">
        <v>329</v>
      </c>
      <c r="H110" s="66">
        <v>10813.41</v>
      </c>
      <c r="I110" s="142" t="s">
        <v>329</v>
      </c>
      <c r="J110" s="66">
        <v>10856.8</v>
      </c>
      <c r="K110" s="63">
        <v>31</v>
      </c>
      <c r="L110" s="64">
        <v>8.0000000000000004E-4</v>
      </c>
      <c r="M110" s="64">
        <v>0.15210000000000001</v>
      </c>
      <c r="N110" s="142" t="s">
        <v>329</v>
      </c>
      <c r="O110" s="67">
        <v>1321587012.0999999</v>
      </c>
      <c r="P110" s="62">
        <f t="shared" si="50"/>
        <v>5.7083174394527902E-3</v>
      </c>
      <c r="Q110" s="142" t="s">
        <v>329</v>
      </c>
      <c r="R110" s="66">
        <v>10970.88</v>
      </c>
      <c r="S110" s="142" t="s">
        <v>329</v>
      </c>
      <c r="T110" s="66">
        <v>11016.57</v>
      </c>
      <c r="U110" s="63">
        <v>30</v>
      </c>
      <c r="V110" s="64">
        <v>1.47E-2</v>
      </c>
      <c r="W110" s="64">
        <v>0.16900000000000001</v>
      </c>
      <c r="X110" s="158">
        <f t="shared" si="51"/>
        <v>1.162397906195963E-2</v>
      </c>
      <c r="Y110" s="158">
        <f t="shared" si="52"/>
        <v>1.4716122614398391E-2</v>
      </c>
      <c r="Z110" s="158">
        <f t="shared" si="53"/>
        <v>-3.2258064516129031E-2</v>
      </c>
      <c r="AA110" s="156">
        <f t="shared" si="54"/>
        <v>1.3899999999999999E-2</v>
      </c>
      <c r="AB110" s="157">
        <f t="shared" si="55"/>
        <v>1.6899999999999998E-2</v>
      </c>
    </row>
    <row r="111" spans="1:30" ht="15" customHeight="1">
      <c r="A111" s="217">
        <v>99</v>
      </c>
      <c r="B111" s="55" t="s">
        <v>155</v>
      </c>
      <c r="C111" s="56" t="s">
        <v>46</v>
      </c>
      <c r="D111" s="142" t="s">
        <v>329</v>
      </c>
      <c r="E111" s="67">
        <v>5926213101.5699997</v>
      </c>
      <c r="F111" s="62">
        <f t="shared" si="64"/>
        <v>2.5507261618108044E-2</v>
      </c>
      <c r="G111" s="142" t="s">
        <v>329</v>
      </c>
      <c r="H111" s="87">
        <v>175.2</v>
      </c>
      <c r="I111" s="142" t="s">
        <v>329</v>
      </c>
      <c r="J111" s="87">
        <v>175.2</v>
      </c>
      <c r="K111" s="63">
        <v>6942</v>
      </c>
      <c r="L111" s="64">
        <v>2.9999999999999997E-4</v>
      </c>
      <c r="M111" s="64">
        <v>0.15720000000000001</v>
      </c>
      <c r="N111" s="142" t="s">
        <v>329</v>
      </c>
      <c r="O111" s="67">
        <v>6378571242.75</v>
      </c>
      <c r="P111" s="62">
        <f t="shared" si="50"/>
        <v>2.7550898374769137E-2</v>
      </c>
      <c r="Q111" s="142" t="s">
        <v>329</v>
      </c>
      <c r="R111" s="87">
        <v>176.63</v>
      </c>
      <c r="S111" s="142" t="s">
        <v>329</v>
      </c>
      <c r="T111" s="87">
        <v>176.63</v>
      </c>
      <c r="U111" s="63">
        <v>6986</v>
      </c>
      <c r="V111" s="64">
        <v>8.2000000000000007E-3</v>
      </c>
      <c r="W111" s="64">
        <v>0.1676</v>
      </c>
      <c r="X111" s="158">
        <f t="shared" si="51"/>
        <v>7.633173722020889E-2</v>
      </c>
      <c r="Y111" s="158">
        <f t="shared" si="52"/>
        <v>8.1621004566210433E-3</v>
      </c>
      <c r="Z111" s="158">
        <f t="shared" si="53"/>
        <v>6.3382310573321813E-3</v>
      </c>
      <c r="AA111" s="156">
        <f t="shared" si="54"/>
        <v>7.9000000000000008E-3</v>
      </c>
      <c r="AB111" s="157">
        <f t="shared" si="55"/>
        <v>1.0399999999999993E-2</v>
      </c>
    </row>
    <row r="112" spans="1:30" ht="15" customHeight="1">
      <c r="A112" s="217">
        <v>100</v>
      </c>
      <c r="B112" s="55" t="s">
        <v>156</v>
      </c>
      <c r="C112" s="56" t="s">
        <v>46</v>
      </c>
      <c r="D112" s="142" t="s">
        <v>329</v>
      </c>
      <c r="E112" s="67">
        <v>5596787952.7700005</v>
      </c>
      <c r="F112" s="62">
        <f t="shared" si="64"/>
        <v>2.4089369060076395E-2</v>
      </c>
      <c r="G112" s="142" t="s">
        <v>329</v>
      </c>
      <c r="H112" s="87">
        <v>395.26</v>
      </c>
      <c r="I112" s="142" t="s">
        <v>329</v>
      </c>
      <c r="J112" s="87">
        <v>395.26</v>
      </c>
      <c r="K112" s="63">
        <v>13398</v>
      </c>
      <c r="L112" s="64">
        <v>2.2000000000000001E-3</v>
      </c>
      <c r="M112" s="64">
        <v>2.5999999999999999E-2</v>
      </c>
      <c r="N112" s="142" t="s">
        <v>329</v>
      </c>
      <c r="O112" s="67">
        <v>5622409896.1800003</v>
      </c>
      <c r="P112" s="62">
        <f t="shared" si="50"/>
        <v>2.4284818304258403E-2</v>
      </c>
      <c r="Q112" s="142" t="s">
        <v>329</v>
      </c>
      <c r="R112" s="87">
        <v>396.07</v>
      </c>
      <c r="S112" s="142" t="s">
        <v>329</v>
      </c>
      <c r="T112" s="87">
        <v>396.07</v>
      </c>
      <c r="U112" s="63">
        <v>13563</v>
      </c>
      <c r="V112" s="64">
        <v>2E-3</v>
      </c>
      <c r="W112" s="64">
        <v>2.81E-2</v>
      </c>
      <c r="X112" s="158">
        <f t="shared" si="51"/>
        <v>4.5779728705495912E-3</v>
      </c>
      <c r="Y112" s="158">
        <f t="shared" si="52"/>
        <v>2.0492840155846843E-3</v>
      </c>
      <c r="Z112" s="158">
        <f t="shared" si="53"/>
        <v>1.2315270935960592E-2</v>
      </c>
      <c r="AA112" s="156">
        <f t="shared" si="54"/>
        <v>-2.0000000000000009E-4</v>
      </c>
      <c r="AB112" s="157">
        <f t="shared" si="55"/>
        <v>2.1000000000000012E-3</v>
      </c>
    </row>
    <row r="113" spans="1:34" ht="15" customHeight="1">
      <c r="A113" s="217">
        <v>101</v>
      </c>
      <c r="B113" s="55" t="s">
        <v>157</v>
      </c>
      <c r="C113" s="56" t="s">
        <v>112</v>
      </c>
      <c r="D113" s="142" t="s">
        <v>329</v>
      </c>
      <c r="E113" s="67">
        <v>116197702.62</v>
      </c>
      <c r="F113" s="62">
        <f t="shared" si="64"/>
        <v>5.0013139071327902E-4</v>
      </c>
      <c r="G113" s="142" t="s">
        <v>329</v>
      </c>
      <c r="H113" s="87">
        <v>119.9442</v>
      </c>
      <c r="I113" s="142" t="s">
        <v>329</v>
      </c>
      <c r="J113" s="87">
        <v>119.9442</v>
      </c>
      <c r="K113" s="63">
        <v>20</v>
      </c>
      <c r="L113" s="64">
        <v>5.2700000000000004E-3</v>
      </c>
      <c r="M113" s="64">
        <v>0.1095</v>
      </c>
      <c r="N113" s="142" t="s">
        <v>329</v>
      </c>
      <c r="O113" s="67">
        <v>116809516.36</v>
      </c>
      <c r="P113" s="62">
        <f t="shared" si="50"/>
        <v>5.0453416477838436E-4</v>
      </c>
      <c r="Q113" s="142" t="s">
        <v>329</v>
      </c>
      <c r="R113" s="87">
        <v>120.5658</v>
      </c>
      <c r="S113" s="142" t="s">
        <v>329</v>
      </c>
      <c r="T113" s="87">
        <v>120.5658</v>
      </c>
      <c r="U113" s="63">
        <v>19</v>
      </c>
      <c r="V113" s="64">
        <v>6.79E-3</v>
      </c>
      <c r="W113" s="64">
        <v>0.1835</v>
      </c>
      <c r="X113" s="158">
        <f t="shared" ref="X113" si="65">((O113-E113)/E113)</f>
        <v>5.2652825848098044E-3</v>
      </c>
      <c r="Y113" s="158">
        <f t="shared" ref="Y113" si="66">((T113-J113)/J113)</f>
        <v>5.1824098205665702E-3</v>
      </c>
      <c r="Z113" s="158">
        <f t="shared" ref="Z113" si="67">((U113-K113)/K113)</f>
        <v>-0.05</v>
      </c>
      <c r="AA113" s="156">
        <f t="shared" ref="AA113" si="68">V113-L113</f>
        <v>1.5199999999999997E-3</v>
      </c>
      <c r="AB113" s="157">
        <f t="shared" ref="AB113" si="69">W113-M113</f>
        <v>7.3999999999999996E-2</v>
      </c>
    </row>
    <row r="114" spans="1:34" ht="13.8" customHeight="1">
      <c r="A114" s="217">
        <v>102</v>
      </c>
      <c r="B114" s="55" t="s">
        <v>158</v>
      </c>
      <c r="C114" s="56" t="s">
        <v>49</v>
      </c>
      <c r="D114" s="142" t="s">
        <v>329</v>
      </c>
      <c r="E114" s="67">
        <v>77979647212.130005</v>
      </c>
      <c r="F114" s="62">
        <f t="shared" si="64"/>
        <v>0.33563546032467545</v>
      </c>
      <c r="G114" s="142" t="s">
        <v>329</v>
      </c>
      <c r="H114" s="67">
        <v>1.8910800000000001</v>
      </c>
      <c r="I114" s="142" t="s">
        <v>329</v>
      </c>
      <c r="J114" s="67">
        <v>1.8910800000000001</v>
      </c>
      <c r="K114" s="63">
        <v>7231</v>
      </c>
      <c r="L114" s="64">
        <v>1.8E-3</v>
      </c>
      <c r="M114" s="64">
        <v>0.10539999999999999</v>
      </c>
      <c r="N114" s="142" t="s">
        <v>329</v>
      </c>
      <c r="O114" s="67">
        <v>76499916598.850006</v>
      </c>
      <c r="P114" s="62">
        <f t="shared" si="50"/>
        <v>0.33042531747039977</v>
      </c>
      <c r="Q114" s="142" t="s">
        <v>329</v>
      </c>
      <c r="R114" s="67">
        <v>1.8940999999999999</v>
      </c>
      <c r="S114" s="142" t="s">
        <v>329</v>
      </c>
      <c r="T114" s="67">
        <v>1.8940999999999999</v>
      </c>
      <c r="U114" s="63">
        <v>7247</v>
      </c>
      <c r="V114" s="64">
        <v>1.6000000000000001E-3</v>
      </c>
      <c r="W114" s="64">
        <v>0.10539999999999999</v>
      </c>
      <c r="X114" s="158">
        <f t="shared" si="51"/>
        <v>-1.8975856729059701E-2</v>
      </c>
      <c r="Y114" s="158">
        <f t="shared" si="52"/>
        <v>1.596971043001777E-3</v>
      </c>
      <c r="Z114" s="158">
        <f t="shared" si="53"/>
        <v>2.2126953395104412E-3</v>
      </c>
      <c r="AA114" s="156">
        <f t="shared" si="54"/>
        <v>-1.9999999999999987E-4</v>
      </c>
      <c r="AB114" s="157">
        <f t="shared" si="55"/>
        <v>0</v>
      </c>
    </row>
    <row r="115" spans="1:34" ht="12.6" customHeight="1">
      <c r="A115" s="217">
        <v>103</v>
      </c>
      <c r="B115" s="55" t="s">
        <v>159</v>
      </c>
      <c r="C115" s="56" t="s">
        <v>49</v>
      </c>
      <c r="D115" s="142" t="s">
        <v>329</v>
      </c>
      <c r="E115" s="67">
        <v>53270627001.629997</v>
      </c>
      <c r="F115" s="62">
        <f t="shared" si="64"/>
        <v>0.22928433321630814</v>
      </c>
      <c r="G115" s="142" t="s">
        <v>329</v>
      </c>
      <c r="H115" s="67">
        <v>127.89527</v>
      </c>
      <c r="I115" s="142" t="s">
        <v>329</v>
      </c>
      <c r="J115" s="67">
        <v>127.89527</v>
      </c>
      <c r="K115" s="63">
        <v>1845</v>
      </c>
      <c r="L115" s="64">
        <v>2.5000000000000001E-3</v>
      </c>
      <c r="M115" s="64">
        <v>0.1754</v>
      </c>
      <c r="N115" s="142" t="s">
        <v>329</v>
      </c>
      <c r="O115" s="67">
        <v>53516894157.339996</v>
      </c>
      <c r="P115" s="62">
        <f t="shared" si="50"/>
        <v>0.23115498066091586</v>
      </c>
      <c r="Q115" s="142" t="s">
        <v>329</v>
      </c>
      <c r="R115" s="67">
        <v>128.33893</v>
      </c>
      <c r="S115" s="142" t="s">
        <v>329</v>
      </c>
      <c r="T115" s="67">
        <v>128.33893</v>
      </c>
      <c r="U115" s="63">
        <v>1891</v>
      </c>
      <c r="V115" s="64">
        <v>2.8E-3</v>
      </c>
      <c r="W115" s="64">
        <v>0.17610000000000001</v>
      </c>
      <c r="X115" s="158">
        <f t="shared" ref="X115:X117" si="70">((O115-E115)/E115)</f>
        <v>4.6229445676031506E-3</v>
      </c>
      <c r="Y115" s="158">
        <f t="shared" ref="Y115:Y117" si="71">((T115-J115)/J115)</f>
        <v>3.4689320410364543E-3</v>
      </c>
      <c r="Z115" s="158">
        <f t="shared" ref="Z115:Z117" si="72">((U115-K115)/K115)</f>
        <v>2.4932249322493227E-2</v>
      </c>
      <c r="AA115" s="156">
        <f t="shared" ref="AA115:AA117" si="73">V115-L115</f>
        <v>2.9999999999999992E-4</v>
      </c>
      <c r="AB115" s="157">
        <f t="shared" ref="AB115:AB117" si="74">W115-M115</f>
        <v>7.0000000000000617E-4</v>
      </c>
      <c r="AD115" s="48"/>
    </row>
    <row r="116" spans="1:34" ht="15" customHeight="1">
      <c r="A116" s="217">
        <v>104</v>
      </c>
      <c r="B116" s="55" t="s">
        <v>160</v>
      </c>
      <c r="C116" s="55" t="s">
        <v>161</v>
      </c>
      <c r="D116" s="142" t="s">
        <v>329</v>
      </c>
      <c r="E116" s="67">
        <v>121064363.8</v>
      </c>
      <c r="F116" s="62">
        <f t="shared" si="64"/>
        <v>5.2107819060005051E-4</v>
      </c>
      <c r="G116" s="142" t="s">
        <v>329</v>
      </c>
      <c r="H116" s="67">
        <v>121.49</v>
      </c>
      <c r="I116" s="142" t="s">
        <v>329</v>
      </c>
      <c r="J116" s="67">
        <v>121.49</v>
      </c>
      <c r="K116" s="91">
        <v>89</v>
      </c>
      <c r="L116" s="92">
        <v>1.5E-3</v>
      </c>
      <c r="M116" s="92">
        <v>1.9099999999999999E-2</v>
      </c>
      <c r="N116" s="142" t="s">
        <v>329</v>
      </c>
      <c r="O116" s="67">
        <v>121293933.72</v>
      </c>
      <c r="P116" s="62">
        <f t="shared" si="50"/>
        <v>5.2390366340957699E-4</v>
      </c>
      <c r="Q116" s="142" t="s">
        <v>329</v>
      </c>
      <c r="R116" s="67">
        <v>121.7</v>
      </c>
      <c r="S116" s="142" t="s">
        <v>329</v>
      </c>
      <c r="T116" s="67">
        <v>121.7</v>
      </c>
      <c r="U116" s="91">
        <v>89</v>
      </c>
      <c r="V116" s="92">
        <v>1.5E-3</v>
      </c>
      <c r="W116" s="92">
        <v>1.9099999999999999E-2</v>
      </c>
      <c r="X116" s="158">
        <f t="shared" si="70"/>
        <v>1.8962633825033307E-3</v>
      </c>
      <c r="Y116" s="158">
        <f t="shared" si="71"/>
        <v>1.728537328175224E-3</v>
      </c>
      <c r="Z116" s="158">
        <f t="shared" si="72"/>
        <v>0</v>
      </c>
      <c r="AA116" s="156">
        <f t="shared" si="73"/>
        <v>0</v>
      </c>
      <c r="AB116" s="157">
        <f t="shared" si="74"/>
        <v>0</v>
      </c>
      <c r="AD116" s="40"/>
    </row>
    <row r="117" spans="1:34" ht="15.6" customHeight="1">
      <c r="A117" s="217">
        <v>105</v>
      </c>
      <c r="B117" s="55" t="s">
        <v>162</v>
      </c>
      <c r="C117" s="56" t="s">
        <v>119</v>
      </c>
      <c r="D117" s="142" t="s">
        <v>329</v>
      </c>
      <c r="E117" s="67">
        <v>513104272.19</v>
      </c>
      <c r="F117" s="62">
        <f t="shared" si="64"/>
        <v>2.20847355365131E-3</v>
      </c>
      <c r="G117" s="142" t="s">
        <v>329</v>
      </c>
      <c r="H117" s="67">
        <v>1.43</v>
      </c>
      <c r="I117" s="142" t="s">
        <v>329</v>
      </c>
      <c r="J117" s="67">
        <v>1.43</v>
      </c>
      <c r="K117" s="63">
        <v>954</v>
      </c>
      <c r="L117" s="64">
        <v>2.0999999999999999E-3</v>
      </c>
      <c r="M117" s="64">
        <v>4.19E-2</v>
      </c>
      <c r="N117" s="142" t="s">
        <v>329</v>
      </c>
      <c r="O117" s="67">
        <v>520890536.13999999</v>
      </c>
      <c r="P117" s="62">
        <f t="shared" si="50"/>
        <v>2.2498772341664692E-3</v>
      </c>
      <c r="Q117" s="142" t="s">
        <v>329</v>
      </c>
      <c r="R117" s="67">
        <v>1.46</v>
      </c>
      <c r="S117" s="142" t="s">
        <v>329</v>
      </c>
      <c r="T117" s="67">
        <v>1.46</v>
      </c>
      <c r="U117" s="63">
        <v>958</v>
      </c>
      <c r="V117" s="64">
        <v>1.8700000000000001E-2</v>
      </c>
      <c r="W117" s="64">
        <v>6.2199999999999998E-2</v>
      </c>
      <c r="X117" s="158">
        <f t="shared" si="70"/>
        <v>1.5174818008758993E-2</v>
      </c>
      <c r="Y117" s="158">
        <f t="shared" si="71"/>
        <v>2.0979020979020997E-2</v>
      </c>
      <c r="Z117" s="158">
        <f t="shared" si="72"/>
        <v>4.1928721174004195E-3</v>
      </c>
      <c r="AA117" s="156">
        <f t="shared" si="73"/>
        <v>1.66E-2</v>
      </c>
      <c r="AB117" s="157">
        <f t="shared" si="74"/>
        <v>2.0299999999999999E-2</v>
      </c>
    </row>
    <row r="118" spans="1:34" ht="16.8" customHeight="1">
      <c r="A118" s="217">
        <v>106</v>
      </c>
      <c r="B118" s="55" t="s">
        <v>163</v>
      </c>
      <c r="C118" s="56" t="s">
        <v>121</v>
      </c>
      <c r="D118" s="142" t="s">
        <v>329</v>
      </c>
      <c r="E118" s="67">
        <v>1949316988.8900001</v>
      </c>
      <c r="F118" s="62">
        <f t="shared" si="64"/>
        <v>8.3901367635712144E-3</v>
      </c>
      <c r="G118" s="142" t="s">
        <v>329</v>
      </c>
      <c r="H118" s="87">
        <v>32.353999999999999</v>
      </c>
      <c r="I118" s="142" t="s">
        <v>329</v>
      </c>
      <c r="J118" s="87">
        <v>32.353999999999999</v>
      </c>
      <c r="K118" s="63">
        <v>1562</v>
      </c>
      <c r="L118" s="64">
        <v>0.1525</v>
      </c>
      <c r="M118" s="64">
        <v>0.1525</v>
      </c>
      <c r="N118" s="142" t="s">
        <v>329</v>
      </c>
      <c r="O118" s="67">
        <v>2121168471.1099999</v>
      </c>
      <c r="P118" s="62">
        <f t="shared" si="50"/>
        <v>9.1619415632834874E-3</v>
      </c>
      <c r="Q118" s="142" t="s">
        <v>329</v>
      </c>
      <c r="R118" s="87">
        <v>32.437199999999997</v>
      </c>
      <c r="S118" s="142" t="s">
        <v>329</v>
      </c>
      <c r="T118" s="87">
        <v>32.437199999999997</v>
      </c>
      <c r="U118" s="63">
        <v>1562</v>
      </c>
      <c r="V118" s="64">
        <v>0.14860000000000001</v>
      </c>
      <c r="W118" s="64">
        <v>0.14860000000000001</v>
      </c>
      <c r="X118" s="158">
        <f t="shared" si="51"/>
        <v>8.8159844293901737E-2</v>
      </c>
      <c r="Y118" s="158">
        <f t="shared" si="52"/>
        <v>2.5715522037459957E-3</v>
      </c>
      <c r="Z118" s="158">
        <f t="shared" si="53"/>
        <v>0</v>
      </c>
      <c r="AA118" s="156">
        <f t="shared" si="54"/>
        <v>-3.8999999999999868E-3</v>
      </c>
      <c r="AB118" s="157">
        <f t="shared" si="55"/>
        <v>-3.8999999999999868E-3</v>
      </c>
    </row>
    <row r="119" spans="1:34">
      <c r="B119" s="70"/>
      <c r="C119" s="71" t="s">
        <v>52</v>
      </c>
      <c r="D119" s="116" t="s">
        <v>329</v>
      </c>
      <c r="E119" s="85">
        <f>SUM(E81:E118)</f>
        <v>232334352087.52002</v>
      </c>
      <c r="F119" s="73">
        <f>(E119/$E$241)</f>
        <v>2.4848991252079133E-2</v>
      </c>
      <c r="G119" s="142" t="s">
        <v>329</v>
      </c>
      <c r="H119" s="74"/>
      <c r="I119" s="142" t="s">
        <v>329</v>
      </c>
      <c r="J119" s="79"/>
      <c r="K119" s="76">
        <f>SUM(K81:K118)</f>
        <v>72046</v>
      </c>
      <c r="L119" s="82"/>
      <c r="M119" s="82"/>
      <c r="N119" s="142" t="s">
        <v>329</v>
      </c>
      <c r="O119" s="85">
        <f>SUM(O81:O118)</f>
        <v>231519537257.32001</v>
      </c>
      <c r="P119" s="73">
        <f>(O119/$O$241)</f>
        <v>2.4703433728373754E-2</v>
      </c>
      <c r="Q119" s="144"/>
      <c r="R119" s="74"/>
      <c r="S119" s="74"/>
      <c r="T119" s="79"/>
      <c r="U119" s="76">
        <f>SUM(U81:U118)</f>
        <v>72602</v>
      </c>
      <c r="V119" s="82"/>
      <c r="W119" s="82"/>
      <c r="X119" s="158">
        <f t="shared" si="51"/>
        <v>-3.5070785825639448E-3</v>
      </c>
      <c r="Y119" s="158" t="e">
        <f t="shared" si="52"/>
        <v>#DIV/0!</v>
      </c>
      <c r="Z119" s="158">
        <f t="shared" si="53"/>
        <v>7.7172917302834303E-3</v>
      </c>
      <c r="AA119" s="156">
        <f t="shared" si="54"/>
        <v>0</v>
      </c>
      <c r="AB119" s="157">
        <f t="shared" si="55"/>
        <v>0</v>
      </c>
    </row>
    <row r="120" spans="1:34" ht="3.75" customHeight="1">
      <c r="B120" s="226"/>
      <c r="C120" s="226"/>
      <c r="D120" s="226"/>
      <c r="E120" s="226"/>
      <c r="F120" s="226"/>
      <c r="G120" s="226"/>
      <c r="H120" s="226"/>
      <c r="I120" s="226"/>
      <c r="J120" s="226"/>
      <c r="K120" s="226"/>
      <c r="L120" s="226"/>
      <c r="M120" s="226"/>
      <c r="N120" s="226"/>
      <c r="O120" s="226"/>
      <c r="P120" s="226"/>
      <c r="Q120" s="226"/>
      <c r="R120" s="226"/>
      <c r="S120" s="226"/>
      <c r="T120" s="226"/>
      <c r="U120" s="226"/>
      <c r="V120" s="226"/>
      <c r="W120" s="226"/>
      <c r="X120" s="226"/>
      <c r="Y120" s="226"/>
      <c r="Z120" s="226"/>
      <c r="AA120" s="226"/>
      <c r="AB120" s="226"/>
    </row>
    <row r="121" spans="1:34" ht="15" customHeight="1">
      <c r="A121" s="162"/>
      <c r="B121" s="230" t="s">
        <v>164</v>
      </c>
      <c r="C121" s="230"/>
      <c r="D121" s="230"/>
      <c r="E121" s="230"/>
      <c r="F121" s="230"/>
      <c r="G121" s="230"/>
      <c r="H121" s="230"/>
      <c r="I121" s="230"/>
      <c r="J121" s="230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W121" s="230"/>
      <c r="X121" s="230"/>
      <c r="Y121" s="230"/>
      <c r="Z121" s="230"/>
      <c r="AA121" s="230"/>
      <c r="AB121" s="230"/>
    </row>
    <row r="122" spans="1:34">
      <c r="A122" s="165"/>
      <c r="B122" s="229" t="s">
        <v>337</v>
      </c>
      <c r="C122" s="229"/>
      <c r="D122" s="229"/>
      <c r="E122" s="229"/>
      <c r="F122" s="229"/>
      <c r="G122" s="229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F122" s="23"/>
      <c r="AH122" s="25"/>
    </row>
    <row r="123" spans="1:34" ht="16.5" customHeight="1">
      <c r="A123" s="219">
        <v>107</v>
      </c>
      <c r="B123" s="55" t="s">
        <v>165</v>
      </c>
      <c r="C123" s="56" t="s">
        <v>19</v>
      </c>
      <c r="D123" s="160">
        <v>3317083.12</v>
      </c>
      <c r="E123" s="67">
        <v>4578187370.8522644</v>
      </c>
      <c r="F123" s="62">
        <f t="shared" ref="F123:F128" si="75">(E123/$E$163)</f>
        <v>2.4798072000172229E-3</v>
      </c>
      <c r="G123" s="145">
        <v>119.91840000000001</v>
      </c>
      <c r="H123" s="67">
        <v>165509.54092848001</v>
      </c>
      <c r="I123" s="145">
        <v>119.91840000000001</v>
      </c>
      <c r="J123" s="67">
        <v>165509.54092848001</v>
      </c>
      <c r="K123" s="63">
        <v>190</v>
      </c>
      <c r="L123" s="64">
        <v>1.4E-3</v>
      </c>
      <c r="M123" s="64">
        <v>4.6800000000000001E-2</v>
      </c>
      <c r="N123" s="145">
        <v>3312565.92</v>
      </c>
      <c r="O123" s="67">
        <f>N123*C272</f>
        <v>4512001651.2486725</v>
      </c>
      <c r="P123" s="62">
        <f t="shared" ref="P123:P140" si="76">(O123/$O$163)</f>
        <v>2.4854960505042529E-3</v>
      </c>
      <c r="Q123" s="145">
        <v>120.1259</v>
      </c>
      <c r="R123" s="93">
        <f>Q123*C272</f>
        <v>163621.87870294001</v>
      </c>
      <c r="S123" s="145">
        <v>120.1259</v>
      </c>
      <c r="T123" s="67">
        <f>S123*C272</f>
        <v>163621.87870294001</v>
      </c>
      <c r="U123" s="63">
        <v>190</v>
      </c>
      <c r="V123" s="64">
        <v>1.6999999999999999E-3</v>
      </c>
      <c r="W123" s="64">
        <v>4.87E-2</v>
      </c>
      <c r="X123" s="158">
        <f>((O123-E123)/E123)</f>
        <v>-1.4456752037929576E-2</v>
      </c>
      <c r="Y123" s="158">
        <f>((T123-J123)/J123)</f>
        <v>-1.1405156554423026E-2</v>
      </c>
      <c r="Z123" s="158">
        <f>((U123-K123)/K123)</f>
        <v>0</v>
      </c>
      <c r="AA123" s="158">
        <f>V123-L123</f>
        <v>2.9999999999999992E-4</v>
      </c>
      <c r="AB123" s="159">
        <f>W123-M123</f>
        <v>1.8999999999999989E-3</v>
      </c>
      <c r="AD123" s="23"/>
      <c r="AE123" s="26"/>
      <c r="AF123" s="23"/>
      <c r="AG123" s="27"/>
    </row>
    <row r="124" spans="1:34" ht="16.5" customHeight="1">
      <c r="A124" s="219">
        <v>108</v>
      </c>
      <c r="B124" s="55" t="s">
        <v>166</v>
      </c>
      <c r="C124" s="56" t="s">
        <v>56</v>
      </c>
      <c r="D124" s="160">
        <v>4088212.89</v>
      </c>
      <c r="E124" s="67">
        <v>5642488881.1207829</v>
      </c>
      <c r="F124" s="62">
        <f t="shared" si="75"/>
        <v>3.0562935546291701E-3</v>
      </c>
      <c r="G124" s="145">
        <v>107.2683</v>
      </c>
      <c r="H124" s="67">
        <v>148050.06645501</v>
      </c>
      <c r="I124" s="145">
        <v>107.2683</v>
      </c>
      <c r="J124" s="67">
        <v>148050.06645501</v>
      </c>
      <c r="K124" s="63">
        <v>117</v>
      </c>
      <c r="L124" s="64">
        <v>1.1E-5</v>
      </c>
      <c r="M124" s="64">
        <v>7.27E-4</v>
      </c>
      <c r="N124" s="145">
        <v>3951589.91</v>
      </c>
      <c r="O124" s="67">
        <f>3951589.91*C272</f>
        <v>5382407665.1062069</v>
      </c>
      <c r="P124" s="62">
        <f t="shared" si="76"/>
        <v>2.9649707663832563E-3</v>
      </c>
      <c r="Q124" s="145">
        <v>107.89</v>
      </c>
      <c r="R124" s="67">
        <f>107.89*C272</f>
        <v>146955.52327400001</v>
      </c>
      <c r="S124" s="145">
        <v>107.89</v>
      </c>
      <c r="T124" s="67">
        <f>107.89*C272</f>
        <v>146955.52327400001</v>
      </c>
      <c r="U124" s="63">
        <v>119</v>
      </c>
      <c r="V124" s="64">
        <v>5.8E-5</v>
      </c>
      <c r="W124" s="64">
        <v>7.8899999999999999E-4</v>
      </c>
      <c r="X124" s="158">
        <f>((O124-E124)/E124)</f>
        <v>-4.6093350203096073E-2</v>
      </c>
      <c r="Y124" s="156">
        <f>((T124-J124)/J124)</f>
        <v>-7.393061058453573E-3</v>
      </c>
      <c r="Z124" s="156">
        <f>((U124-K124)/K124)</f>
        <v>1.7094017094017096E-2</v>
      </c>
      <c r="AA124" s="156">
        <f>V124-L124</f>
        <v>4.7000000000000004E-5</v>
      </c>
      <c r="AB124" s="157">
        <f>W124-M124</f>
        <v>6.1999999999999989E-5</v>
      </c>
      <c r="AD124" s="23"/>
      <c r="AE124" s="26"/>
      <c r="AF124" s="23"/>
      <c r="AG124" s="27"/>
    </row>
    <row r="125" spans="1:34">
      <c r="A125" s="219">
        <v>109</v>
      </c>
      <c r="B125" s="55" t="s">
        <v>167</v>
      </c>
      <c r="C125" s="56" t="s">
        <v>23</v>
      </c>
      <c r="D125" s="160">
        <v>12778615.220000001</v>
      </c>
      <c r="E125" s="67">
        <v>17634514560.830441</v>
      </c>
      <c r="F125" s="62">
        <f t="shared" si="75"/>
        <v>9.5518581120490869E-3</v>
      </c>
      <c r="G125" s="145">
        <v>1.2406999999999999</v>
      </c>
      <c r="H125" s="67">
        <v>1712.1684813999998</v>
      </c>
      <c r="I125" s="145">
        <v>1.2406999999999999</v>
      </c>
      <c r="J125" s="67">
        <v>1712.1684813999998</v>
      </c>
      <c r="K125" s="63">
        <v>346</v>
      </c>
      <c r="L125" s="64">
        <v>7.1499999999999994E-2</v>
      </c>
      <c r="M125" s="64">
        <v>5.0999999999999997E-2</v>
      </c>
      <c r="N125" s="145">
        <v>12822142.039999999</v>
      </c>
      <c r="O125" s="67">
        <f>12822142.04*1363.16667403808</f>
        <v>17478716718.71064</v>
      </c>
      <c r="P125" s="62">
        <f t="shared" si="76"/>
        <v>9.6283833052710106E-3</v>
      </c>
      <c r="Q125" s="145">
        <v>1.24</v>
      </c>
      <c r="R125" s="67">
        <f>1.24*1363.16667403808</f>
        <v>1690.3266758072191</v>
      </c>
      <c r="S125" s="145">
        <v>1.24</v>
      </c>
      <c r="T125" s="67">
        <f>1.24*1363.16667403808</f>
        <v>1690.3266758072191</v>
      </c>
      <c r="U125" s="63">
        <v>346</v>
      </c>
      <c r="V125" s="64">
        <v>3.3599999999999998E-2</v>
      </c>
      <c r="W125" s="64">
        <v>5.04E-2</v>
      </c>
      <c r="X125" s="156">
        <f t="shared" ref="X125:X138" si="77">((O125-E125)/E125)</f>
        <v>-8.8348245471897915E-3</v>
      </c>
      <c r="Y125" s="156">
        <f t="shared" ref="Y125:Y138" si="78">((T125-J125)/J125)</f>
        <v>-1.2756808591010374E-2</v>
      </c>
      <c r="Z125" s="156">
        <f t="shared" ref="Z125:Z138" si="79">((U125-K125)/K125)</f>
        <v>0</v>
      </c>
      <c r="AA125" s="156">
        <f t="shared" ref="AA125:AA138" si="80">V125-L125</f>
        <v>-3.7899999999999996E-2</v>
      </c>
      <c r="AB125" s="157">
        <f t="shared" ref="AB125:AB138" si="81">W125-M125</f>
        <v>-5.9999999999999637E-4</v>
      </c>
    </row>
    <row r="126" spans="1:34">
      <c r="A126" s="219">
        <v>110</v>
      </c>
      <c r="B126" s="55" t="s">
        <v>168</v>
      </c>
      <c r="C126" s="56" t="s">
        <v>23</v>
      </c>
      <c r="D126" s="160">
        <v>6154474.8200000003</v>
      </c>
      <c r="E126" s="67">
        <v>8493187560.5496397</v>
      </c>
      <c r="F126" s="62">
        <f t="shared" si="75"/>
        <v>4.6003944263703122E-3</v>
      </c>
      <c r="G126" s="145">
        <v>1.071357304</v>
      </c>
      <c r="H126" s="67">
        <v>1478.4752222346078</v>
      </c>
      <c r="I126" s="145">
        <v>1.071357304</v>
      </c>
      <c r="J126" s="67">
        <v>1478.4752222346078</v>
      </c>
      <c r="K126" s="63">
        <v>126</v>
      </c>
      <c r="L126" s="64">
        <v>4.7600000000000003E-2</v>
      </c>
      <c r="M126" s="64">
        <v>4.3799999999999999E-2</v>
      </c>
      <c r="N126" s="145">
        <v>3167472.95</v>
      </c>
      <c r="O126" s="67">
        <f>3167472.95*1363.16667403808</f>
        <v>4317793566.3570852</v>
      </c>
      <c r="P126" s="62">
        <f t="shared" si="76"/>
        <v>2.3785139469315623E-3</v>
      </c>
      <c r="Q126" s="145">
        <v>1.07</v>
      </c>
      <c r="R126" s="67">
        <f>1.07*1363.16667403808</f>
        <v>1458.5883412207456</v>
      </c>
      <c r="S126" s="145">
        <v>1.07</v>
      </c>
      <c r="T126" s="67">
        <f>1.07*1363.16667403808</f>
        <v>1458.5883412207456</v>
      </c>
      <c r="U126" s="63">
        <v>127</v>
      </c>
      <c r="V126" s="64">
        <v>4.87E-2</v>
      </c>
      <c r="W126" s="64">
        <v>4.7699999999999999E-2</v>
      </c>
      <c r="X126" s="156">
        <f t="shared" si="77"/>
        <v>-0.49161683577871468</v>
      </c>
      <c r="Y126" s="156">
        <f t="shared" ref="Y126" si="82">((T126-J126)/J126)</f>
        <v>-1.3450939667290886E-2</v>
      </c>
      <c r="Z126" s="156">
        <f t="shared" ref="Z126" si="83">((U126-K126)/K126)</f>
        <v>7.9365079365079361E-3</v>
      </c>
      <c r="AA126" s="156">
        <f t="shared" ref="AA126" si="84">V126-L126</f>
        <v>1.0999999999999968E-3</v>
      </c>
      <c r="AB126" s="157">
        <f t="shared" ref="AB126" si="85">W126-M126</f>
        <v>3.9000000000000007E-3</v>
      </c>
    </row>
    <row r="127" spans="1:34">
      <c r="A127" s="219">
        <v>111</v>
      </c>
      <c r="B127" s="55" t="s">
        <v>169</v>
      </c>
      <c r="C127" s="56" t="s">
        <v>27</v>
      </c>
      <c r="D127" s="160">
        <v>34702795.359999999</v>
      </c>
      <c r="E127" s="67">
        <v>47896267203.102989</v>
      </c>
      <c r="F127" s="62">
        <f t="shared" si="75"/>
        <v>2.5943348020308961E-2</v>
      </c>
      <c r="G127" s="145">
        <v>1.3055000000000001</v>
      </c>
      <c r="H127" s="67">
        <v>1801.8311258500003</v>
      </c>
      <c r="I127" s="145">
        <v>1.3055000000000001</v>
      </c>
      <c r="J127" s="67">
        <v>1801.8311258500003</v>
      </c>
      <c r="K127" s="63">
        <v>650</v>
      </c>
      <c r="L127" s="64">
        <v>1.1999999999999999E-3</v>
      </c>
      <c r="M127" s="64">
        <v>7.5700000000000003E-2</v>
      </c>
      <c r="N127" s="145">
        <v>34644325.490000002</v>
      </c>
      <c r="O127" s="67">
        <f>34644325.49*C272</f>
        <v>47188571515.967438</v>
      </c>
      <c r="P127" s="62">
        <f t="shared" si="76"/>
        <v>2.5994451508991798E-2</v>
      </c>
      <c r="Q127" s="145">
        <v>1.3023</v>
      </c>
      <c r="R127" s="67">
        <f>1.3023*C272</f>
        <v>1773.8453791800002</v>
      </c>
      <c r="S127" s="191">
        <v>1.3023</v>
      </c>
      <c r="T127" s="67">
        <f>1.3023*C272</f>
        <v>1773.8453791800002</v>
      </c>
      <c r="U127" s="63">
        <v>651</v>
      </c>
      <c r="V127" s="64">
        <v>-2.5000000000000001E-3</v>
      </c>
      <c r="W127" s="64">
        <v>7.3099999999999998E-2</v>
      </c>
      <c r="X127" s="156">
        <f t="shared" si="77"/>
        <v>-1.477559167887937E-2</v>
      </c>
      <c r="Y127" s="156">
        <f t="shared" ref="Y127:Z130" si="86">((T127-J127)/J127)</f>
        <v>-1.5531836623589217E-2</v>
      </c>
      <c r="Z127" s="156">
        <f t="shared" si="86"/>
        <v>1.5384615384615385E-3</v>
      </c>
      <c r="AA127" s="156">
        <f t="shared" si="80"/>
        <v>-3.7000000000000002E-3</v>
      </c>
      <c r="AB127" s="157">
        <f t="shared" si="81"/>
        <v>-2.6000000000000051E-3</v>
      </c>
    </row>
    <row r="128" spans="1:34">
      <c r="A128" s="219">
        <v>112</v>
      </c>
      <c r="B128" s="55" t="s">
        <v>170</v>
      </c>
      <c r="C128" s="56" t="s">
        <v>65</v>
      </c>
      <c r="D128" s="160">
        <v>1102458.68</v>
      </c>
      <c r="E128" s="67">
        <v>1521596602.5181959</v>
      </c>
      <c r="F128" s="62">
        <f t="shared" si="75"/>
        <v>8.2418343872718005E-4</v>
      </c>
      <c r="G128" s="145">
        <v>1.0907</v>
      </c>
      <c r="H128" s="67">
        <v>1505.3674522900001</v>
      </c>
      <c r="I128" s="145">
        <v>1.1000000000000001</v>
      </c>
      <c r="J128" s="67">
        <v>1518.2031700000002</v>
      </c>
      <c r="K128" s="63">
        <v>81</v>
      </c>
      <c r="L128" s="64">
        <v>1.6900000000000001E-3</v>
      </c>
      <c r="M128" s="64">
        <v>7.2499999999999995E-2</v>
      </c>
      <c r="N128" s="145">
        <v>987016.7</v>
      </c>
      <c r="O128" s="67">
        <f>N128*C272</f>
        <v>1344402221.0462201</v>
      </c>
      <c r="P128" s="62">
        <f t="shared" si="76"/>
        <v>7.4058182354050806E-4</v>
      </c>
      <c r="Q128" s="145">
        <v>1.091</v>
      </c>
      <c r="R128" s="67">
        <f>Q128*C272</f>
        <v>1486.0364806</v>
      </c>
      <c r="S128" s="67">
        <v>1.1000000000000001</v>
      </c>
      <c r="T128" s="67">
        <f>S128*C272</f>
        <v>1498.2952600000003</v>
      </c>
      <c r="U128" s="63">
        <v>81</v>
      </c>
      <c r="V128" s="64">
        <v>4.0000000000000003E-5</v>
      </c>
      <c r="W128" s="64">
        <v>7.0400000000000004E-2</v>
      </c>
      <c r="X128" s="156">
        <f t="shared" si="77"/>
        <v>-0.11645292923152202</v>
      </c>
      <c r="Y128" s="156">
        <f t="shared" si="86"/>
        <v>-1.3112810191273609E-2</v>
      </c>
      <c r="Z128" s="156">
        <f t="shared" si="86"/>
        <v>0</v>
      </c>
      <c r="AA128" s="156">
        <f t="shared" si="80"/>
        <v>-1.65E-3</v>
      </c>
      <c r="AB128" s="157">
        <f t="shared" si="81"/>
        <v>-2.0999999999999908E-3</v>
      </c>
    </row>
    <row r="129" spans="1:111">
      <c r="A129" s="219">
        <v>113</v>
      </c>
      <c r="B129" s="55" t="s">
        <v>171</v>
      </c>
      <c r="C129" s="56" t="s">
        <v>29</v>
      </c>
      <c r="D129" s="160">
        <v>716264.65</v>
      </c>
      <c r="E129" s="67">
        <v>988577511.08085501</v>
      </c>
      <c r="F129" s="62">
        <v>0</v>
      </c>
      <c r="G129" s="145">
        <v>1.5258</v>
      </c>
      <c r="H129" s="67">
        <v>2105.8858152600001</v>
      </c>
      <c r="I129" s="145">
        <v>1.5258</v>
      </c>
      <c r="J129" s="67">
        <v>2105.8858152600001</v>
      </c>
      <c r="K129" s="63">
        <v>82</v>
      </c>
      <c r="L129" s="64">
        <v>2.6200000000000003E-4</v>
      </c>
      <c r="M129" s="64">
        <v>8.0699999999999994E-2</v>
      </c>
      <c r="N129" s="145">
        <v>717012.77</v>
      </c>
      <c r="O129" s="67">
        <f>717012.77*C272</f>
        <v>976633486.04588211</v>
      </c>
      <c r="P129" s="62">
        <f t="shared" si="76"/>
        <v>5.3799153014171994E-4</v>
      </c>
      <c r="Q129" s="145">
        <v>1.5274000000000001</v>
      </c>
      <c r="R129" s="67">
        <f>1.5274*C272</f>
        <v>2080.4510728400001</v>
      </c>
      <c r="S129" s="145">
        <v>1.5274000000000001</v>
      </c>
      <c r="T129" s="67">
        <f>1.5274*C272</f>
        <v>2080.4510728400001</v>
      </c>
      <c r="U129" s="63">
        <v>82</v>
      </c>
      <c r="V129" s="64">
        <v>1.9699999999999999E-4</v>
      </c>
      <c r="W129" s="64">
        <v>8.1799999999999998E-2</v>
      </c>
      <c r="X129" s="156">
        <f t="shared" si="77"/>
        <v>-1.2082031910592404E-2</v>
      </c>
      <c r="Y129" s="156">
        <f t="shared" si="86"/>
        <v>-1.2077930453631817E-2</v>
      </c>
      <c r="Z129" s="156">
        <f t="shared" si="86"/>
        <v>0</v>
      </c>
      <c r="AA129" s="156">
        <f t="shared" si="80"/>
        <v>-6.5000000000000035E-5</v>
      </c>
      <c r="AB129" s="157">
        <f t="shared" si="81"/>
        <v>1.1000000000000038E-3</v>
      </c>
    </row>
    <row r="130" spans="1:111">
      <c r="A130" s="219">
        <v>114</v>
      </c>
      <c r="B130" s="55" t="s">
        <v>172</v>
      </c>
      <c r="C130" s="56" t="s">
        <v>75</v>
      </c>
      <c r="D130" s="160">
        <v>3016185.1</v>
      </c>
      <c r="E130" s="67">
        <v>4162892527.38797</v>
      </c>
      <c r="F130" s="62">
        <f t="shared" ref="F130:F140" si="87">(E130/$E$163)</f>
        <v>2.2548598443214974E-3</v>
      </c>
      <c r="G130" s="145">
        <v>111.63</v>
      </c>
      <c r="H130" s="67">
        <v>154070.01806100001</v>
      </c>
      <c r="I130" s="145">
        <v>112.29</v>
      </c>
      <c r="J130" s="67">
        <v>154980.93996300001</v>
      </c>
      <c r="K130" s="63">
        <v>85</v>
      </c>
      <c r="L130" s="64">
        <v>2.3800000000000002E-2</v>
      </c>
      <c r="M130" s="64">
        <v>6.1199999999999997E-2</v>
      </c>
      <c r="N130" s="145">
        <v>2990683.99</v>
      </c>
      <c r="O130" s="67">
        <f>N130*C272</f>
        <v>4073570587.6135345</v>
      </c>
      <c r="P130" s="62">
        <f t="shared" si="76"/>
        <v>2.2439804746440489E-3</v>
      </c>
      <c r="Q130" s="145">
        <v>108.7</v>
      </c>
      <c r="R130" s="67">
        <f>Q130*C272</f>
        <v>148058.81342000002</v>
      </c>
      <c r="S130" s="67">
        <v>109.4</v>
      </c>
      <c r="T130" s="67">
        <f>S130*C272</f>
        <v>149012.27404000002</v>
      </c>
      <c r="U130" s="63">
        <v>85</v>
      </c>
      <c r="V130" s="64">
        <v>-5.0000000000000001E-4</v>
      </c>
      <c r="W130" s="64">
        <v>3.4200000000000001E-2</v>
      </c>
      <c r="X130" s="156">
        <f t="shared" si="77"/>
        <v>-2.1456700884488381E-2</v>
      </c>
      <c r="Y130" s="156">
        <f t="shared" si="86"/>
        <v>-3.8512257858449861E-2</v>
      </c>
      <c r="Z130" s="156">
        <f t="shared" si="86"/>
        <v>0</v>
      </c>
      <c r="AA130" s="156">
        <f t="shared" si="80"/>
        <v>-2.4300000000000002E-2</v>
      </c>
      <c r="AB130" s="157">
        <f t="shared" si="81"/>
        <v>-2.6999999999999996E-2</v>
      </c>
    </row>
    <row r="131" spans="1:111">
      <c r="A131" s="219">
        <v>115</v>
      </c>
      <c r="B131" s="55" t="s">
        <v>173</v>
      </c>
      <c r="C131" s="56" t="s">
        <v>78</v>
      </c>
      <c r="D131" s="160">
        <v>3248110.04</v>
      </c>
      <c r="E131" s="67">
        <v>4487264020.2600002</v>
      </c>
      <c r="F131" s="62">
        <f t="shared" si="87"/>
        <v>2.4305579314346632E-3</v>
      </c>
      <c r="G131" s="145">
        <v>115.22</v>
      </c>
      <c r="H131" s="67">
        <v>159176.43</v>
      </c>
      <c r="I131" s="145">
        <v>115.22</v>
      </c>
      <c r="J131" s="67">
        <v>159176.43</v>
      </c>
      <c r="K131" s="63">
        <v>65</v>
      </c>
      <c r="L131" s="64">
        <v>6.9999999999999999E-4</v>
      </c>
      <c r="M131" s="64">
        <v>5.7200000000000001E-2</v>
      </c>
      <c r="N131" s="145">
        <v>3263480.9</v>
      </c>
      <c r="O131" s="67">
        <f>N131*1361</f>
        <v>4441597504.8999996</v>
      </c>
      <c r="P131" s="62">
        <f t="shared" si="76"/>
        <v>2.4467129911850431E-3</v>
      </c>
      <c r="Q131" s="145">
        <v>115.35</v>
      </c>
      <c r="R131" s="67">
        <f>Q131*1361</f>
        <v>156991.35</v>
      </c>
      <c r="S131" s="145">
        <v>115.35</v>
      </c>
      <c r="T131" s="67">
        <f>S131*1361</f>
        <v>156991.35</v>
      </c>
      <c r="U131" s="63">
        <v>67</v>
      </c>
      <c r="V131" s="64">
        <v>8.0000000000000004E-4</v>
      </c>
      <c r="W131" s="64">
        <v>5.7299999999999997E-2</v>
      </c>
      <c r="X131" s="156">
        <f t="shared" si="77"/>
        <v>-1.0176917416451598E-2</v>
      </c>
      <c r="Y131" s="156">
        <f t="shared" si="78"/>
        <v>-1.3727409265303836E-2</v>
      </c>
      <c r="Z131" s="156">
        <f t="shared" si="79"/>
        <v>3.0769230769230771E-2</v>
      </c>
      <c r="AA131" s="156">
        <f t="shared" si="80"/>
        <v>1.0000000000000005E-4</v>
      </c>
      <c r="AB131" s="157">
        <f t="shared" si="81"/>
        <v>9.9999999999995925E-5</v>
      </c>
      <c r="AD131" s="24"/>
    </row>
    <row r="132" spans="1:111">
      <c r="A132" s="219">
        <v>116</v>
      </c>
      <c r="B132" s="55" t="s">
        <v>319</v>
      </c>
      <c r="C132" s="56" t="s">
        <v>38</v>
      </c>
      <c r="D132" s="160">
        <v>8361960.25</v>
      </c>
      <c r="E132" s="67">
        <v>11541049599.058176</v>
      </c>
      <c r="F132" s="62">
        <f t="shared" si="87"/>
        <v>6.2512902101192506E-3</v>
      </c>
      <c r="G132" s="83" t="s">
        <v>342</v>
      </c>
      <c r="H132" s="67">
        <v>2125.484438</v>
      </c>
      <c r="I132" s="145">
        <v>1.54</v>
      </c>
      <c r="J132" s="67">
        <v>2125.484438</v>
      </c>
      <c r="K132" s="81">
        <v>121</v>
      </c>
      <c r="L132" s="82">
        <v>2.5999999999999999E-3</v>
      </c>
      <c r="M132" s="82">
        <v>7.2900000000000006E-2</v>
      </c>
      <c r="N132" s="146">
        <v>8375027.9800000004</v>
      </c>
      <c r="O132" s="67">
        <f>8375027.98*C272</f>
        <v>11407513386.183069</v>
      </c>
      <c r="P132" s="62">
        <f t="shared" si="76"/>
        <v>6.2839802949951886E-3</v>
      </c>
      <c r="Q132" s="145" t="s">
        <v>342</v>
      </c>
      <c r="R132" s="67">
        <f>1.54*C272</f>
        <v>2097.6133640000003</v>
      </c>
      <c r="S132" s="67">
        <v>1.54</v>
      </c>
      <c r="T132" s="67">
        <f>1.54*C272</f>
        <v>2097.6133640000003</v>
      </c>
      <c r="U132" s="81">
        <v>121</v>
      </c>
      <c r="V132" s="82">
        <v>2.5000000000000001E-3</v>
      </c>
      <c r="W132" s="82">
        <v>7.0400000000000004E-2</v>
      </c>
      <c r="X132" s="156">
        <f>((O132-E132)/E132)</f>
        <v>-1.1570543192709632E-2</v>
      </c>
      <c r="Y132" s="156">
        <f>((T132-J132)/J132)</f>
        <v>-1.3112810191273526E-2</v>
      </c>
      <c r="Z132" s="156">
        <f>((U132-K132)/K132)</f>
        <v>0</v>
      </c>
      <c r="AA132" s="156">
        <f>V132-L132</f>
        <v>-9.9999999999999829E-5</v>
      </c>
      <c r="AB132" s="157">
        <f>W132-M132</f>
        <v>-2.5000000000000022E-3</v>
      </c>
      <c r="AD132" s="24"/>
    </row>
    <row r="133" spans="1:111">
      <c r="A133" s="219">
        <v>117</v>
      </c>
      <c r="B133" s="55" t="s">
        <v>323</v>
      </c>
      <c r="C133" s="56" t="s">
        <v>79</v>
      </c>
      <c r="D133" s="160">
        <v>38759468.859999999</v>
      </c>
      <c r="E133" s="67">
        <v>53553958123.862</v>
      </c>
      <c r="F133" s="62">
        <f t="shared" si="87"/>
        <v>2.9007875866000534E-2</v>
      </c>
      <c r="G133" s="145">
        <v>133.19</v>
      </c>
      <c r="H133" s="67">
        <v>184028.62299999999</v>
      </c>
      <c r="I133" s="145">
        <v>133.22999999999999</v>
      </c>
      <c r="J133" s="67">
        <v>184083.891</v>
      </c>
      <c r="K133" s="63">
        <v>2721</v>
      </c>
      <c r="L133" s="64">
        <v>1.6999999999999999E-3</v>
      </c>
      <c r="M133" s="64">
        <v>4.1399999999999999E-2</v>
      </c>
      <c r="N133" s="145">
        <v>38838049.850000001</v>
      </c>
      <c r="O133" s="66">
        <f>N133*1363.17</f>
        <v>52942864414.024506</v>
      </c>
      <c r="P133" s="62">
        <f t="shared" si="76"/>
        <v>2.9164280196356626E-2</v>
      </c>
      <c r="Q133" s="145">
        <v>133.43</v>
      </c>
      <c r="R133" s="67">
        <f>Q133*1363.17</f>
        <v>181887.77310000002</v>
      </c>
      <c r="S133" s="67">
        <v>133.47999999999999</v>
      </c>
      <c r="T133" s="67">
        <f>S133*1363.17</f>
        <v>181955.93159999998</v>
      </c>
      <c r="U133" s="63">
        <v>2726</v>
      </c>
      <c r="V133" s="64">
        <v>1.8E-3</v>
      </c>
      <c r="W133" s="64">
        <v>4.3299999999999998E-2</v>
      </c>
      <c r="X133" s="156">
        <f t="shared" si="77"/>
        <v>-1.1410803818162776E-2</v>
      </c>
      <c r="Y133" s="156">
        <f t="shared" si="78"/>
        <v>-1.1559726320648131E-2</v>
      </c>
      <c r="Z133" s="156">
        <f t="shared" si="79"/>
        <v>1.8375597206909224E-3</v>
      </c>
      <c r="AA133" s="156">
        <f t="shared" si="80"/>
        <v>1.0000000000000005E-4</v>
      </c>
      <c r="AB133" s="157">
        <f t="shared" si="81"/>
        <v>1.8999999999999989E-3</v>
      </c>
      <c r="DG133" s="167" t="s">
        <v>339</v>
      </c>
    </row>
    <row r="134" spans="1:111">
      <c r="A134" s="219">
        <v>118</v>
      </c>
      <c r="B134" s="221" t="s">
        <v>324</v>
      </c>
      <c r="C134" s="56" t="s">
        <v>79</v>
      </c>
      <c r="D134" s="160">
        <v>119094059.76000001</v>
      </c>
      <c r="E134" s="67">
        <v>164552262370.392</v>
      </c>
      <c r="F134" s="62">
        <f t="shared" si="87"/>
        <v>8.9130883459070429E-2</v>
      </c>
      <c r="G134" s="145">
        <v>130.03</v>
      </c>
      <c r="H134" s="67">
        <v>179662.451</v>
      </c>
      <c r="I134" s="145">
        <v>130.07</v>
      </c>
      <c r="J134" s="67">
        <v>179717.71899999998</v>
      </c>
      <c r="K134" s="63">
        <v>1107</v>
      </c>
      <c r="L134" s="64">
        <v>1.6999999999999999E-3</v>
      </c>
      <c r="M134" s="64">
        <v>4.2900000000000001E-2</v>
      </c>
      <c r="N134" s="145">
        <v>119213633.34999999</v>
      </c>
      <c r="O134" s="66">
        <f>N134*1363.17</f>
        <v>162508448573.71951</v>
      </c>
      <c r="P134" s="62">
        <f t="shared" si="76"/>
        <v>8.9519937784546741E-2</v>
      </c>
      <c r="Q134" s="145">
        <v>130.25</v>
      </c>
      <c r="R134" s="67">
        <f>Q134*1363.17</f>
        <v>177552.89250000002</v>
      </c>
      <c r="S134" s="67">
        <v>130.30000000000001</v>
      </c>
      <c r="T134" s="67">
        <f>S134*1363.17</f>
        <v>177621.05100000004</v>
      </c>
      <c r="U134" s="63">
        <v>1108</v>
      </c>
      <c r="V134" s="64">
        <v>1.6999999999999999E-3</v>
      </c>
      <c r="W134" s="64">
        <v>4.4699999999999997E-2</v>
      </c>
      <c r="X134" s="156">
        <f t="shared" si="77"/>
        <v>-1.2420453947160256E-2</v>
      </c>
      <c r="Y134" s="156">
        <f t="shared" si="78"/>
        <v>-1.1666451208408377E-2</v>
      </c>
      <c r="Z134" s="156">
        <f t="shared" si="79"/>
        <v>9.0334236675700087E-4</v>
      </c>
      <c r="AA134" s="156">
        <f t="shared" si="80"/>
        <v>0</v>
      </c>
      <c r="AB134" s="157">
        <f t="shared" si="81"/>
        <v>1.799999999999996E-3</v>
      </c>
      <c r="AD134" s="23"/>
    </row>
    <row r="135" spans="1:111">
      <c r="A135" s="219">
        <v>119</v>
      </c>
      <c r="B135" s="55" t="s">
        <v>174</v>
      </c>
      <c r="C135" s="56" t="s">
        <v>83</v>
      </c>
      <c r="D135" s="160">
        <v>1553524.81</v>
      </c>
      <c r="E135" s="67">
        <v>2144151173.832407</v>
      </c>
      <c r="F135" s="62">
        <f t="shared" si="87"/>
        <v>1.1613944751687102E-3</v>
      </c>
      <c r="G135" s="145">
        <v>1</v>
      </c>
      <c r="H135" s="67">
        <v>1380.1847</v>
      </c>
      <c r="I135" s="145">
        <v>1</v>
      </c>
      <c r="J135" s="67">
        <v>1380.1847</v>
      </c>
      <c r="K135" s="63">
        <v>16</v>
      </c>
      <c r="L135" s="64">
        <v>8.6699999999999999E-2</v>
      </c>
      <c r="M135" s="64">
        <v>8.3900000000000002E-2</v>
      </c>
      <c r="N135" s="145">
        <v>1525034.88</v>
      </c>
      <c r="O135" s="67">
        <f>N135*C272</f>
        <v>2077229574.5806079</v>
      </c>
      <c r="P135" s="62">
        <f t="shared" si="76"/>
        <v>1.1442695066793498E-3</v>
      </c>
      <c r="Q135" s="145">
        <v>1</v>
      </c>
      <c r="R135" s="67">
        <f>1*C272</f>
        <v>1362.0866000000001</v>
      </c>
      <c r="S135" s="67">
        <v>1</v>
      </c>
      <c r="T135" s="67">
        <f>1*C272</f>
        <v>1362.0866000000001</v>
      </c>
      <c r="U135" s="63">
        <v>16</v>
      </c>
      <c r="V135" s="64">
        <v>8.9200000000000002E-2</v>
      </c>
      <c r="W135" s="64">
        <v>8.4199999999999997E-2</v>
      </c>
      <c r="X135" s="156">
        <f t="shared" ref="X135" si="88">((O135-E135)/E135)</f>
        <v>-3.1211231777181533E-2</v>
      </c>
      <c r="Y135" s="156">
        <f t="shared" ref="Y135" si="89">((T135-J135)/J135)</f>
        <v>-1.3112810191273624E-2</v>
      </c>
      <c r="Z135" s="156">
        <f t="shared" si="79"/>
        <v>0</v>
      </c>
      <c r="AA135" s="156">
        <f t="shared" si="80"/>
        <v>2.5000000000000022E-3</v>
      </c>
      <c r="AB135" s="157">
        <f t="shared" si="81"/>
        <v>2.9999999999999472E-4</v>
      </c>
    </row>
    <row r="136" spans="1:111">
      <c r="A136" s="219">
        <v>120</v>
      </c>
      <c r="B136" s="55" t="s">
        <v>175</v>
      </c>
      <c r="C136" s="56" t="s">
        <v>33</v>
      </c>
      <c r="D136" s="160">
        <v>215156.26130000001</v>
      </c>
      <c r="E136" s="67">
        <v>296955379.95546216</v>
      </c>
      <c r="F136" s="62">
        <f t="shared" si="87"/>
        <v>1.6084795785899E-4</v>
      </c>
      <c r="G136" s="145">
        <v>147.4023</v>
      </c>
      <c r="H136" s="67">
        <v>203442.39920481</v>
      </c>
      <c r="I136" s="145">
        <v>147.4023</v>
      </c>
      <c r="J136" s="67">
        <v>203442.39920481</v>
      </c>
      <c r="K136" s="63">
        <v>11</v>
      </c>
      <c r="L136" s="64">
        <v>1.1999999999999999E-3</v>
      </c>
      <c r="M136" s="64">
        <v>8.9599999999999999E-2</v>
      </c>
      <c r="N136" s="145">
        <v>215407.8106</v>
      </c>
      <c r="O136" s="67">
        <f>N136*C272</f>
        <v>293404092.353598</v>
      </c>
      <c r="P136" s="62">
        <f t="shared" si="76"/>
        <v>1.6162554207949713E-4</v>
      </c>
      <c r="Q136" s="145">
        <v>147.5746</v>
      </c>
      <c r="R136" s="67">
        <f>Q136*C272</f>
        <v>201009.38516036002</v>
      </c>
      <c r="S136" s="145">
        <v>147.5746</v>
      </c>
      <c r="T136" s="67">
        <f>S136*C272</f>
        <v>201009.38516036002</v>
      </c>
      <c r="U136" s="63">
        <v>11</v>
      </c>
      <c r="V136" s="64">
        <v>1.1999999999999999E-3</v>
      </c>
      <c r="W136" s="64">
        <v>9.0899999999999995E-2</v>
      </c>
      <c r="X136" s="156">
        <f t="shared" si="77"/>
        <v>-1.1958993982182734E-2</v>
      </c>
      <c r="Y136" s="156">
        <f t="shared" si="78"/>
        <v>-1.1959228036829311E-2</v>
      </c>
      <c r="Z136" s="156">
        <f t="shared" si="79"/>
        <v>0</v>
      </c>
      <c r="AA136" s="156">
        <f t="shared" si="80"/>
        <v>0</v>
      </c>
      <c r="AB136" s="157">
        <f t="shared" si="81"/>
        <v>1.2999999999999956E-3</v>
      </c>
    </row>
    <row r="137" spans="1:111">
      <c r="A137" s="219">
        <v>121</v>
      </c>
      <c r="B137" s="55" t="s">
        <v>314</v>
      </c>
      <c r="C137" s="56" t="s">
        <v>312</v>
      </c>
      <c r="D137" s="160">
        <v>55276.480000000003</v>
      </c>
      <c r="E137" s="67">
        <v>76291751.965856001</v>
      </c>
      <c r="F137" s="62">
        <f t="shared" si="87"/>
        <v>4.132396088271916E-5</v>
      </c>
      <c r="G137" s="145">
        <v>1</v>
      </c>
      <c r="H137" s="61">
        <v>1380.1847</v>
      </c>
      <c r="I137" s="145">
        <v>1</v>
      </c>
      <c r="J137" s="61">
        <v>1380.1847</v>
      </c>
      <c r="K137" s="63">
        <v>3</v>
      </c>
      <c r="L137" s="64">
        <v>4.8409999999999998E-3</v>
      </c>
      <c r="M137" s="64">
        <v>0</v>
      </c>
      <c r="N137" s="145">
        <v>55337.67</v>
      </c>
      <c r="O137" s="67">
        <f>55337.67*C272</f>
        <v>75374698.782222003</v>
      </c>
      <c r="P137" s="62">
        <f t="shared" si="76"/>
        <v>4.1521154159886927E-5</v>
      </c>
      <c r="Q137" s="145">
        <v>1</v>
      </c>
      <c r="R137" s="61">
        <f>Q137*C272</f>
        <v>1362.0866000000001</v>
      </c>
      <c r="S137" s="61">
        <v>1</v>
      </c>
      <c r="T137" s="61">
        <f>1*C272</f>
        <v>1362.0866000000001</v>
      </c>
      <c r="U137" s="63">
        <v>3</v>
      </c>
      <c r="V137" s="64">
        <v>5.953E-3</v>
      </c>
      <c r="W137" s="64">
        <v>0</v>
      </c>
      <c r="X137" s="156">
        <f>((O137-E137)/E137)</f>
        <v>-1.2020345057017707E-2</v>
      </c>
      <c r="Y137" s="156">
        <f>((T137-J137)/J137)</f>
        <v>-1.3112810191273624E-2</v>
      </c>
      <c r="Z137" s="156">
        <f>((U137-K137)/K137)</f>
        <v>0</v>
      </c>
      <c r="AA137" s="156">
        <f>V137-L137</f>
        <v>1.1120000000000001E-3</v>
      </c>
      <c r="AB137" s="157">
        <f>W137-M137</f>
        <v>0</v>
      </c>
    </row>
    <row r="138" spans="1:111">
      <c r="A138" s="219">
        <v>122</v>
      </c>
      <c r="B138" s="55" t="s">
        <v>176</v>
      </c>
      <c r="C138" s="56" t="s">
        <v>98</v>
      </c>
      <c r="D138" s="160">
        <v>33252356.710000001</v>
      </c>
      <c r="E138" s="67">
        <v>45894393970.084335</v>
      </c>
      <c r="F138" s="62">
        <f t="shared" si="87"/>
        <v>2.4859019386586554E-2</v>
      </c>
      <c r="G138" s="145">
        <v>105.46</v>
      </c>
      <c r="H138" s="67">
        <v>145554.27846199999</v>
      </c>
      <c r="I138" s="145">
        <v>105.46</v>
      </c>
      <c r="J138" s="67">
        <v>145554.27846199999</v>
      </c>
      <c r="K138" s="63">
        <v>971</v>
      </c>
      <c r="L138" s="82">
        <v>3.0000000000000001E-3</v>
      </c>
      <c r="M138" s="64">
        <v>0.14860000000000001</v>
      </c>
      <c r="N138" s="145">
        <v>33410060</v>
      </c>
      <c r="O138" s="67">
        <f>33410060*C272</f>
        <v>45507395031.196007</v>
      </c>
      <c r="P138" s="62">
        <f t="shared" si="76"/>
        <v>2.5068353108308895E-2</v>
      </c>
      <c r="Q138" s="145">
        <v>105.4</v>
      </c>
      <c r="R138" s="67">
        <f>105.4*C272</f>
        <v>143563.92764000001</v>
      </c>
      <c r="S138" s="145">
        <v>105.4</v>
      </c>
      <c r="T138" s="67">
        <f>105.4*C272</f>
        <v>143563.92764000001</v>
      </c>
      <c r="U138" s="63">
        <v>978</v>
      </c>
      <c r="V138" s="82">
        <v>-5.0000000000000001E-4</v>
      </c>
      <c r="W138" s="64">
        <v>0.14249999999999999</v>
      </c>
      <c r="X138" s="156">
        <f t="shared" si="77"/>
        <v>-8.4323793259060958E-3</v>
      </c>
      <c r="Y138" s="156">
        <f t="shared" si="78"/>
        <v>-1.3674285929833396E-2</v>
      </c>
      <c r="Z138" s="156">
        <f t="shared" si="79"/>
        <v>7.2090628218331619E-3</v>
      </c>
      <c r="AA138" s="156">
        <f t="shared" si="80"/>
        <v>-3.5000000000000001E-3</v>
      </c>
      <c r="AB138" s="157">
        <f t="shared" si="81"/>
        <v>-6.1000000000000221E-3</v>
      </c>
    </row>
    <row r="139" spans="1:111">
      <c r="A139" s="219">
        <v>123</v>
      </c>
      <c r="B139" s="55" t="s">
        <v>177</v>
      </c>
      <c r="C139" s="56" t="s">
        <v>42</v>
      </c>
      <c r="D139" s="160">
        <v>2040100.41</v>
      </c>
      <c r="E139" s="67">
        <v>2815715372.345727</v>
      </c>
      <c r="F139" s="62">
        <f t="shared" si="87"/>
        <v>1.525151918856977E-3</v>
      </c>
      <c r="G139" s="145">
        <v>163.66</v>
      </c>
      <c r="H139" s="67">
        <v>225881.02800200001</v>
      </c>
      <c r="I139" s="145">
        <v>170.26</v>
      </c>
      <c r="J139" s="67">
        <v>234990.247022</v>
      </c>
      <c r="K139" s="63">
        <v>53</v>
      </c>
      <c r="L139" s="64">
        <v>-1E-4</v>
      </c>
      <c r="M139" s="64">
        <v>-2.0000000000000001E-4</v>
      </c>
      <c r="N139" s="145">
        <v>2061662.54</v>
      </c>
      <c r="O139" s="67">
        <f>2061662.54*C272</f>
        <v>2808162919.4559641</v>
      </c>
      <c r="P139" s="62">
        <f t="shared" si="76"/>
        <v>1.5469138499868904E-3</v>
      </c>
      <c r="Q139" s="145">
        <v>159.88999999999999</v>
      </c>
      <c r="R139" s="67">
        <f>159.89*C272</f>
        <v>217784.02647399998</v>
      </c>
      <c r="S139" s="67">
        <v>166.1</v>
      </c>
      <c r="T139" s="67">
        <f>166.1*C272</f>
        <v>226242.58426</v>
      </c>
      <c r="U139" s="63">
        <v>52</v>
      </c>
      <c r="V139" s="64">
        <v>5.0000000000000001E-4</v>
      </c>
      <c r="W139" s="64">
        <v>-4.0000000000000002E-4</v>
      </c>
      <c r="X139" s="156">
        <f t="shared" ref="X139:X140" si="90">((O139-E139)/E139)</f>
        <v>-2.6822501180121241E-3</v>
      </c>
      <c r="Y139" s="156">
        <f t="shared" ref="Y139:Y140" si="91">((T139-J139)/J139)</f>
        <v>-3.7225641799427653E-2</v>
      </c>
      <c r="Z139" s="156">
        <f t="shared" ref="Z139:Z140" si="92">((U139-K139)/K139)</f>
        <v>-1.8867924528301886E-2</v>
      </c>
      <c r="AA139" s="156">
        <f t="shared" ref="AA139:AA140" si="93">V139-L139</f>
        <v>6.0000000000000006E-4</v>
      </c>
      <c r="AB139" s="157">
        <f t="shared" ref="AB139:AB140" si="94">W139-M139</f>
        <v>-2.0000000000000001E-4</v>
      </c>
    </row>
    <row r="140" spans="1:111" ht="15" customHeight="1">
      <c r="A140" s="219">
        <v>124</v>
      </c>
      <c r="B140" s="55" t="s">
        <v>178</v>
      </c>
      <c r="C140" s="56" t="s">
        <v>49</v>
      </c>
      <c r="D140" s="160">
        <v>109090376.14</v>
      </c>
      <c r="E140" s="61">
        <v>150730172712.638</v>
      </c>
      <c r="F140" s="62">
        <f t="shared" si="87"/>
        <v>8.1644051952171837E-2</v>
      </c>
      <c r="G140" s="145">
        <v>121.07348</v>
      </c>
      <c r="H140" s="67">
        <v>167287.227316</v>
      </c>
      <c r="I140" s="145">
        <v>121.07348</v>
      </c>
      <c r="J140" s="67">
        <v>167287.227316</v>
      </c>
      <c r="K140" s="63">
        <v>4543</v>
      </c>
      <c r="L140" s="64">
        <v>8.9999999999999998E-4</v>
      </c>
      <c r="M140" s="64">
        <v>7.6300000000000007E-2</v>
      </c>
      <c r="N140" s="145">
        <v>106130871.29000001</v>
      </c>
      <c r="O140" s="61">
        <f>106130871.29*1363.17</f>
        <v>144674419816.38931</v>
      </c>
      <c r="P140" s="62">
        <f t="shared" si="76"/>
        <v>7.9695826122562666E-2</v>
      </c>
      <c r="Q140" s="145">
        <v>121.26</v>
      </c>
      <c r="R140" s="67">
        <f>121.26*1363.17</f>
        <v>165297.99420000002</v>
      </c>
      <c r="S140" s="223">
        <v>121.26</v>
      </c>
      <c r="T140" s="67">
        <f>121.26*1363.17</f>
        <v>165297.99420000002</v>
      </c>
      <c r="U140" s="63">
        <v>4561</v>
      </c>
      <c r="V140" s="64">
        <v>1.1999999999999999E-3</v>
      </c>
      <c r="W140" s="64">
        <v>7.6799999999999993E-2</v>
      </c>
      <c r="X140" s="156">
        <f t="shared" si="90"/>
        <v>-4.0176115951208895E-2</v>
      </c>
      <c r="Y140" s="156">
        <f t="shared" si="91"/>
        <v>-1.1891123715275604E-2</v>
      </c>
      <c r="Z140" s="156">
        <f t="shared" si="92"/>
        <v>3.9621395553598943E-3</v>
      </c>
      <c r="AA140" s="156">
        <f t="shared" si="93"/>
        <v>2.9999999999999992E-4</v>
      </c>
      <c r="AB140" s="157">
        <f t="shared" si="94"/>
        <v>4.9999999999998657E-4</v>
      </c>
    </row>
    <row r="141" spans="1:111" ht="4.8" customHeight="1">
      <c r="B141" s="226"/>
      <c r="C141" s="226"/>
      <c r="D141" s="226"/>
      <c r="E141" s="226"/>
      <c r="F141" s="226"/>
      <c r="G141" s="226"/>
      <c r="H141" s="226"/>
      <c r="I141" s="226"/>
      <c r="J141" s="226"/>
      <c r="K141" s="226"/>
      <c r="L141" s="226"/>
      <c r="M141" s="226"/>
      <c r="N141" s="226"/>
      <c r="O141" s="226"/>
      <c r="P141" s="226"/>
      <c r="Q141" s="226"/>
      <c r="R141" s="226"/>
      <c r="S141" s="226"/>
      <c r="T141" s="226"/>
      <c r="U141" s="226"/>
      <c r="V141" s="226"/>
      <c r="W141" s="226"/>
      <c r="X141" s="226"/>
      <c r="Y141" s="226"/>
      <c r="Z141" s="226"/>
      <c r="AA141" s="226"/>
      <c r="AB141" s="226"/>
    </row>
    <row r="142" spans="1:111">
      <c r="A142" s="165"/>
      <c r="B142" s="229" t="s">
        <v>332</v>
      </c>
      <c r="C142" s="229"/>
      <c r="D142" s="229"/>
      <c r="E142" s="229"/>
      <c r="F142" s="229"/>
      <c r="G142" s="229"/>
      <c r="H142" s="229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8">
        <v>1374.9431</v>
      </c>
      <c r="AE142" s="31"/>
    </row>
    <row r="143" spans="1:111">
      <c r="A143" s="217">
        <v>125</v>
      </c>
      <c r="B143" s="55" t="s">
        <v>309</v>
      </c>
      <c r="C143" s="56" t="s">
        <v>310</v>
      </c>
      <c r="D143" s="160">
        <v>456552.2</v>
      </c>
      <c r="E143" s="61">
        <v>630126361.19133997</v>
      </c>
      <c r="F143" s="62">
        <f>(E143/$E$163)</f>
        <v>3.4131234937028138E-4</v>
      </c>
      <c r="G143" s="145">
        <v>1.01</v>
      </c>
      <c r="H143" s="67">
        <v>1393.986547</v>
      </c>
      <c r="I143" s="145">
        <v>1.01</v>
      </c>
      <c r="J143" s="67">
        <v>1393.986547</v>
      </c>
      <c r="K143" s="63">
        <v>43</v>
      </c>
      <c r="L143" s="64">
        <v>8.3500000000000005E-2</v>
      </c>
      <c r="M143" s="64">
        <v>8.4400000000000003E-2</v>
      </c>
      <c r="N143" s="145">
        <v>526772.79</v>
      </c>
      <c r="O143" s="61">
        <f>526772.79*C272</f>
        <v>717510158.50361407</v>
      </c>
      <c r="P143" s="62">
        <f>(O143/$O$163)</f>
        <v>3.9525000277069387E-4</v>
      </c>
      <c r="Q143" s="145">
        <v>1.01</v>
      </c>
      <c r="R143" s="67">
        <f>1.01*C272</f>
        <v>1375.7074660000001</v>
      </c>
      <c r="S143" s="67">
        <v>1.01</v>
      </c>
      <c r="T143" s="67">
        <f>1.01*C272</f>
        <v>1375.7074660000001</v>
      </c>
      <c r="U143" s="63">
        <v>44</v>
      </c>
      <c r="V143" s="64">
        <v>7.2400000000000006E-2</v>
      </c>
      <c r="W143" s="64">
        <v>8.1000000000000003E-2</v>
      </c>
      <c r="X143" s="156">
        <f>((O143-E143)/E143)</f>
        <v>0.13867662534711783</v>
      </c>
      <c r="Y143" s="156">
        <f>((T143-J143)/J143)</f>
        <v>-1.3112810191273607E-2</v>
      </c>
      <c r="Z143" s="156">
        <f>((U143-K143)/K143)</f>
        <v>2.3255813953488372E-2</v>
      </c>
      <c r="AA143" s="156">
        <f>V143-L143</f>
        <v>-1.1099999999999999E-2</v>
      </c>
      <c r="AB143" s="157">
        <f>W143-M143</f>
        <v>-3.4000000000000002E-3</v>
      </c>
      <c r="AC143" s="28"/>
      <c r="AE143" s="31"/>
    </row>
    <row r="144" spans="1:111">
      <c r="A144" s="217">
        <v>126</v>
      </c>
      <c r="B144" s="55" t="s">
        <v>179</v>
      </c>
      <c r="C144" s="56" t="s">
        <v>60</v>
      </c>
      <c r="D144" s="160">
        <v>1088399.01</v>
      </c>
      <c r="E144" s="61">
        <v>1502191661.097147</v>
      </c>
      <c r="F144" s="62">
        <f>(E144/$E$163)</f>
        <v>8.1367261652750416E-4</v>
      </c>
      <c r="G144" s="145">
        <v>120.15</v>
      </c>
      <c r="H144" s="67">
        <v>165829.191705</v>
      </c>
      <c r="I144" s="145">
        <v>120.15</v>
      </c>
      <c r="J144" s="67">
        <v>165829.191705</v>
      </c>
      <c r="K144" s="63">
        <v>30</v>
      </c>
      <c r="L144" s="64">
        <v>1.8800000000000001E-2</v>
      </c>
      <c r="M144" s="64">
        <v>7.0400000000000004E-2</v>
      </c>
      <c r="N144" s="145">
        <v>1089604.08</v>
      </c>
      <c r="O144" s="61">
        <f>1089604.08*C272</f>
        <v>1484135116.6733282</v>
      </c>
      <c r="P144" s="62">
        <f>(O144/$O$163)</f>
        <v>8.1755554541638217E-4</v>
      </c>
      <c r="Q144" s="145">
        <v>120.6</v>
      </c>
      <c r="R144" s="67">
        <f>120.6*C272</f>
        <v>164267.64396000002</v>
      </c>
      <c r="S144" s="67">
        <v>120.6</v>
      </c>
      <c r="T144" s="67">
        <f>120.6*C272</f>
        <v>164267.64396000002</v>
      </c>
      <c r="U144" s="63">
        <v>30</v>
      </c>
      <c r="V144" s="64">
        <v>5.9999999999999995E-4</v>
      </c>
      <c r="W144" s="64">
        <v>7.4700000000000003E-2</v>
      </c>
      <c r="X144" s="156">
        <f>((O144-E144)/E144)</f>
        <v>-1.2020133576451205E-2</v>
      </c>
      <c r="Y144" s="156">
        <f>((T144-J144)/J144)</f>
        <v>-9.4166034878701392E-3</v>
      </c>
      <c r="Z144" s="156">
        <f>((U144-K144)/K144)</f>
        <v>0</v>
      </c>
      <c r="AA144" s="156">
        <f>V144-L144</f>
        <v>-1.8200000000000001E-2</v>
      </c>
      <c r="AB144" s="157">
        <f>W144-M144</f>
        <v>4.2999999999999983E-3</v>
      </c>
    </row>
    <row r="145" spans="1:30">
      <c r="A145" s="217">
        <v>127</v>
      </c>
      <c r="B145" s="56" t="s">
        <v>180</v>
      </c>
      <c r="C145" s="56" t="s">
        <v>25</v>
      </c>
      <c r="D145" s="160">
        <v>20420728.98</v>
      </c>
      <c r="E145" s="67">
        <v>28184377701.042606</v>
      </c>
      <c r="F145" s="62">
        <f>(E145/$E$163)</f>
        <v>1.5266265246378377E-2</v>
      </c>
      <c r="G145" s="145">
        <v>139.30000000000001</v>
      </c>
      <c r="H145" s="61">
        <v>192259.72871000002</v>
      </c>
      <c r="I145" s="145">
        <v>139.30000000000001</v>
      </c>
      <c r="J145" s="61">
        <v>192259.72871000002</v>
      </c>
      <c r="K145" s="63">
        <v>697</v>
      </c>
      <c r="L145" s="64">
        <v>5.0000000000000001E-4</v>
      </c>
      <c r="M145" s="64">
        <v>2.7199999999999998E-2</v>
      </c>
      <c r="N145" s="145">
        <v>20200974.91</v>
      </c>
      <c r="O145" s="67">
        <f>20200974.91*C272</f>
        <v>27515477231.847206</v>
      </c>
      <c r="P145" s="62">
        <f>(O145/$O$163)</f>
        <v>1.5157266170008926E-2</v>
      </c>
      <c r="Q145" s="145">
        <v>139.41999999999999</v>
      </c>
      <c r="R145" s="61">
        <f>139.42*C272</f>
        <v>189902.11377199998</v>
      </c>
      <c r="S145" s="191">
        <v>139.41999999999999</v>
      </c>
      <c r="T145" s="61">
        <f>139.42*C272</f>
        <v>189902.11377199998</v>
      </c>
      <c r="U145" s="63">
        <v>699</v>
      </c>
      <c r="V145" s="64">
        <v>5.0000000000000001E-4</v>
      </c>
      <c r="W145" s="64">
        <v>2.8000000000000001E-2</v>
      </c>
      <c r="X145" s="156">
        <f t="shared" ref="X145:X163" si="95">((O145-E145)/E145)</f>
        <v>-2.3733022466934085E-2</v>
      </c>
      <c r="Y145" s="156">
        <f t="shared" ref="Y145:Y163" si="96">((T145-J145)/J145)</f>
        <v>-1.2262656115343908E-2</v>
      </c>
      <c r="Z145" s="156">
        <f t="shared" ref="Z145:Z163" si="97">((U145-K145)/K145)</f>
        <v>2.8694404591104736E-3</v>
      </c>
      <c r="AA145" s="156">
        <f t="shared" ref="AA145:AA163" si="98">V145-L145</f>
        <v>0</v>
      </c>
      <c r="AB145" s="157">
        <f t="shared" ref="AB145:AB163" si="99">W145-M145</f>
        <v>8.000000000000021E-4</v>
      </c>
    </row>
    <row r="146" spans="1:30">
      <c r="A146" s="217">
        <v>128</v>
      </c>
      <c r="B146" s="56" t="s">
        <v>181</v>
      </c>
      <c r="C146" s="56" t="s">
        <v>130</v>
      </c>
      <c r="D146" s="160">
        <v>432702.94</v>
      </c>
      <c r="E146" s="67">
        <v>597209977.43301797</v>
      </c>
      <c r="F146" s="62">
        <f>(E146/$E$163)</f>
        <v>3.2348295995688535E-4</v>
      </c>
      <c r="G146" s="145">
        <v>106.08</v>
      </c>
      <c r="H146" s="61">
        <v>146409.99297600001</v>
      </c>
      <c r="I146" s="145">
        <v>106.08</v>
      </c>
      <c r="J146" s="61">
        <v>146409.99297600001</v>
      </c>
      <c r="K146" s="63">
        <v>19</v>
      </c>
      <c r="L146" s="64">
        <v>8.8999999999999995E-4</v>
      </c>
      <c r="M146" s="64">
        <v>6.3649999999999998E-2</v>
      </c>
      <c r="N146" s="145">
        <v>433275.89</v>
      </c>
      <c r="O146" s="67">
        <f>N146*C272</f>
        <v>590159283.87207401</v>
      </c>
      <c r="P146" s="62">
        <f>(O146/$O$163)</f>
        <v>3.2509708165255618E-4</v>
      </c>
      <c r="Q146" s="145">
        <v>106.22</v>
      </c>
      <c r="R146" s="61">
        <f>Q146*C272</f>
        <v>144680.83865200001</v>
      </c>
      <c r="S146" s="61">
        <v>106.22</v>
      </c>
      <c r="T146" s="61">
        <f>S146*C272</f>
        <v>144680.83865200001</v>
      </c>
      <c r="U146" s="63">
        <v>19</v>
      </c>
      <c r="V146" s="64">
        <v>9.5E-4</v>
      </c>
      <c r="W146" s="64">
        <v>6.3920000000000005E-2</v>
      </c>
      <c r="X146" s="156">
        <v>0</v>
      </c>
      <c r="Y146" s="156">
        <f t="shared" ref="Y146" si="100">((T146-J146)/J146)</f>
        <v>-1.1810357263547245E-2</v>
      </c>
      <c r="Z146" s="156">
        <f t="shared" ref="Z146" si="101">((U146-K146)/K146)</f>
        <v>0</v>
      </c>
      <c r="AA146" s="156">
        <f t="shared" ref="AA146" si="102">V146-L146</f>
        <v>6.0000000000000049E-5</v>
      </c>
      <c r="AB146" s="157">
        <f t="shared" ref="AB146" si="103">W146-M146</f>
        <v>2.7000000000000635E-4</v>
      </c>
    </row>
    <row r="147" spans="1:30">
      <c r="A147" s="217">
        <v>129</v>
      </c>
      <c r="B147" s="55" t="s">
        <v>182</v>
      </c>
      <c r="C147" s="56" t="s">
        <v>69</v>
      </c>
      <c r="D147" s="160">
        <v>14293082.199999999</v>
      </c>
      <c r="E147" s="61">
        <v>19795918847</v>
      </c>
      <c r="F147" s="62">
        <f>(E147/$E$163)</f>
        <v>1.0722597856148635E-2</v>
      </c>
      <c r="G147" s="145">
        <v>117.22</v>
      </c>
      <c r="H147" s="61">
        <v>162349.70000000001</v>
      </c>
      <c r="I147" s="145">
        <v>117.22</v>
      </c>
      <c r="J147" s="61">
        <v>162349.70000000001</v>
      </c>
      <c r="K147" s="63">
        <v>478</v>
      </c>
      <c r="L147" s="64">
        <v>1.2999999999999999E-3</v>
      </c>
      <c r="M147" s="64">
        <v>6.8400000000000002E-2</v>
      </c>
      <c r="N147" s="145">
        <v>14384700.15</v>
      </c>
      <c r="O147" s="61">
        <v>19596564708.349998</v>
      </c>
      <c r="P147" s="62">
        <f t="shared" ref="P147:P148" si="104">(O147/$O$119)</f>
        <v>8.4643244110191862E-2</v>
      </c>
      <c r="Q147" s="145">
        <v>117.35</v>
      </c>
      <c r="R147" s="61">
        <v>159868.25</v>
      </c>
      <c r="S147" s="145">
        <v>117.35</v>
      </c>
      <c r="T147" s="61">
        <v>159868.25</v>
      </c>
      <c r="U147" s="63">
        <v>479</v>
      </c>
      <c r="V147" s="64">
        <v>1.1000000000000001E-3</v>
      </c>
      <c r="W147" s="64">
        <v>6.8400000000000002E-2</v>
      </c>
      <c r="X147" s="156">
        <f t="shared" si="95"/>
        <v>-1.0070466553777215E-2</v>
      </c>
      <c r="Y147" s="156">
        <f t="shared" si="96"/>
        <v>-1.5284598616443464E-2</v>
      </c>
      <c r="Z147" s="156">
        <f t="shared" si="97"/>
        <v>2.0920502092050207E-3</v>
      </c>
      <c r="AA147" s="156">
        <f t="shared" si="98"/>
        <v>-1.9999999999999987E-4</v>
      </c>
      <c r="AB147" s="157">
        <f t="shared" si="99"/>
        <v>0</v>
      </c>
    </row>
    <row r="148" spans="1:30">
      <c r="A148" s="217">
        <v>130</v>
      </c>
      <c r="B148" s="55" t="s">
        <v>183</v>
      </c>
      <c r="C148" s="56" t="s">
        <v>71</v>
      </c>
      <c r="D148" s="160">
        <v>252069.38</v>
      </c>
      <c r="E148" s="67">
        <v>347902301.61448604</v>
      </c>
      <c r="F148" s="62">
        <f t="shared" ref="F148" si="105">(E148/$E$119)</f>
        <v>1.4974208440921028E-3</v>
      </c>
      <c r="G148" s="145">
        <v>1.0297000000000001</v>
      </c>
      <c r="H148" s="66">
        <v>1421.1761855900002</v>
      </c>
      <c r="I148" s="145">
        <v>1.0297000000000001</v>
      </c>
      <c r="J148" s="66">
        <v>1421.1761855900002</v>
      </c>
      <c r="K148" s="63">
        <v>14</v>
      </c>
      <c r="L148" s="64">
        <v>8.9999999999999998E-4</v>
      </c>
      <c r="M148" s="64">
        <v>4.7399999999999998E-2</v>
      </c>
      <c r="N148" s="145">
        <v>251665.57</v>
      </c>
      <c r="O148" s="67">
        <f>N148*C272</f>
        <v>342790300.57836205</v>
      </c>
      <c r="P148" s="62">
        <f t="shared" si="104"/>
        <v>1.4806106846929781E-3</v>
      </c>
      <c r="Q148" s="145">
        <v>1.028</v>
      </c>
      <c r="R148" s="66">
        <f>Q148*C272</f>
        <v>1400.2250248</v>
      </c>
      <c r="S148" s="145">
        <v>1.028</v>
      </c>
      <c r="T148" s="66">
        <f>S148*C272</f>
        <v>1400.2250248</v>
      </c>
      <c r="U148" s="63">
        <v>14</v>
      </c>
      <c r="V148" s="64">
        <v>-1.6999999999999999E-3</v>
      </c>
      <c r="W148" s="64">
        <v>4.5699999999999998E-2</v>
      </c>
      <c r="X148" s="158">
        <f t="shared" si="95"/>
        <v>-1.4693783319055617E-2</v>
      </c>
      <c r="Y148" s="158">
        <f t="shared" si="96"/>
        <v>-1.4742127684402672E-2</v>
      </c>
      <c r="Z148" s="158">
        <f t="shared" si="97"/>
        <v>0</v>
      </c>
      <c r="AA148" s="156">
        <f t="shared" si="98"/>
        <v>-2.5999999999999999E-3</v>
      </c>
      <c r="AB148" s="157">
        <f t="shared" si="99"/>
        <v>-1.7000000000000001E-3</v>
      </c>
    </row>
    <row r="149" spans="1:30" ht="13.2" customHeight="1">
      <c r="A149" s="217">
        <v>131</v>
      </c>
      <c r="B149" s="55" t="s">
        <v>184</v>
      </c>
      <c r="C149" s="56" t="s">
        <v>67</v>
      </c>
      <c r="D149" s="160">
        <v>10962550.429359201</v>
      </c>
      <c r="E149" s="61">
        <v>15130344375.58</v>
      </c>
      <c r="F149" s="62">
        <f t="shared" ref="F149:F162" si="106">(E149/$E$163)</f>
        <v>8.1954568221000272E-3</v>
      </c>
      <c r="G149" s="145">
        <v>1.3933135181110179</v>
      </c>
      <c r="H149" s="61">
        <v>1923.03</v>
      </c>
      <c r="I149" s="145">
        <v>1.3933135181110179</v>
      </c>
      <c r="J149" s="61">
        <v>1923.03</v>
      </c>
      <c r="K149" s="63">
        <v>394</v>
      </c>
      <c r="L149" s="64">
        <v>7.5899999999999995E-2</v>
      </c>
      <c r="M149" s="64">
        <v>7.2700000000000001E-2</v>
      </c>
      <c r="N149" s="145">
        <f>O149/C272</f>
        <v>11148358.653671505</v>
      </c>
      <c r="O149" s="61">
        <v>15185029934.16</v>
      </c>
      <c r="P149" s="62">
        <f t="shared" ref="P149:P162" si="107">(O149/$O$163)</f>
        <v>8.3648754688949514E-3</v>
      </c>
      <c r="Q149" s="145">
        <f>R149/C272</f>
        <v>1.3938908142844955</v>
      </c>
      <c r="R149" s="61">
        <v>1898.6</v>
      </c>
      <c r="S149" s="61">
        <f>T149/C272</f>
        <v>1.3938908142844955</v>
      </c>
      <c r="T149" s="61">
        <v>1898.6</v>
      </c>
      <c r="U149" s="63">
        <v>396</v>
      </c>
      <c r="V149" s="64">
        <v>3.73E-2</v>
      </c>
      <c r="W149" s="64">
        <v>7.1499999999999994E-2</v>
      </c>
      <c r="X149" s="156">
        <f t="shared" si="95"/>
        <v>3.6142970194558859E-3</v>
      </c>
      <c r="Y149" s="156">
        <f t="shared" si="96"/>
        <v>-1.2703909975403433E-2</v>
      </c>
      <c r="Z149" s="158">
        <f t="shared" si="97"/>
        <v>5.076142131979695E-3</v>
      </c>
      <c r="AA149" s="156">
        <f t="shared" si="98"/>
        <v>-3.8599999999999995E-2</v>
      </c>
      <c r="AB149" s="157">
        <f t="shared" si="99"/>
        <v>-1.2000000000000066E-3</v>
      </c>
    </row>
    <row r="150" spans="1:30">
      <c r="A150" s="217">
        <v>132</v>
      </c>
      <c r="B150" s="55" t="s">
        <v>185</v>
      </c>
      <c r="C150" s="56" t="s">
        <v>89</v>
      </c>
      <c r="D150" s="160">
        <v>191638.94</v>
      </c>
      <c r="E150" s="61">
        <v>264497132.912218</v>
      </c>
      <c r="F150" s="62">
        <f t="shared" si="106"/>
        <v>1.4326672140059865E-4</v>
      </c>
      <c r="G150" s="145">
        <v>1.07</v>
      </c>
      <c r="H150" s="61">
        <v>1476.7976290000001</v>
      </c>
      <c r="I150" s="145">
        <v>1.07</v>
      </c>
      <c r="J150" s="61">
        <v>1476.7976290000001</v>
      </c>
      <c r="K150" s="63">
        <v>10</v>
      </c>
      <c r="L150" s="64">
        <v>6.8000000000000005E-2</v>
      </c>
      <c r="M150" s="64">
        <v>6.8000000000000005E-2</v>
      </c>
      <c r="N150" s="145">
        <v>191864.75</v>
      </c>
      <c r="O150" s="61">
        <f>191864.75*C272</f>
        <v>261336404.98735002</v>
      </c>
      <c r="P150" s="62">
        <f t="shared" si="107"/>
        <v>1.4396063048187908E-4</v>
      </c>
      <c r="Q150" s="145">
        <v>1.07</v>
      </c>
      <c r="R150" s="61">
        <f>1.07*C272</f>
        <v>1457.4326620000002</v>
      </c>
      <c r="S150" s="145">
        <v>1.07</v>
      </c>
      <c r="T150" s="61">
        <f>1.07*C272</f>
        <v>1457.4326620000002</v>
      </c>
      <c r="U150" s="63">
        <v>10</v>
      </c>
      <c r="V150" s="64">
        <v>6.8000000000000005E-2</v>
      </c>
      <c r="W150" s="64">
        <v>6.8000000000000005E-2</v>
      </c>
      <c r="X150" s="156">
        <f t="shared" si="95"/>
        <v>-1.1949951555493716E-2</v>
      </c>
      <c r="Y150" s="156">
        <f t="shared" si="96"/>
        <v>-1.3112810191273659E-2</v>
      </c>
      <c r="Z150" s="158">
        <f t="shared" si="97"/>
        <v>0</v>
      </c>
      <c r="AA150" s="156">
        <f t="shared" si="98"/>
        <v>0</v>
      </c>
      <c r="AB150" s="157">
        <f t="shared" si="99"/>
        <v>0</v>
      </c>
    </row>
    <row r="151" spans="1:30" ht="12.6" customHeight="1">
      <c r="A151" s="219">
        <v>133</v>
      </c>
      <c r="B151" s="55" t="s">
        <v>186</v>
      </c>
      <c r="C151" s="56" t="s">
        <v>35</v>
      </c>
      <c r="D151" s="160">
        <v>109543025.83999912</v>
      </c>
      <c r="E151" s="61">
        <v>151134321890.92999</v>
      </c>
      <c r="F151" s="62">
        <f t="shared" si="106"/>
        <v>8.1862962180396723E-2</v>
      </c>
      <c r="G151" s="145">
        <v>100</v>
      </c>
      <c r="H151" s="61">
        <v>137968</v>
      </c>
      <c r="I151" s="145">
        <v>100</v>
      </c>
      <c r="J151" s="61">
        <v>137968</v>
      </c>
      <c r="K151" s="63">
        <v>3856</v>
      </c>
      <c r="L151" s="64">
        <v>5.7599999999999998E-2</v>
      </c>
      <c r="M151" s="64">
        <v>5.1299999999999998E-2</v>
      </c>
      <c r="N151" s="145">
        <f>O151/1379.68</f>
        <v>109553342.53</v>
      </c>
      <c r="O151" s="61">
        <v>151148555621.79041</v>
      </c>
      <c r="P151" s="62">
        <f t="shared" si="107"/>
        <v>8.3262189838386957E-2</v>
      </c>
      <c r="Q151" s="145">
        <v>100</v>
      </c>
      <c r="R151" s="61">
        <f>100*1379.68</f>
        <v>137968</v>
      </c>
      <c r="S151" s="61">
        <v>100</v>
      </c>
      <c r="T151" s="61">
        <f>100*1379.68</f>
        <v>137968</v>
      </c>
      <c r="U151" s="63">
        <v>3904</v>
      </c>
      <c r="V151" s="64">
        <v>5.7778789999999997E-2</v>
      </c>
      <c r="W151" s="64">
        <v>5.1494400000000003E-2</v>
      </c>
      <c r="X151" s="156">
        <f t="shared" si="95"/>
        <v>9.4179341147173303E-5</v>
      </c>
      <c r="Y151" s="156">
        <f t="shared" si="96"/>
        <v>0</v>
      </c>
      <c r="Z151" s="156">
        <f t="shared" si="97"/>
        <v>1.2448132780082987E-2</v>
      </c>
      <c r="AA151" s="156">
        <f t="shared" si="98"/>
        <v>1.7878999999999812E-4</v>
      </c>
      <c r="AB151" s="157">
        <f t="shared" si="99"/>
        <v>1.9440000000000429E-4</v>
      </c>
      <c r="AD151" s="29"/>
    </row>
    <row r="152" spans="1:30" ht="15.6">
      <c r="A152" s="219">
        <v>134</v>
      </c>
      <c r="B152" s="55" t="s">
        <v>187</v>
      </c>
      <c r="C152" s="56" t="s">
        <v>143</v>
      </c>
      <c r="D152" s="160">
        <v>1155027.51</v>
      </c>
      <c r="E152" s="61">
        <v>1594151297.3810971</v>
      </c>
      <c r="F152" s="62">
        <f t="shared" si="106"/>
        <v>8.6348319650065479E-4</v>
      </c>
      <c r="G152" s="145">
        <v>1.1599999999999999</v>
      </c>
      <c r="H152" s="61">
        <v>1601.0142519999999</v>
      </c>
      <c r="I152" s="145">
        <v>1.1599999999999999</v>
      </c>
      <c r="J152" s="61">
        <v>1601.0142519999999</v>
      </c>
      <c r="K152" s="63">
        <v>72</v>
      </c>
      <c r="L152" s="64">
        <v>1.9E-3</v>
      </c>
      <c r="M152" s="64">
        <v>0.10059999999999999</v>
      </c>
      <c r="N152" s="145">
        <v>1171469.71</v>
      </c>
      <c r="O152" s="61">
        <f>1171469.71*C272</f>
        <v>1595643194.296886</v>
      </c>
      <c r="P152" s="62">
        <f t="shared" si="107"/>
        <v>8.7898125133472422E-4</v>
      </c>
      <c r="Q152" s="145">
        <v>1.17</v>
      </c>
      <c r="R152" s="61">
        <f>1.17*C272</f>
        <v>1593.6413219999999</v>
      </c>
      <c r="S152" s="61">
        <v>1.17</v>
      </c>
      <c r="T152" s="61">
        <f>1.17*C272</f>
        <v>1593.6413219999999</v>
      </c>
      <c r="U152" s="63">
        <v>53</v>
      </c>
      <c r="V152" s="64">
        <v>1.9E-3</v>
      </c>
      <c r="W152" s="64">
        <v>9.8299999999999998E-2</v>
      </c>
      <c r="X152" s="156">
        <f t="shared" si="95"/>
        <v>9.3585653898711264E-4</v>
      </c>
      <c r="Y152" s="156">
        <f t="shared" si="96"/>
        <v>-4.6051620032674118E-3</v>
      </c>
      <c r="Z152" s="156">
        <f t="shared" si="97"/>
        <v>-0.2638888888888889</v>
      </c>
      <c r="AA152" s="156">
        <f t="shared" si="98"/>
        <v>0</v>
      </c>
      <c r="AB152" s="157">
        <f t="shared" si="99"/>
        <v>-2.2999999999999965E-3</v>
      </c>
      <c r="AD152" s="29"/>
    </row>
    <row r="153" spans="1:30" ht="15.6">
      <c r="A153" s="219">
        <v>135</v>
      </c>
      <c r="B153" s="55" t="s">
        <v>303</v>
      </c>
      <c r="C153" s="56" t="s">
        <v>40</v>
      </c>
      <c r="D153" s="160">
        <v>6139747.2800000003</v>
      </c>
      <c r="E153" s="67">
        <v>8473985257.7226162</v>
      </c>
      <c r="F153" s="62">
        <f t="shared" si="106"/>
        <v>4.5899933647819352E-3</v>
      </c>
      <c r="G153" s="145">
        <v>10.94</v>
      </c>
      <c r="H153" s="61">
        <v>15099.220617999999</v>
      </c>
      <c r="I153" s="145">
        <v>10.94</v>
      </c>
      <c r="J153" s="61">
        <v>15099.220617999999</v>
      </c>
      <c r="K153" s="63">
        <v>172</v>
      </c>
      <c r="L153" s="64">
        <v>6.0299999999999999E-2</v>
      </c>
      <c r="M153" s="64">
        <v>7.8399999999999997E-2</v>
      </c>
      <c r="N153" s="145">
        <v>6175415.6200000001</v>
      </c>
      <c r="O153" s="67">
        <f>6175415.62*C272</f>
        <v>8411450865.4326925</v>
      </c>
      <c r="P153" s="62">
        <f t="shared" si="107"/>
        <v>4.6335594534318795E-3</v>
      </c>
      <c r="Q153" s="145">
        <v>10.93</v>
      </c>
      <c r="R153" s="61">
        <f>10.93*C272</f>
        <v>14887.606538</v>
      </c>
      <c r="S153" s="61">
        <v>10.93</v>
      </c>
      <c r="T153" s="61">
        <f>10.93*C272</f>
        <v>14887.606538</v>
      </c>
      <c r="U153" s="63">
        <v>175</v>
      </c>
      <c r="V153" s="64">
        <v>5.9700000000000003E-2</v>
      </c>
      <c r="W153" s="64">
        <v>7.7899999999999997E-2</v>
      </c>
      <c r="X153" s="156">
        <f t="shared" si="95"/>
        <v>-7.3795729385927426E-3</v>
      </c>
      <c r="Y153" s="156">
        <f t="shared" si="96"/>
        <v>-1.4014900858374847E-2</v>
      </c>
      <c r="Z153" s="156">
        <f t="shared" si="97"/>
        <v>1.7441860465116279E-2</v>
      </c>
      <c r="AA153" s="156">
        <f t="shared" si="98"/>
        <v>-5.9999999999999637E-4</v>
      </c>
      <c r="AB153" s="157">
        <f t="shared" si="99"/>
        <v>-5.0000000000000044E-4</v>
      </c>
      <c r="AD153" s="29"/>
    </row>
    <row r="154" spans="1:30" ht="15.6">
      <c r="A154" s="219">
        <v>136</v>
      </c>
      <c r="B154" s="56" t="s">
        <v>188</v>
      </c>
      <c r="C154" s="89" t="s">
        <v>44</v>
      </c>
      <c r="D154" s="160">
        <v>29430427.778977696</v>
      </c>
      <c r="E154" s="61">
        <v>40619426135</v>
      </c>
      <c r="F154" s="62">
        <f t="shared" si="106"/>
        <v>2.2001796176242872E-2</v>
      </c>
      <c r="G154" s="145">
        <v>1.0900000000000001</v>
      </c>
      <c r="H154" s="61">
        <v>1504.401323</v>
      </c>
      <c r="I154" s="145">
        <v>1.0900000000000001</v>
      </c>
      <c r="J154" s="61">
        <v>1504.401323</v>
      </c>
      <c r="K154" s="63">
        <v>787</v>
      </c>
      <c r="L154" s="64">
        <v>1.6999999999999999E-3</v>
      </c>
      <c r="M154" s="64">
        <v>8.5500000000000007E-2</v>
      </c>
      <c r="N154" s="145">
        <f>O154/C272</f>
        <v>29588182.669883102</v>
      </c>
      <c r="O154" s="61">
        <v>40301667133</v>
      </c>
      <c r="P154" s="62">
        <f t="shared" si="107"/>
        <v>2.2200708738678573E-2</v>
      </c>
      <c r="Q154" s="145">
        <v>1.0900000000000001</v>
      </c>
      <c r="R154" s="61">
        <f>Q154*C272</f>
        <v>1484.6743940000001</v>
      </c>
      <c r="S154" s="61">
        <v>1.0900000000000001</v>
      </c>
      <c r="T154" s="61">
        <f>S154*C272</f>
        <v>1484.6743940000001</v>
      </c>
      <c r="U154" s="63">
        <v>787</v>
      </c>
      <c r="V154" s="64">
        <v>6.1999999999999998E-3</v>
      </c>
      <c r="W154" s="64">
        <v>9.2700000000000005E-2</v>
      </c>
      <c r="X154" s="156">
        <f t="shared" si="95"/>
        <v>-7.8228333641129615E-3</v>
      </c>
      <c r="Y154" s="156">
        <f t="shared" si="96"/>
        <v>-1.3112810191273626E-2</v>
      </c>
      <c r="Z154" s="156">
        <f t="shared" si="97"/>
        <v>0</v>
      </c>
      <c r="AA154" s="156">
        <f t="shared" si="98"/>
        <v>4.4999999999999997E-3</v>
      </c>
      <c r="AB154" s="157">
        <f t="shared" si="99"/>
        <v>7.1999999999999981E-3</v>
      </c>
      <c r="AD154" s="29"/>
    </row>
    <row r="155" spans="1:30">
      <c r="A155" s="217">
        <v>137</v>
      </c>
      <c r="B155" s="55" t="s">
        <v>189</v>
      </c>
      <c r="C155" s="56" t="s">
        <v>100</v>
      </c>
      <c r="D155" s="160">
        <v>341425.27</v>
      </c>
      <c r="E155" s="67">
        <v>471672181.99960005</v>
      </c>
      <c r="F155" s="62">
        <f t="shared" si="106"/>
        <v>2.5548453530260421E-4</v>
      </c>
      <c r="G155" s="145">
        <v>1.37</v>
      </c>
      <c r="H155" s="61">
        <v>1878.8128000000002</v>
      </c>
      <c r="I155" s="145">
        <v>1.37</v>
      </c>
      <c r="J155" s="61">
        <v>1878.8128000000002</v>
      </c>
      <c r="K155" s="63">
        <v>2</v>
      </c>
      <c r="L155" s="64">
        <v>5.4000000000000003E-3</v>
      </c>
      <c r="M155" s="64">
        <v>3.1E-2</v>
      </c>
      <c r="N155" s="145">
        <v>320153.76</v>
      </c>
      <c r="O155" s="67">
        <f>N155*1362.24</f>
        <v>436126258.02240002</v>
      </c>
      <c r="P155" s="62">
        <f t="shared" si="107"/>
        <v>2.4024594306960978E-4</v>
      </c>
      <c r="Q155" s="145">
        <v>1.37</v>
      </c>
      <c r="R155" s="61">
        <f>1.37*1362.24</f>
        <v>1866.2688000000001</v>
      </c>
      <c r="S155" s="61">
        <v>1.37</v>
      </c>
      <c r="T155" s="61">
        <f>1.37*1362.24</f>
        <v>1866.2688000000001</v>
      </c>
      <c r="U155" s="63">
        <v>2</v>
      </c>
      <c r="V155" s="64">
        <v>6.9999999999999999E-4</v>
      </c>
      <c r="W155" s="64">
        <v>3.1E-2</v>
      </c>
      <c r="X155" s="156">
        <f t="shared" si="95"/>
        <v>-7.5361501766983946E-2</v>
      </c>
      <c r="Y155" s="156">
        <f t="shared" si="96"/>
        <v>-6.6765565999976663E-3</v>
      </c>
      <c r="Z155" s="156">
        <f t="shared" si="97"/>
        <v>0</v>
      </c>
      <c r="AA155" s="156">
        <f t="shared" ref="AA155" si="108">V155-L155</f>
        <v>-4.7000000000000002E-3</v>
      </c>
      <c r="AB155" s="157">
        <f t="shared" ref="AB155" si="109">W155-M155</f>
        <v>0</v>
      </c>
    </row>
    <row r="156" spans="1:30">
      <c r="A156" s="217">
        <v>138</v>
      </c>
      <c r="B156" s="55" t="s">
        <v>190</v>
      </c>
      <c r="C156" s="56" t="s">
        <v>105</v>
      </c>
      <c r="D156" s="160">
        <v>556248.03</v>
      </c>
      <c r="E156" s="67">
        <v>767725020.41114104</v>
      </c>
      <c r="F156" s="62">
        <f t="shared" si="106"/>
        <v>4.1584362522377677E-4</v>
      </c>
      <c r="G156" s="145">
        <v>1.0879000000000001</v>
      </c>
      <c r="H156" s="61">
        <v>1501.5029351300002</v>
      </c>
      <c r="I156" s="145">
        <v>1.0879000000000001</v>
      </c>
      <c r="J156" s="61">
        <v>1501.5029351300002</v>
      </c>
      <c r="K156" s="63">
        <v>17</v>
      </c>
      <c r="L156" s="64">
        <v>2.0000000000000001E-4</v>
      </c>
      <c r="M156" s="64">
        <v>3.6799999999999999E-2</v>
      </c>
      <c r="N156" s="145">
        <v>555582</v>
      </c>
      <c r="O156" s="67">
        <f>555582*C272</f>
        <v>756750797.40120006</v>
      </c>
      <c r="P156" s="62">
        <f t="shared" si="107"/>
        <v>4.1686623001037625E-4</v>
      </c>
      <c r="Q156" s="145">
        <v>1.0884</v>
      </c>
      <c r="R156" s="61">
        <f>1.0884*C272</f>
        <v>1482.4950554400002</v>
      </c>
      <c r="S156" s="61">
        <v>1.0884</v>
      </c>
      <c r="T156" s="61">
        <f>1.0884*C272</f>
        <v>1482.4950554400002</v>
      </c>
      <c r="U156" s="63">
        <v>17</v>
      </c>
      <c r="V156" s="64">
        <v>-3.3999999999999998E-3</v>
      </c>
      <c r="W156" s="64">
        <v>3.3399999999999999E-2</v>
      </c>
      <c r="X156" s="156">
        <f t="shared" ref="X156" si="110">((O156-E156)/E156)</f>
        <v>-1.4294470960532116E-2</v>
      </c>
      <c r="Y156" s="156">
        <f t="shared" ref="Y156" si="111">((T156-J156)/J156)</f>
        <v>-1.2659235786544952E-2</v>
      </c>
      <c r="Z156" s="156">
        <f t="shared" si="97"/>
        <v>0</v>
      </c>
      <c r="AA156" s="156">
        <f t="shared" si="98"/>
        <v>-3.5999999999999999E-3</v>
      </c>
      <c r="AB156" s="157">
        <f t="shared" si="99"/>
        <v>-3.4000000000000002E-3</v>
      </c>
    </row>
    <row r="157" spans="1:30">
      <c r="A157" s="217">
        <v>139</v>
      </c>
      <c r="B157" s="55" t="s">
        <v>191</v>
      </c>
      <c r="C157" s="56" t="s">
        <v>46</v>
      </c>
      <c r="D157" s="160">
        <v>621908700.88999999</v>
      </c>
      <c r="E157" s="67">
        <v>859291252019.71301</v>
      </c>
      <c r="F157" s="62">
        <f t="shared" si="106"/>
        <v>0.4654411148038311</v>
      </c>
      <c r="G157" s="145">
        <v>1.7064999999999999</v>
      </c>
      <c r="H157" s="61">
        <v>2357.8710499999997</v>
      </c>
      <c r="I157" s="145">
        <v>1.7064999999999999</v>
      </c>
      <c r="J157" s="61">
        <v>2357.8710499999997</v>
      </c>
      <c r="K157" s="63">
        <v>13817</v>
      </c>
      <c r="L157" s="64">
        <v>8.0000000000000004E-4</v>
      </c>
      <c r="M157" s="64">
        <v>2.01E-2</v>
      </c>
      <c r="N157" s="145">
        <v>621577914.62</v>
      </c>
      <c r="O157" s="67">
        <f>N157*1363.17</f>
        <v>847316365872.54541</v>
      </c>
      <c r="P157" s="62">
        <f t="shared" si="107"/>
        <v>0.46675547654575955</v>
      </c>
      <c r="Q157" s="145">
        <v>1.7078</v>
      </c>
      <c r="R157" s="61">
        <f>Q157*1363.17</f>
        <v>2328.0217259999999</v>
      </c>
      <c r="S157" s="145">
        <v>1.7078</v>
      </c>
      <c r="T157" s="61">
        <f>S157*1363.17</f>
        <v>2328.0217259999999</v>
      </c>
      <c r="U157" s="63">
        <v>13850</v>
      </c>
      <c r="V157" s="64">
        <v>8.0000000000000004E-4</v>
      </c>
      <c r="W157" s="64">
        <v>2.0899999999999998E-2</v>
      </c>
      <c r="X157" s="156">
        <f t="shared" si="95"/>
        <v>-1.3935771042730092E-2</v>
      </c>
      <c r="Y157" s="156">
        <f t="shared" si="96"/>
        <v>-1.2659438691526324E-2</v>
      </c>
      <c r="Z157" s="156">
        <f t="shared" si="97"/>
        <v>2.3883621625533764E-3</v>
      </c>
      <c r="AA157" s="156">
        <f t="shared" si="98"/>
        <v>0</v>
      </c>
      <c r="AB157" s="157">
        <f t="shared" si="99"/>
        <v>7.9999999999999863E-4</v>
      </c>
    </row>
    <row r="158" spans="1:30">
      <c r="A158" s="217">
        <v>140</v>
      </c>
      <c r="B158" s="55" t="s">
        <v>192</v>
      </c>
      <c r="C158" s="55" t="s">
        <v>110</v>
      </c>
      <c r="D158" s="160">
        <v>492425.4</v>
      </c>
      <c r="E158" s="67">
        <v>679638002.97138</v>
      </c>
      <c r="F158" s="62">
        <f t="shared" si="106"/>
        <v>3.6813067632485521E-4</v>
      </c>
      <c r="G158" s="145">
        <v>118.14</v>
      </c>
      <c r="H158" s="61">
        <v>163055.02045800001</v>
      </c>
      <c r="I158" s="145">
        <v>118.14</v>
      </c>
      <c r="J158" s="61">
        <v>163055.02045800001</v>
      </c>
      <c r="K158" s="63">
        <v>32</v>
      </c>
      <c r="L158" s="64">
        <v>1.4E-3</v>
      </c>
      <c r="M158" s="64">
        <v>3.9199999999999999E-2</v>
      </c>
      <c r="N158" s="145">
        <v>493099.52000000002</v>
      </c>
      <c r="O158" s="67">
        <f>493099.52*C272</f>
        <v>671644248.65843213</v>
      </c>
      <c r="P158" s="62">
        <f t="shared" si="107"/>
        <v>3.6998415701431319E-4</v>
      </c>
      <c r="Q158" s="145">
        <v>118.3</v>
      </c>
      <c r="R158" s="61">
        <f>118.3*C272</f>
        <v>161134.84478000001</v>
      </c>
      <c r="S158" s="61">
        <v>118.3</v>
      </c>
      <c r="T158" s="61">
        <f>118.3*C272</f>
        <v>161134.84478000001</v>
      </c>
      <c r="U158" s="63">
        <v>32</v>
      </c>
      <c r="V158" s="64">
        <v>1.4E-3</v>
      </c>
      <c r="W158" s="64">
        <v>4.0599999999999997E-2</v>
      </c>
      <c r="X158" s="156">
        <f t="shared" ref="X158" si="112">((O158-E158)/E158)</f>
        <v>-1.1761782416520478E-2</v>
      </c>
      <c r="Y158" s="156">
        <f t="shared" ref="Y158" si="113">((T158-J158)/J158)</f>
        <v>-1.1776243826203448E-2</v>
      </c>
      <c r="Z158" s="156">
        <f t="shared" ref="Z158" si="114">((U158-K158)/K158)</f>
        <v>0</v>
      </c>
      <c r="AA158" s="156">
        <f t="shared" ref="AA158" si="115">V158-L158</f>
        <v>0</v>
      </c>
      <c r="AB158" s="157">
        <f t="shared" ref="AB158" si="116">W158-M158</f>
        <v>1.3999999999999985E-3</v>
      </c>
    </row>
    <row r="159" spans="1:30" ht="16.5" customHeight="1">
      <c r="A159" s="217">
        <v>141</v>
      </c>
      <c r="B159" s="55" t="s">
        <v>193</v>
      </c>
      <c r="C159" s="56" t="s">
        <v>49</v>
      </c>
      <c r="D159" s="160">
        <v>130053309.27</v>
      </c>
      <c r="E159" s="67">
        <v>179694657418.35901</v>
      </c>
      <c r="F159" s="62">
        <f t="shared" si="106"/>
        <v>9.7332867612126936E-2</v>
      </c>
      <c r="G159" s="145">
        <v>1.2047000000000001</v>
      </c>
      <c r="H159" s="61">
        <v>1664.5339900000001</v>
      </c>
      <c r="I159" s="145">
        <v>1.2047000000000001</v>
      </c>
      <c r="J159" s="61">
        <v>1664.5339900000001</v>
      </c>
      <c r="K159" s="63">
        <v>1083</v>
      </c>
      <c r="L159" s="64">
        <v>1E-3</v>
      </c>
      <c r="M159" s="64">
        <v>9.2799999999999994E-2</v>
      </c>
      <c r="N159" s="145">
        <v>129923599.34</v>
      </c>
      <c r="O159" s="67">
        <f>129923599.34*1363.17</f>
        <v>177107952912.3078</v>
      </c>
      <c r="P159" s="62">
        <f t="shared" si="107"/>
        <v>9.7562268700546878E-2</v>
      </c>
      <c r="Q159" s="145">
        <v>1.21</v>
      </c>
      <c r="R159" s="61">
        <f>1.21*1363.17</f>
        <v>1649.4357</v>
      </c>
      <c r="S159" s="61">
        <v>1.21</v>
      </c>
      <c r="T159" s="61">
        <f>1.21*1363.17</f>
        <v>1649.4357</v>
      </c>
      <c r="U159" s="63">
        <v>1109</v>
      </c>
      <c r="V159" s="64">
        <v>1.6000000000000001E-3</v>
      </c>
      <c r="W159" s="64">
        <v>9.3399999999999997E-2</v>
      </c>
      <c r="X159" s="156">
        <f t="shared" si="95"/>
        <v>-1.4394999513140399E-2</v>
      </c>
      <c r="Y159" s="156">
        <f t="shared" si="96"/>
        <v>-9.0705807695763141E-3</v>
      </c>
      <c r="Z159" s="156">
        <f t="shared" si="97"/>
        <v>2.4007386888273315E-2</v>
      </c>
      <c r="AA159" s="156">
        <f t="shared" si="98"/>
        <v>6.0000000000000006E-4</v>
      </c>
      <c r="AB159" s="157">
        <f t="shared" si="99"/>
        <v>6.0000000000000331E-4</v>
      </c>
    </row>
    <row r="160" spans="1:30" ht="16.5" customHeight="1">
      <c r="A160" s="217">
        <v>142</v>
      </c>
      <c r="B160" s="55" t="s">
        <v>194</v>
      </c>
      <c r="C160" s="56" t="s">
        <v>107</v>
      </c>
      <c r="D160" s="160">
        <v>1352584.45</v>
      </c>
      <c r="E160" s="61">
        <v>1868865936.75</v>
      </c>
      <c r="F160" s="62">
        <f t="shared" si="106"/>
        <v>1.0122843017141188E-3</v>
      </c>
      <c r="G160" s="145">
        <v>115.84</v>
      </c>
      <c r="H160" s="61">
        <v>160056.13</v>
      </c>
      <c r="I160" s="145">
        <v>115.84</v>
      </c>
      <c r="J160" s="61">
        <v>160056.13</v>
      </c>
      <c r="K160" s="63">
        <v>25</v>
      </c>
      <c r="L160" s="64">
        <v>2.5999999999999999E-3</v>
      </c>
      <c r="M160" s="64">
        <v>3.61E-2</v>
      </c>
      <c r="N160" s="145">
        <v>1350104.4700306801</v>
      </c>
      <c r="O160" s="61">
        <v>1849481111.4100001</v>
      </c>
      <c r="P160" s="62">
        <f t="shared" si="107"/>
        <v>1.0188112401553775E-3</v>
      </c>
      <c r="Q160" s="145">
        <v>115.63</v>
      </c>
      <c r="R160" s="61">
        <v>158399.22</v>
      </c>
      <c r="S160" s="145">
        <v>115.63</v>
      </c>
      <c r="T160" s="61">
        <v>158399.22</v>
      </c>
      <c r="U160" s="63">
        <v>25</v>
      </c>
      <c r="V160" s="64">
        <v>5.0000000000000001E-4</v>
      </c>
      <c r="W160" s="64">
        <v>6.1699999999999998E-2</v>
      </c>
      <c r="X160" s="156">
        <f t="shared" si="95"/>
        <v>-1.0372507176042045E-2</v>
      </c>
      <c r="Y160" s="156">
        <f t="shared" si="96"/>
        <v>-1.0352055869400337E-2</v>
      </c>
      <c r="Z160" s="156">
        <f t="shared" si="97"/>
        <v>0</v>
      </c>
      <c r="AA160" s="156">
        <f t="shared" si="98"/>
        <v>-2.0999999999999999E-3</v>
      </c>
      <c r="AB160" s="157">
        <f t="shared" si="99"/>
        <v>2.5599999999999998E-2</v>
      </c>
    </row>
    <row r="161" spans="1:31" ht="16.5" customHeight="1">
      <c r="A161" s="217">
        <v>143</v>
      </c>
      <c r="B161" s="55" t="s">
        <v>195</v>
      </c>
      <c r="C161" s="56" t="s">
        <v>117</v>
      </c>
      <c r="D161" s="160">
        <v>4099905.02</v>
      </c>
      <c r="E161" s="61">
        <v>5658626180.0571938</v>
      </c>
      <c r="F161" s="62">
        <f t="shared" si="106"/>
        <v>3.0650344354297503E-3</v>
      </c>
      <c r="G161" s="145">
        <v>1.19</v>
      </c>
      <c r="H161" s="61">
        <v>1642.419793</v>
      </c>
      <c r="I161" s="145">
        <v>1.19</v>
      </c>
      <c r="J161" s="61">
        <v>1642.419793</v>
      </c>
      <c r="K161" s="63">
        <v>61</v>
      </c>
      <c r="L161" s="64">
        <v>2.98E-2</v>
      </c>
      <c r="M161" s="64">
        <v>3.1399999999999997E-2</v>
      </c>
      <c r="N161" s="145">
        <v>4107741.09</v>
      </c>
      <c r="O161" s="61">
        <f>N161*C272</f>
        <v>5595099094.9583941</v>
      </c>
      <c r="P161" s="62">
        <f t="shared" si="107"/>
        <v>3.0821346660745196E-3</v>
      </c>
      <c r="Q161" s="145">
        <v>1.18</v>
      </c>
      <c r="R161" s="61">
        <f>Q161*C272</f>
        <v>1607.2621879999999</v>
      </c>
      <c r="S161" s="61">
        <v>1.18</v>
      </c>
      <c r="T161" s="61">
        <f>S161*C272</f>
        <v>1607.2621879999999</v>
      </c>
      <c r="U161" s="63">
        <v>59</v>
      </c>
      <c r="V161" s="64">
        <v>2.8299999999999999E-2</v>
      </c>
      <c r="W161" s="64">
        <v>2.58E-2</v>
      </c>
      <c r="X161" s="156">
        <f t="shared" ref="X161" si="117">((O161-E161)/E161)</f>
        <v>-1.1226591592618266E-2</v>
      </c>
      <c r="Y161" s="156">
        <f t="shared" ref="Y161" si="118">((T161-J161)/J161)</f>
        <v>-2.1405979853531942E-2</v>
      </c>
      <c r="Z161" s="156">
        <f t="shared" si="97"/>
        <v>-3.2786885245901641E-2</v>
      </c>
      <c r="AA161" s="156">
        <f t="shared" si="98"/>
        <v>-1.5000000000000013E-3</v>
      </c>
      <c r="AB161" s="157">
        <f t="shared" si="99"/>
        <v>-5.5999999999999973E-3</v>
      </c>
    </row>
    <row r="162" spans="1:31">
      <c r="A162" s="217">
        <v>144</v>
      </c>
      <c r="B162" s="55" t="s">
        <v>196</v>
      </c>
      <c r="C162" s="56" t="s">
        <v>119</v>
      </c>
      <c r="D162" s="160">
        <v>1789618.76</v>
      </c>
      <c r="E162" s="61">
        <v>2470004431.3849721</v>
      </c>
      <c r="F162" s="62">
        <f t="shared" si="106"/>
        <v>1.3378951704815568E-3</v>
      </c>
      <c r="G162" s="145">
        <v>1.55</v>
      </c>
      <c r="H162" s="61">
        <v>2139.2862850000001</v>
      </c>
      <c r="I162" s="145">
        <v>1.55</v>
      </c>
      <c r="J162" s="61">
        <v>2139.2862850000001</v>
      </c>
      <c r="K162" s="63">
        <v>151</v>
      </c>
      <c r="L162" s="64">
        <v>3.0000000000000001E-3</v>
      </c>
      <c r="M162" s="64">
        <v>4.0500000000000001E-2</v>
      </c>
      <c r="N162" s="145">
        <v>1790054.27</v>
      </c>
      <c r="O162" s="61">
        <f>1790054.27*C272</f>
        <v>2438208934.4397821</v>
      </c>
      <c r="P162" s="62">
        <f t="shared" si="107"/>
        <v>1.3431197825863261E-3</v>
      </c>
      <c r="Q162" s="145">
        <v>1.55</v>
      </c>
      <c r="R162" s="61">
        <f>1.55*C272</f>
        <v>2111.23423</v>
      </c>
      <c r="S162" s="61">
        <v>1.55</v>
      </c>
      <c r="T162" s="61">
        <f>1.55*C272</f>
        <v>2111.23423</v>
      </c>
      <c r="U162" s="63">
        <v>155</v>
      </c>
      <c r="V162" s="64">
        <v>-1.6000000000000001E-3</v>
      </c>
      <c r="W162" s="64">
        <v>3.9199999999999999E-2</v>
      </c>
      <c r="X162" s="156">
        <f t="shared" si="95"/>
        <v>-1.287264773341386E-2</v>
      </c>
      <c r="Y162" s="156">
        <f t="shared" si="96"/>
        <v>-1.3112810191273725E-2</v>
      </c>
      <c r="Z162" s="156">
        <f t="shared" si="97"/>
        <v>2.6490066225165563E-2</v>
      </c>
      <c r="AA162" s="156">
        <f t="shared" si="98"/>
        <v>-4.5999999999999999E-3</v>
      </c>
      <c r="AB162" s="157">
        <f t="shared" si="99"/>
        <v>-1.3000000000000025E-3</v>
      </c>
    </row>
    <row r="163" spans="1:31">
      <c r="B163" s="70"/>
      <c r="C163" s="94" t="s">
        <v>52</v>
      </c>
      <c r="D163" s="85">
        <f>SUM(D123:D162)</f>
        <v>1336506649.139636</v>
      </c>
      <c r="E163" s="85">
        <f>SUM(E123:E162)</f>
        <v>1846186820822.3879</v>
      </c>
      <c r="F163" s="73">
        <f>(E163/$E$241)</f>
        <v>0.1974562941214906</v>
      </c>
      <c r="G163" s="145"/>
      <c r="H163" s="74"/>
      <c r="I163" s="145">
        <v>0</v>
      </c>
      <c r="J163" s="79"/>
      <c r="K163" s="76">
        <f>SUM(K123:K162)</f>
        <v>33048</v>
      </c>
      <c r="L163" s="95"/>
      <c r="M163" s="95"/>
      <c r="N163" s="85">
        <f>SUM(N123:N162)</f>
        <v>1330515252.434185</v>
      </c>
      <c r="O163" s="85">
        <f>SUM(O123:O162)</f>
        <v>1815332456606.916</v>
      </c>
      <c r="P163" s="73">
        <f>(O163/$O$241)</f>
        <v>0.19369831837091323</v>
      </c>
      <c r="Q163" s="150"/>
      <c r="R163" s="74"/>
      <c r="S163" s="74"/>
      <c r="T163" s="79"/>
      <c r="U163" s="76">
        <f>SUM(U123:U162)</f>
        <v>33183</v>
      </c>
      <c r="V163" s="95"/>
      <c r="W163" s="95"/>
      <c r="X163" s="156">
        <f t="shared" si="95"/>
        <v>-1.6712482110411653E-2</v>
      </c>
      <c r="Y163" s="156" t="e">
        <f t="shared" si="96"/>
        <v>#DIV/0!</v>
      </c>
      <c r="Z163" s="156">
        <f t="shared" si="97"/>
        <v>4.0849673202614381E-3</v>
      </c>
      <c r="AA163" s="156">
        <f t="shared" si="98"/>
        <v>0</v>
      </c>
      <c r="AB163" s="157">
        <f t="shared" si="99"/>
        <v>0</v>
      </c>
    </row>
    <row r="164" spans="1:31" ht="6" customHeight="1">
      <c r="B164" s="226"/>
      <c r="C164" s="226"/>
      <c r="D164" s="226"/>
      <c r="E164" s="226"/>
      <c r="F164" s="226"/>
      <c r="G164" s="226"/>
      <c r="H164" s="226"/>
      <c r="I164" s="226"/>
      <c r="J164" s="226"/>
      <c r="K164" s="226"/>
      <c r="L164" s="226"/>
      <c r="M164" s="226"/>
      <c r="N164" s="226"/>
      <c r="O164" s="226"/>
      <c r="P164" s="226"/>
      <c r="Q164" s="226"/>
      <c r="R164" s="226"/>
      <c r="S164" s="226"/>
      <c r="T164" s="226"/>
      <c r="U164" s="226"/>
      <c r="V164" s="226"/>
      <c r="W164" s="226"/>
      <c r="X164" s="226"/>
      <c r="Y164" s="226"/>
      <c r="Z164" s="226"/>
      <c r="AA164" s="226"/>
      <c r="AB164" s="226"/>
    </row>
    <row r="165" spans="1:31">
      <c r="A165" s="162"/>
      <c r="B165" s="228" t="s">
        <v>336</v>
      </c>
      <c r="C165" s="228"/>
      <c r="D165" s="228"/>
      <c r="E165" s="228"/>
      <c r="F165" s="228"/>
      <c r="G165" s="228"/>
      <c r="H165" s="228"/>
      <c r="I165" s="228"/>
      <c r="J165" s="228"/>
      <c r="K165" s="228"/>
      <c r="L165" s="228"/>
      <c r="M165" s="228"/>
      <c r="N165" s="228"/>
      <c r="O165" s="228"/>
      <c r="P165" s="228"/>
      <c r="Q165" s="228"/>
      <c r="R165" s="228"/>
      <c r="S165" s="228"/>
      <c r="T165" s="228"/>
      <c r="U165" s="228"/>
      <c r="V165" s="228"/>
      <c r="W165" s="228"/>
      <c r="X165" s="228"/>
      <c r="Y165" s="228"/>
      <c r="Z165" s="228"/>
      <c r="AA165" s="228"/>
      <c r="AB165" s="228"/>
    </row>
    <row r="166" spans="1:31">
      <c r="A166" s="217">
        <v>145</v>
      </c>
      <c r="B166" s="55" t="s">
        <v>197</v>
      </c>
      <c r="C166" s="56" t="s">
        <v>198</v>
      </c>
      <c r="D166" s="142" t="s">
        <v>329</v>
      </c>
      <c r="E166" s="96">
        <v>2619606025.7800002</v>
      </c>
      <c r="F166" s="62">
        <f>(E166/$E$172)</f>
        <v>5.0919215098989548E-3</v>
      </c>
      <c r="G166" s="142" t="s">
        <v>329</v>
      </c>
      <c r="H166" s="87">
        <v>123.45</v>
      </c>
      <c r="I166" s="142" t="s">
        <v>329</v>
      </c>
      <c r="J166" s="87">
        <v>123.45</v>
      </c>
      <c r="K166" s="63">
        <v>8</v>
      </c>
      <c r="L166" s="64">
        <v>3.0999999999999999E-3</v>
      </c>
      <c r="M166" s="64">
        <v>0.17430000000000001</v>
      </c>
      <c r="N166" s="142" t="s">
        <v>329</v>
      </c>
      <c r="O166" s="96">
        <v>2627202883.25</v>
      </c>
      <c r="P166" s="62">
        <f>(O166/$O$172)</f>
        <v>5.10335123060786E-3</v>
      </c>
      <c r="Q166" s="142" t="s">
        <v>329</v>
      </c>
      <c r="R166" s="87">
        <v>123.81</v>
      </c>
      <c r="S166" s="142" t="s">
        <v>329</v>
      </c>
      <c r="T166" s="87">
        <v>123.81</v>
      </c>
      <c r="U166" s="63">
        <v>8</v>
      </c>
      <c r="V166" s="64">
        <v>2.8999999999999998E-3</v>
      </c>
      <c r="W166" s="64">
        <v>0.1777</v>
      </c>
      <c r="X166" s="156">
        <f t="shared" ref="X166:X172" si="119">((O166-E166)/E166)</f>
        <v>2.899999998182089E-3</v>
      </c>
      <c r="Y166" s="156">
        <f>((T166-J166)/J166)</f>
        <v>2.9161603888213806E-3</v>
      </c>
      <c r="Z166" s="156">
        <f>((U166-K166)/K166)</f>
        <v>0</v>
      </c>
      <c r="AA166" s="156">
        <f>V166-L166</f>
        <v>-2.0000000000000009E-4</v>
      </c>
      <c r="AB166" s="157">
        <f>W166-M166</f>
        <v>3.3999999999999864E-3</v>
      </c>
    </row>
    <row r="167" spans="1:31">
      <c r="A167" s="219">
        <v>146</v>
      </c>
      <c r="B167" s="55" t="s">
        <v>199</v>
      </c>
      <c r="C167" s="56" t="s">
        <v>23</v>
      </c>
      <c r="D167" s="142" t="s">
        <v>329</v>
      </c>
      <c r="E167" s="96">
        <v>254741506631.34</v>
      </c>
      <c r="F167" s="62">
        <v>0</v>
      </c>
      <c r="G167" s="142" t="s">
        <v>329</v>
      </c>
      <c r="H167" s="87">
        <v>107.023385</v>
      </c>
      <c r="I167" s="142" t="s">
        <v>329</v>
      </c>
      <c r="J167" s="87">
        <v>107.023385</v>
      </c>
      <c r="K167" s="63">
        <v>45</v>
      </c>
      <c r="L167" s="64">
        <v>5.5300000000000002E-2</v>
      </c>
      <c r="M167" s="64">
        <v>0.1091</v>
      </c>
      <c r="N167" s="142" t="s">
        <v>329</v>
      </c>
      <c r="O167" s="96">
        <v>255048167955.04999</v>
      </c>
      <c r="P167" s="62">
        <f t="shared" ref="P167:P171" si="120">(O167/$O$172)</f>
        <v>0.4954320011203438</v>
      </c>
      <c r="Q167" s="142" t="s">
        <v>329</v>
      </c>
      <c r="R167" s="87">
        <v>107.16</v>
      </c>
      <c r="S167" s="142" t="s">
        <v>329</v>
      </c>
      <c r="T167" s="87">
        <v>107.15</v>
      </c>
      <c r="U167" s="63">
        <v>45</v>
      </c>
      <c r="V167" s="64">
        <v>5.9799999999999999E-2</v>
      </c>
      <c r="W167" s="64">
        <v>0.1076</v>
      </c>
      <c r="X167" s="156">
        <f t="shared" ref="X167" si="121">((O167-E167)/E167)</f>
        <v>1.2038137316734544E-3</v>
      </c>
      <c r="Y167" s="156">
        <f t="shared" ref="Y167" si="122">((T167-J167)/J167)</f>
        <v>1.1830591977631901E-3</v>
      </c>
      <c r="Z167" s="156">
        <f t="shared" ref="Z167" si="123">((U167-K167)/K167)</f>
        <v>0</v>
      </c>
      <c r="AA167" s="156">
        <f t="shared" ref="AA167" si="124">V167-L167</f>
        <v>4.4999999999999971E-3</v>
      </c>
      <c r="AB167" s="157">
        <f t="shared" ref="AB167" si="125">W167-M167</f>
        <v>-1.5000000000000013E-3</v>
      </c>
    </row>
    <row r="168" spans="1:31">
      <c r="A168" s="219">
        <v>147</v>
      </c>
      <c r="B168" s="55" t="s">
        <v>200</v>
      </c>
      <c r="C168" s="56" t="s">
        <v>44</v>
      </c>
      <c r="D168" s="142" t="s">
        <v>329</v>
      </c>
      <c r="E168" s="67">
        <v>187215600086</v>
      </c>
      <c r="F168" s="62">
        <f>(E168/$E$172)</f>
        <v>0.36390477487266365</v>
      </c>
      <c r="G168" s="142" t="s">
        <v>329</v>
      </c>
      <c r="H168" s="87">
        <v>113</v>
      </c>
      <c r="I168" s="142" t="s">
        <v>329</v>
      </c>
      <c r="J168" s="87">
        <v>113</v>
      </c>
      <c r="K168" s="63">
        <v>1677</v>
      </c>
      <c r="L168" s="64">
        <v>0</v>
      </c>
      <c r="M168" s="64">
        <v>0</v>
      </c>
      <c r="N168" s="142" t="s">
        <v>329</v>
      </c>
      <c r="O168" s="67">
        <v>187215600086</v>
      </c>
      <c r="P168" s="62">
        <f t="shared" si="120"/>
        <v>0.36366698939746872</v>
      </c>
      <c r="Q168" s="142" t="s">
        <v>329</v>
      </c>
      <c r="R168" s="87">
        <v>113</v>
      </c>
      <c r="S168" s="142" t="s">
        <v>329</v>
      </c>
      <c r="T168" s="87">
        <v>113</v>
      </c>
      <c r="U168" s="63">
        <v>1677</v>
      </c>
      <c r="V168" s="64">
        <v>0</v>
      </c>
      <c r="W168" s="64">
        <v>0</v>
      </c>
      <c r="X168" s="156">
        <f t="shared" si="119"/>
        <v>0</v>
      </c>
      <c r="Y168" s="156">
        <f t="shared" ref="Y168:Z172" si="126">((T168-J168)/J168)</f>
        <v>0</v>
      </c>
      <c r="Z168" s="156">
        <f t="shared" si="126"/>
        <v>0</v>
      </c>
      <c r="AA168" s="156">
        <f t="shared" ref="AA168:AB172" si="127">V168-L168</f>
        <v>0</v>
      </c>
      <c r="AB168" s="157">
        <f t="shared" si="127"/>
        <v>0</v>
      </c>
    </row>
    <row r="169" spans="1:31" ht="15.75" customHeight="1">
      <c r="A169" s="219">
        <v>148</v>
      </c>
      <c r="B169" s="55" t="s">
        <v>202</v>
      </c>
      <c r="C169" s="56" t="s">
        <v>152</v>
      </c>
      <c r="D169" s="142" t="s">
        <v>329</v>
      </c>
      <c r="E169" s="67">
        <v>6107941370.3199997</v>
      </c>
      <c r="F169" s="62">
        <f>(E169/$E$172)</f>
        <v>1.1872456292534901E-2</v>
      </c>
      <c r="G169" s="142" t="s">
        <v>329</v>
      </c>
      <c r="H169" s="87">
        <v>418.75</v>
      </c>
      <c r="I169" s="142" t="s">
        <v>329</v>
      </c>
      <c r="J169" s="87">
        <v>418.75</v>
      </c>
      <c r="K169" s="63">
        <v>5693</v>
      </c>
      <c r="L169" s="64">
        <v>7.5700000000000003E-2</v>
      </c>
      <c r="M169" s="64">
        <v>1.41E-2</v>
      </c>
      <c r="N169" s="142" t="s">
        <v>329</v>
      </c>
      <c r="O169" s="67">
        <v>6114402800.0600004</v>
      </c>
      <c r="P169" s="62">
        <f t="shared" si="120"/>
        <v>1.1877249851186706E-2</v>
      </c>
      <c r="Q169" s="142" t="s">
        <v>329</v>
      </c>
      <c r="R169" s="87">
        <v>418.75</v>
      </c>
      <c r="S169" s="142" t="s">
        <v>329</v>
      </c>
      <c r="T169" s="87">
        <v>418.75</v>
      </c>
      <c r="U169" s="63">
        <v>5693</v>
      </c>
      <c r="V169" s="64">
        <v>7.0699999999999999E-2</v>
      </c>
      <c r="W169" s="64">
        <v>1.4E-2</v>
      </c>
      <c r="X169" s="156">
        <f t="shared" si="119"/>
        <v>1.0578735695464289E-3</v>
      </c>
      <c r="Y169" s="156">
        <f t="shared" si="126"/>
        <v>0</v>
      </c>
      <c r="Z169" s="156">
        <f t="shared" si="126"/>
        <v>0</v>
      </c>
      <c r="AA169" s="156">
        <f t="shared" si="127"/>
        <v>-5.0000000000000044E-3</v>
      </c>
      <c r="AB169" s="157">
        <f t="shared" si="127"/>
        <v>-9.9999999999999395E-5</v>
      </c>
    </row>
    <row r="170" spans="1:31">
      <c r="A170" s="217">
        <v>149</v>
      </c>
      <c r="B170" s="55" t="s">
        <v>201</v>
      </c>
      <c r="C170" s="56" t="s">
        <v>152</v>
      </c>
      <c r="D170" s="142" t="s">
        <v>329</v>
      </c>
      <c r="E170" s="67">
        <v>27462065450.009998</v>
      </c>
      <c r="F170" s="62">
        <f>(E170/$E$172)</f>
        <v>5.3380042798428971E-2</v>
      </c>
      <c r="G170" s="142" t="s">
        <v>329</v>
      </c>
      <c r="H170" s="87">
        <v>70</v>
      </c>
      <c r="I170" s="142" t="s">
        <v>329</v>
      </c>
      <c r="J170" s="87">
        <v>70</v>
      </c>
      <c r="K170" s="63">
        <v>8409</v>
      </c>
      <c r="L170" s="64">
        <v>3.2099999999999997E-2</v>
      </c>
      <c r="M170" s="64">
        <v>5.28E-2</v>
      </c>
      <c r="N170" s="142" t="s">
        <v>329</v>
      </c>
      <c r="O170" s="67">
        <v>27477730142.09</v>
      </c>
      <c r="P170" s="62">
        <f t="shared" si="120"/>
        <v>5.3375591519401432E-2</v>
      </c>
      <c r="Q170" s="142" t="s">
        <v>329</v>
      </c>
      <c r="R170" s="87">
        <v>70</v>
      </c>
      <c r="S170" s="142" t="s">
        <v>329</v>
      </c>
      <c r="T170" s="87">
        <v>70</v>
      </c>
      <c r="U170" s="63">
        <v>8409</v>
      </c>
      <c r="V170" s="64">
        <v>3.2099999999999997E-2</v>
      </c>
      <c r="W170" s="64">
        <v>5.2400000000000002E-2</v>
      </c>
      <c r="X170" s="156">
        <f t="shared" si="119"/>
        <v>5.7041201465770036E-4</v>
      </c>
      <c r="Y170" s="156">
        <f t="shared" si="126"/>
        <v>0</v>
      </c>
      <c r="Z170" s="156">
        <f t="shared" si="126"/>
        <v>0</v>
      </c>
      <c r="AA170" s="156">
        <f t="shared" si="127"/>
        <v>0</v>
      </c>
      <c r="AB170" s="157">
        <f t="shared" si="127"/>
        <v>-3.9999999999999758E-4</v>
      </c>
    </row>
    <row r="171" spans="1:31">
      <c r="A171" s="219">
        <v>150</v>
      </c>
      <c r="B171" s="55" t="s">
        <v>299</v>
      </c>
      <c r="C171" s="56" t="s">
        <v>152</v>
      </c>
      <c r="D171" s="142" t="s">
        <v>329</v>
      </c>
      <c r="E171" s="67">
        <v>36316439518.510002</v>
      </c>
      <c r="F171" s="62">
        <f>(E171/$E$172)</f>
        <v>7.059094296142665E-2</v>
      </c>
      <c r="G171" s="142" t="s">
        <v>329</v>
      </c>
      <c r="H171" s="87">
        <v>10.65</v>
      </c>
      <c r="I171" s="142" t="s">
        <v>329</v>
      </c>
      <c r="J171" s="87">
        <v>10.65</v>
      </c>
      <c r="K171" s="63">
        <v>216198</v>
      </c>
      <c r="L171" s="64">
        <v>0</v>
      </c>
      <c r="M171" s="64">
        <v>0</v>
      </c>
      <c r="N171" s="142" t="s">
        <v>329</v>
      </c>
      <c r="O171" s="67">
        <v>36316439518.510002</v>
      </c>
      <c r="P171" s="62">
        <f t="shared" si="120"/>
        <v>7.0544816880991415E-2</v>
      </c>
      <c r="Q171" s="142" t="s">
        <v>329</v>
      </c>
      <c r="R171" s="87">
        <v>14.2</v>
      </c>
      <c r="S171" s="142" t="s">
        <v>329</v>
      </c>
      <c r="T171" s="87">
        <v>14.2</v>
      </c>
      <c r="U171" s="63">
        <v>216198</v>
      </c>
      <c r="V171" s="64">
        <v>0</v>
      </c>
      <c r="W171" s="64">
        <v>0</v>
      </c>
      <c r="X171" s="156">
        <f t="shared" si="119"/>
        <v>0</v>
      </c>
      <c r="Y171" s="156">
        <f t="shared" si="126"/>
        <v>0.3333333333333332</v>
      </c>
      <c r="Z171" s="156">
        <f t="shared" si="126"/>
        <v>0</v>
      </c>
      <c r="AA171" s="156">
        <f t="shared" si="127"/>
        <v>0</v>
      </c>
      <c r="AB171" s="157">
        <f t="shared" si="127"/>
        <v>0</v>
      </c>
    </row>
    <row r="172" spans="1:31">
      <c r="B172" s="97"/>
      <c r="C172" s="71" t="s">
        <v>52</v>
      </c>
      <c r="D172" s="116" t="s">
        <v>329</v>
      </c>
      <c r="E172" s="72">
        <f>SUM(E166:E171)</f>
        <v>514463159081.96002</v>
      </c>
      <c r="F172" s="73">
        <f>(E172/$E$241)</f>
        <v>5.5023677836194225E-2</v>
      </c>
      <c r="G172" s="142"/>
      <c r="H172" s="74"/>
      <c r="I172" s="74"/>
      <c r="J172" s="98"/>
      <c r="K172" s="76">
        <f>SUM(K166:K171)</f>
        <v>232030</v>
      </c>
      <c r="L172" s="99"/>
      <c r="M172" s="99"/>
      <c r="N172" s="142"/>
      <c r="O172" s="72">
        <f>SUM(O166:O171)</f>
        <v>514799543384.96002</v>
      </c>
      <c r="P172" s="73">
        <f>(O172/$O$241)</f>
        <v>5.4929776355214892E-2</v>
      </c>
      <c r="Q172" s="144"/>
      <c r="R172" s="74"/>
      <c r="S172" s="74"/>
      <c r="T172" s="98"/>
      <c r="U172" s="76">
        <f>SUM(U166:U171)</f>
        <v>232030</v>
      </c>
      <c r="V172" s="99"/>
      <c r="W172" s="99"/>
      <c r="X172" s="156">
        <f t="shared" si="119"/>
        <v>6.5385498856762657E-4</v>
      </c>
      <c r="Y172" s="156" t="e">
        <f t="shared" si="126"/>
        <v>#DIV/0!</v>
      </c>
      <c r="Z172" s="156">
        <f t="shared" si="126"/>
        <v>0</v>
      </c>
      <c r="AA172" s="156">
        <f t="shared" si="127"/>
        <v>0</v>
      </c>
      <c r="AB172" s="157">
        <f t="shared" si="127"/>
        <v>0</v>
      </c>
    </row>
    <row r="173" spans="1:31" ht="5.25" customHeight="1">
      <c r="B173" s="226"/>
      <c r="C173" s="226"/>
      <c r="D173" s="226"/>
      <c r="E173" s="226"/>
      <c r="F173" s="226"/>
      <c r="G173" s="226"/>
      <c r="H173" s="226"/>
      <c r="I173" s="226"/>
      <c r="J173" s="226"/>
      <c r="K173" s="226"/>
      <c r="L173" s="226"/>
      <c r="M173" s="226"/>
      <c r="N173" s="226"/>
      <c r="O173" s="226"/>
      <c r="P173" s="226"/>
      <c r="Q173" s="226"/>
      <c r="R173" s="226"/>
      <c r="S173" s="226"/>
      <c r="T173" s="226"/>
      <c r="U173" s="226"/>
      <c r="V173" s="226"/>
      <c r="W173" s="226"/>
      <c r="X173" s="226"/>
      <c r="Y173" s="226"/>
      <c r="Z173" s="226"/>
      <c r="AA173" s="226"/>
      <c r="AB173" s="226"/>
    </row>
    <row r="174" spans="1:31" ht="15" customHeight="1">
      <c r="A174" s="162"/>
      <c r="B174" s="228" t="s">
        <v>203</v>
      </c>
      <c r="C174" s="228"/>
      <c r="D174" s="228"/>
      <c r="E174" s="228"/>
      <c r="F174" s="228"/>
      <c r="G174" s="228"/>
      <c r="H174" s="228"/>
      <c r="I174" s="228"/>
      <c r="J174" s="228"/>
      <c r="K174" s="228"/>
      <c r="L174" s="228"/>
      <c r="M174" s="228"/>
      <c r="N174" s="228"/>
      <c r="O174" s="228"/>
      <c r="P174" s="228"/>
      <c r="Q174" s="228"/>
      <c r="R174" s="228"/>
      <c r="S174" s="228"/>
      <c r="T174" s="228"/>
      <c r="U174" s="228"/>
      <c r="V174" s="228"/>
      <c r="W174" s="228"/>
      <c r="X174" s="228"/>
      <c r="Y174" s="228"/>
      <c r="Z174" s="228"/>
      <c r="AA174" s="228"/>
      <c r="AB174" s="228"/>
    </row>
    <row r="175" spans="1:31" ht="13.8" customHeight="1">
      <c r="A175" s="217">
        <v>151</v>
      </c>
      <c r="B175" s="55" t="s">
        <v>204</v>
      </c>
      <c r="C175" s="56" t="s">
        <v>56</v>
      </c>
      <c r="D175" s="142" t="s">
        <v>329</v>
      </c>
      <c r="E175" s="61">
        <v>1042367273.88</v>
      </c>
      <c r="F175" s="62">
        <f t="shared" ref="F175:F203" si="128">(E175/$E$206)</f>
        <v>6.7515679478980248E-3</v>
      </c>
      <c r="G175" s="142" t="s">
        <v>329</v>
      </c>
      <c r="H175" s="61">
        <v>9.5710999999999995</v>
      </c>
      <c r="I175" s="142" t="s">
        <v>329</v>
      </c>
      <c r="J175" s="61">
        <v>9.7696000000000005</v>
      </c>
      <c r="K175" s="59">
        <v>12012</v>
      </c>
      <c r="L175" s="60">
        <v>7.1000000000000005E-5</v>
      </c>
      <c r="M175" s="60">
        <v>2.2039999999999998E-3</v>
      </c>
      <c r="N175" s="142" t="s">
        <v>329</v>
      </c>
      <c r="O175" s="61">
        <v>1038301963.87</v>
      </c>
      <c r="P175" s="84">
        <f t="shared" ref="P175:P203" si="129">(O175/$O$206)</f>
        <v>6.6173463234400452E-3</v>
      </c>
      <c r="Q175" s="142" t="s">
        <v>329</v>
      </c>
      <c r="R175" s="61">
        <v>9.51</v>
      </c>
      <c r="S175" s="142" t="s">
        <v>329</v>
      </c>
      <c r="T175" s="61">
        <v>9.7100000000000009</v>
      </c>
      <c r="U175" s="59">
        <v>12013</v>
      </c>
      <c r="V175" s="60">
        <v>-6.3999999999999997E-5</v>
      </c>
      <c r="W175" s="60">
        <v>2.127E-3</v>
      </c>
      <c r="X175" s="156">
        <f>((O175-E175)/E175)</f>
        <v>-3.9000744860951952E-3</v>
      </c>
      <c r="Y175" s="156">
        <f t="shared" ref="Y175:Z179" si="130">((T175-J175)/J175)</f>
        <v>-6.1005568293481466E-3</v>
      </c>
      <c r="Z175" s="156">
        <f t="shared" si="130"/>
        <v>8.325008325008325E-5</v>
      </c>
      <c r="AA175" s="156">
        <f t="shared" ref="AA175:AB179" si="131">V175-L175</f>
        <v>-1.35E-4</v>
      </c>
      <c r="AB175" s="157">
        <f t="shared" si="131"/>
        <v>-7.6999999999999812E-5</v>
      </c>
      <c r="AD175" s="40"/>
    </row>
    <row r="176" spans="1:31" ht="14.4" customHeight="1">
      <c r="A176" s="217">
        <v>152</v>
      </c>
      <c r="B176" s="55" t="s">
        <v>205</v>
      </c>
      <c r="C176" s="55" t="s">
        <v>206</v>
      </c>
      <c r="D176" s="142" t="s">
        <v>329</v>
      </c>
      <c r="E176" s="61">
        <v>3303105423.5799999</v>
      </c>
      <c r="F176" s="62">
        <f t="shared" si="128"/>
        <v>2.1394705364606661E-2</v>
      </c>
      <c r="G176" s="142" t="s">
        <v>329</v>
      </c>
      <c r="H176" s="61">
        <v>3145.09</v>
      </c>
      <c r="I176" s="142" t="s">
        <v>329</v>
      </c>
      <c r="J176" s="61">
        <v>3168.02</v>
      </c>
      <c r="K176" s="59">
        <v>261</v>
      </c>
      <c r="L176" s="60">
        <v>2.7900000000000001E-2</v>
      </c>
      <c r="M176" s="60">
        <v>0.432</v>
      </c>
      <c r="N176" s="142" t="s">
        <v>329</v>
      </c>
      <c r="O176" s="61">
        <v>3303105423.5824699</v>
      </c>
      <c r="P176" s="84">
        <f t="shared" si="129"/>
        <v>2.1051479522593893E-2</v>
      </c>
      <c r="Q176" s="142" t="s">
        <v>329</v>
      </c>
      <c r="R176" s="61">
        <v>3188.1961116571902</v>
      </c>
      <c r="S176" s="142" t="s">
        <v>329</v>
      </c>
      <c r="T176" s="61">
        <v>3211.5248729234399</v>
      </c>
      <c r="U176" s="59">
        <v>263</v>
      </c>
      <c r="V176" s="60">
        <v>4.2024007988025601E-2</v>
      </c>
      <c r="W176" s="60">
        <v>0.45164234703360001</v>
      </c>
      <c r="X176" s="156">
        <f>((O176-E176)/E176)</f>
        <v>7.4778614750210215E-13</v>
      </c>
      <c r="Y176" s="156">
        <f t="shared" si="130"/>
        <v>1.3732512081186345E-2</v>
      </c>
      <c r="Z176" s="156">
        <f t="shared" si="130"/>
        <v>7.6628352490421452E-3</v>
      </c>
      <c r="AA176" s="156">
        <f t="shared" si="131"/>
        <v>1.41240079880256E-2</v>
      </c>
      <c r="AB176" s="157">
        <f t="shared" si="131"/>
        <v>1.9642347033600016E-2</v>
      </c>
      <c r="AD176" s="48"/>
      <c r="AE176" s="48"/>
    </row>
    <row r="177" spans="1:33" ht="14.4" customHeight="1">
      <c r="A177" s="217">
        <v>153</v>
      </c>
      <c r="B177" s="55" t="s">
        <v>343</v>
      </c>
      <c r="C177" s="55" t="s">
        <v>344</v>
      </c>
      <c r="D177" s="142" t="s">
        <v>329</v>
      </c>
      <c r="E177" s="61">
        <v>106832052.84999999</v>
      </c>
      <c r="F177" s="62">
        <f t="shared" si="128"/>
        <v>6.9196710401831353E-4</v>
      </c>
      <c r="G177" s="142" t="s">
        <v>329</v>
      </c>
      <c r="H177" s="61">
        <v>957.24</v>
      </c>
      <c r="I177" s="142" t="s">
        <v>329</v>
      </c>
      <c r="J177" s="61">
        <v>971.89</v>
      </c>
      <c r="K177" s="59">
        <v>18</v>
      </c>
      <c r="L177" s="60">
        <v>9.9000000000000008E-3</v>
      </c>
      <c r="M177" s="60">
        <v>-1.6999999999999999E-3</v>
      </c>
      <c r="N177" s="142" t="s">
        <v>329</v>
      </c>
      <c r="O177" s="61">
        <v>108549189.01000001</v>
      </c>
      <c r="P177" s="84">
        <f t="shared" si="129"/>
        <v>6.9180989904942273E-4</v>
      </c>
      <c r="Q177" s="142" t="s">
        <v>329</v>
      </c>
      <c r="R177" s="61">
        <v>971.5</v>
      </c>
      <c r="S177" s="142" t="s">
        <v>329</v>
      </c>
      <c r="T177" s="61">
        <v>987.48</v>
      </c>
      <c r="U177" s="59">
        <v>18</v>
      </c>
      <c r="V177" s="60">
        <v>7.7999999999999996E-3</v>
      </c>
      <c r="W177" s="60">
        <v>1.5100000000000001E-2</v>
      </c>
      <c r="X177" s="156">
        <f>((O177-E177)/E177)</f>
        <v>1.6073230029670926E-2</v>
      </c>
      <c r="Y177" s="156">
        <f>((T177-J177)/J177)</f>
        <v>1.6040909979524464E-2</v>
      </c>
      <c r="Z177" s="156">
        <f>((U177-K177)/K177)</f>
        <v>0</v>
      </c>
      <c r="AA177" s="156">
        <f>V177-L177</f>
        <v>-2.1000000000000012E-3</v>
      </c>
      <c r="AB177" s="157">
        <f>W177-M177</f>
        <v>1.6799999999999999E-2</v>
      </c>
      <c r="AD177" s="48"/>
      <c r="AE177" s="169"/>
    </row>
    <row r="178" spans="1:33" ht="14.4" customHeight="1">
      <c r="A178" s="219">
        <v>154</v>
      </c>
      <c r="B178" s="55" t="s">
        <v>207</v>
      </c>
      <c r="C178" s="56" t="s">
        <v>23</v>
      </c>
      <c r="D178" s="142" t="s">
        <v>329</v>
      </c>
      <c r="E178" s="61">
        <v>16314709768.889999</v>
      </c>
      <c r="F178" s="62">
        <f t="shared" si="128"/>
        <v>0.10567280296980741</v>
      </c>
      <c r="G178" s="142" t="s">
        <v>329</v>
      </c>
      <c r="H178" s="61">
        <v>1409.9565</v>
      </c>
      <c r="I178" s="142" t="s">
        <v>329</v>
      </c>
      <c r="J178" s="61">
        <v>1451.8383799999999</v>
      </c>
      <c r="K178" s="59">
        <v>23769</v>
      </c>
      <c r="L178" s="60">
        <v>9.2999999999999992E-3</v>
      </c>
      <c r="M178" s="60">
        <v>0.33579999999999999</v>
      </c>
      <c r="N178" s="142" t="s">
        <v>329</v>
      </c>
      <c r="O178" s="61">
        <v>16558479820.700001</v>
      </c>
      <c r="P178" s="84">
        <f t="shared" si="129"/>
        <v>0.105531145443335</v>
      </c>
      <c r="Q178" s="142" t="s">
        <v>329</v>
      </c>
      <c r="R178" s="61">
        <v>1421.33</v>
      </c>
      <c r="S178" s="142" t="s">
        <v>329</v>
      </c>
      <c r="T178" s="61">
        <v>1463.55</v>
      </c>
      <c r="U178" s="59">
        <v>23813</v>
      </c>
      <c r="V178" s="60">
        <v>8.0999999999999996E-3</v>
      </c>
      <c r="W178" s="60">
        <v>0.34649999999999997</v>
      </c>
      <c r="X178" s="156">
        <f t="shared" ref="X178:X203" si="132">((O178-E178)/E178)</f>
        <v>1.4941733886975957E-2</v>
      </c>
      <c r="Y178" s="156">
        <f t="shared" si="130"/>
        <v>8.0667518928656777E-3</v>
      </c>
      <c r="Z178" s="156">
        <f t="shared" si="130"/>
        <v>1.851150658420632E-3</v>
      </c>
      <c r="AA178" s="156">
        <f t="shared" si="131"/>
        <v>-1.1999999999999997E-3</v>
      </c>
      <c r="AB178" s="157">
        <f t="shared" si="131"/>
        <v>1.0699999999999987E-2</v>
      </c>
      <c r="AD178" s="48"/>
      <c r="AE178" s="40"/>
    </row>
    <row r="179" spans="1:33" ht="13.2" customHeight="1">
      <c r="A179" s="217">
        <v>155</v>
      </c>
      <c r="B179" s="55" t="s">
        <v>208</v>
      </c>
      <c r="C179" s="56" t="s">
        <v>128</v>
      </c>
      <c r="D179" s="142" t="s">
        <v>329</v>
      </c>
      <c r="E179" s="67">
        <v>3693675526.75</v>
      </c>
      <c r="F179" s="62">
        <f t="shared" si="128"/>
        <v>2.3924486043689425E-2</v>
      </c>
      <c r="G179" s="142" t="s">
        <v>329</v>
      </c>
      <c r="H179" s="61">
        <v>8.6491000000000007</v>
      </c>
      <c r="I179" s="142" t="s">
        <v>329</v>
      </c>
      <c r="J179" s="61">
        <v>8.8676999999999992</v>
      </c>
      <c r="K179" s="63">
        <v>2741</v>
      </c>
      <c r="L179" s="64">
        <v>7.0000000000000001E-3</v>
      </c>
      <c r="M179" s="64">
        <v>0.44319999999999998</v>
      </c>
      <c r="N179" s="142" t="s">
        <v>329</v>
      </c>
      <c r="O179" s="67">
        <v>3834248521.9699998</v>
      </c>
      <c r="P179" s="84">
        <f t="shared" si="129"/>
        <v>2.4436581305735023E-2</v>
      </c>
      <c r="Q179" s="142" t="s">
        <v>329</v>
      </c>
      <c r="R179" s="61">
        <v>8.9771999999999998</v>
      </c>
      <c r="S179" s="142" t="s">
        <v>329</v>
      </c>
      <c r="T179" s="61">
        <v>9.2062000000000008</v>
      </c>
      <c r="U179" s="63">
        <v>2741</v>
      </c>
      <c r="V179" s="64">
        <v>3.8199999999999998E-2</v>
      </c>
      <c r="W179" s="64">
        <v>0.49830000000000002</v>
      </c>
      <c r="X179" s="156">
        <f t="shared" si="132"/>
        <v>3.8057754180613558E-2</v>
      </c>
      <c r="Y179" s="156">
        <f t="shared" si="130"/>
        <v>3.8172243084452745E-2</v>
      </c>
      <c r="Z179" s="156">
        <f t="shared" si="130"/>
        <v>0</v>
      </c>
      <c r="AA179" s="156">
        <f t="shared" si="131"/>
        <v>3.1199999999999999E-2</v>
      </c>
      <c r="AB179" s="157">
        <f t="shared" si="131"/>
        <v>5.5100000000000038E-2</v>
      </c>
      <c r="AC179" s="40"/>
      <c r="AD179" s="40"/>
      <c r="AE179" s="40"/>
      <c r="AG179" s="48"/>
    </row>
    <row r="180" spans="1:33" ht="15.6" customHeight="1">
      <c r="A180" s="217">
        <v>156</v>
      </c>
      <c r="B180" s="55" t="s">
        <v>209</v>
      </c>
      <c r="C180" s="56" t="s">
        <v>27</v>
      </c>
      <c r="D180" s="142" t="s">
        <v>329</v>
      </c>
      <c r="E180" s="67">
        <v>3927257980.5500002</v>
      </c>
      <c r="F180" s="62">
        <f t="shared" si="128"/>
        <v>2.543743435642493E-2</v>
      </c>
      <c r="G180" s="142" t="s">
        <v>329</v>
      </c>
      <c r="H180" s="61">
        <v>1.7542</v>
      </c>
      <c r="I180" s="142" t="s">
        <v>329</v>
      </c>
      <c r="J180" s="61">
        <v>1.7679</v>
      </c>
      <c r="K180" s="63">
        <v>820</v>
      </c>
      <c r="L180" s="64">
        <v>5.9999999999999995E-4</v>
      </c>
      <c r="M180" s="64">
        <v>0.41060000000000002</v>
      </c>
      <c r="N180" s="142" t="s">
        <v>329</v>
      </c>
      <c r="O180" s="67">
        <v>4184759149.5599999</v>
      </c>
      <c r="P180" s="84">
        <f t="shared" si="129"/>
        <v>2.6670469224201639E-2</v>
      </c>
      <c r="Q180" s="142" t="s">
        <v>329</v>
      </c>
      <c r="R180" s="61">
        <v>1.7776000000000001</v>
      </c>
      <c r="S180" s="142" t="s">
        <v>329</v>
      </c>
      <c r="T180" s="61">
        <v>1.7917000000000001</v>
      </c>
      <c r="U180" s="63">
        <v>842</v>
      </c>
      <c r="V180" s="64">
        <v>1.34E-2</v>
      </c>
      <c r="W180" s="64">
        <v>0.42949999999999999</v>
      </c>
      <c r="X180" s="156">
        <f t="shared" ref="X180" si="133">((O180-E180)/E180)</f>
        <v>6.5567673497715445E-2</v>
      </c>
      <c r="Y180" s="156">
        <f t="shared" ref="Y180" si="134">((T180-J180)/J180)</f>
        <v>1.3462299903840739E-2</v>
      </c>
      <c r="Z180" s="156">
        <f t="shared" ref="Z180" si="135">((U180-K180)/K180)</f>
        <v>2.6829268292682926E-2</v>
      </c>
      <c r="AA180" s="156">
        <f t="shared" ref="AA180" si="136">V180-L180</f>
        <v>1.2800000000000001E-2</v>
      </c>
      <c r="AB180" s="157">
        <f t="shared" ref="AB180" si="137">W180-M180</f>
        <v>1.8899999999999972E-2</v>
      </c>
      <c r="AD180" s="48"/>
      <c r="AE180" s="48"/>
    </row>
    <row r="181" spans="1:33" ht="14.4" customHeight="1">
      <c r="A181" s="217">
        <v>157</v>
      </c>
      <c r="B181" s="55" t="s">
        <v>210</v>
      </c>
      <c r="C181" s="56" t="s">
        <v>67</v>
      </c>
      <c r="D181" s="142" t="s">
        <v>329</v>
      </c>
      <c r="E181" s="61">
        <v>11141404151.6</v>
      </c>
      <c r="F181" s="62">
        <f t="shared" si="128"/>
        <v>7.2164532645506194E-2</v>
      </c>
      <c r="G181" s="142" t="s">
        <v>329</v>
      </c>
      <c r="H181" s="61">
        <v>14237.54</v>
      </c>
      <c r="I181" s="142" t="s">
        <v>329</v>
      </c>
      <c r="J181" s="61">
        <v>14341.22</v>
      </c>
      <c r="K181" s="63">
        <v>1659</v>
      </c>
      <c r="L181" s="64">
        <v>1.17E-2</v>
      </c>
      <c r="M181" s="64">
        <v>0.27460000000000001</v>
      </c>
      <c r="N181" s="142" t="s">
        <v>329</v>
      </c>
      <c r="O181" s="61">
        <v>11346433176.870001</v>
      </c>
      <c r="P181" s="84">
        <f t="shared" si="129"/>
        <v>7.2313527740297728E-2</v>
      </c>
      <c r="Q181" s="142" t="s">
        <v>329</v>
      </c>
      <c r="R181" s="61">
        <v>14336.72</v>
      </c>
      <c r="S181" s="142" t="s">
        <v>329</v>
      </c>
      <c r="T181" s="61">
        <v>14440.43</v>
      </c>
      <c r="U181" s="63">
        <v>1664</v>
      </c>
      <c r="V181" s="64">
        <v>0.36320000000000002</v>
      </c>
      <c r="W181" s="64">
        <v>0.50509999999999999</v>
      </c>
      <c r="X181" s="156">
        <f t="shared" si="132"/>
        <v>1.8402440345955545E-2</v>
      </c>
      <c r="Y181" s="156">
        <f t="shared" ref="Y181:Y193" si="138">((T181-J181)/J181)</f>
        <v>6.9178214963581163E-3</v>
      </c>
      <c r="Z181" s="156">
        <f t="shared" ref="Z181:Z193" si="139">((U181-K181)/K181)</f>
        <v>3.0138637733574444E-3</v>
      </c>
      <c r="AA181" s="156">
        <f t="shared" ref="AA181:AA193" si="140">V181-L181</f>
        <v>0.35150000000000003</v>
      </c>
      <c r="AB181" s="157">
        <f t="shared" ref="AB181:AB193" si="141">W181-M181</f>
        <v>0.23049999999999998</v>
      </c>
      <c r="AD181" s="40"/>
      <c r="AE181" s="40"/>
      <c r="AG181" s="48"/>
    </row>
    <row r="182" spans="1:33" ht="15" customHeight="1">
      <c r="A182" s="217">
        <v>158</v>
      </c>
      <c r="B182" s="55" t="s">
        <v>211</v>
      </c>
      <c r="C182" s="56" t="s">
        <v>69</v>
      </c>
      <c r="D182" s="142" t="s">
        <v>329</v>
      </c>
      <c r="E182" s="61">
        <v>3461724041.3400002</v>
      </c>
      <c r="F182" s="62">
        <f t="shared" si="128"/>
        <v>2.2422101755920836E-2</v>
      </c>
      <c r="G182" s="142" t="s">
        <v>329</v>
      </c>
      <c r="H182" s="61">
        <v>298.22000000000003</v>
      </c>
      <c r="I182" s="142" t="s">
        <v>329</v>
      </c>
      <c r="J182" s="61">
        <v>300.26</v>
      </c>
      <c r="K182" s="63">
        <v>508</v>
      </c>
      <c r="L182" s="64">
        <v>4.4000000000000003E-3</v>
      </c>
      <c r="M182" s="64">
        <v>0.3322</v>
      </c>
      <c r="N182" s="142" t="s">
        <v>329</v>
      </c>
      <c r="O182" s="61">
        <v>3581688413.3200002</v>
      </c>
      <c r="P182" s="84">
        <f t="shared" si="129"/>
        <v>2.2826955431395502E-2</v>
      </c>
      <c r="Q182" s="142" t="s">
        <v>329</v>
      </c>
      <c r="R182" s="61">
        <v>301.27999999999997</v>
      </c>
      <c r="S182" s="142" t="s">
        <v>329</v>
      </c>
      <c r="T182" s="61">
        <v>303.32</v>
      </c>
      <c r="U182" s="63">
        <v>508</v>
      </c>
      <c r="V182" s="64">
        <v>1.0200000000000001E-2</v>
      </c>
      <c r="W182" s="64">
        <v>0.34539999999999998</v>
      </c>
      <c r="X182" s="156">
        <f t="shared" si="132"/>
        <v>3.4654516231618207E-2</v>
      </c>
      <c r="Y182" s="156">
        <f t="shared" si="138"/>
        <v>1.0191167654699268E-2</v>
      </c>
      <c r="Z182" s="156">
        <f t="shared" si="139"/>
        <v>0</v>
      </c>
      <c r="AA182" s="156">
        <f t="shared" si="140"/>
        <v>5.8000000000000005E-3</v>
      </c>
      <c r="AB182" s="157">
        <f t="shared" si="141"/>
        <v>1.319999999999999E-2</v>
      </c>
    </row>
    <row r="183" spans="1:33" ht="14.4" customHeight="1">
      <c r="A183" s="217">
        <v>159</v>
      </c>
      <c r="B183" s="55" t="s">
        <v>212</v>
      </c>
      <c r="C183" s="56" t="s">
        <v>213</v>
      </c>
      <c r="D183" s="142" t="s">
        <v>329</v>
      </c>
      <c r="E183" s="61">
        <v>6479050108.6099997</v>
      </c>
      <c r="F183" s="62">
        <f t="shared" si="128"/>
        <v>4.1965771702798478E-2</v>
      </c>
      <c r="G183" s="142" t="s">
        <v>329</v>
      </c>
      <c r="H183" s="61">
        <v>2.6756000000000002</v>
      </c>
      <c r="I183" s="142" t="s">
        <v>329</v>
      </c>
      <c r="J183" s="61">
        <v>2.7212000000000001</v>
      </c>
      <c r="K183" s="63">
        <v>6083</v>
      </c>
      <c r="L183" s="64">
        <v>1.1900000000000001E-2</v>
      </c>
      <c r="M183" s="64">
        <v>0.3584</v>
      </c>
      <c r="N183" s="142" t="s">
        <v>329</v>
      </c>
      <c r="O183" s="61">
        <v>6673848054.3800001</v>
      </c>
      <c r="P183" s="84">
        <f t="shared" si="129"/>
        <v>4.2534027116006123E-2</v>
      </c>
      <c r="Q183" s="142" t="s">
        <v>329</v>
      </c>
      <c r="R183" s="61">
        <v>2.7115999999999998</v>
      </c>
      <c r="S183" s="142" t="s">
        <v>329</v>
      </c>
      <c r="T183" s="61">
        <v>2.758</v>
      </c>
      <c r="U183" s="63">
        <v>6167</v>
      </c>
      <c r="V183" s="64">
        <v>1.35E-2</v>
      </c>
      <c r="W183" s="64">
        <v>0.37530000000000002</v>
      </c>
      <c r="X183" s="156">
        <f t="shared" si="132"/>
        <v>3.006581867782343E-2</v>
      </c>
      <c r="Y183" s="156">
        <f t="shared" si="138"/>
        <v>1.352344553873289E-2</v>
      </c>
      <c r="Z183" s="156">
        <f t="shared" si="139"/>
        <v>1.3808975834292289E-2</v>
      </c>
      <c r="AA183" s="156">
        <f t="shared" si="140"/>
        <v>1.599999999999999E-3</v>
      </c>
      <c r="AB183" s="157">
        <f t="shared" si="141"/>
        <v>1.6900000000000026E-2</v>
      </c>
    </row>
    <row r="184" spans="1:33" ht="15.6" customHeight="1">
      <c r="A184" s="217">
        <v>160</v>
      </c>
      <c r="B184" s="55" t="s">
        <v>214</v>
      </c>
      <c r="C184" s="56" t="s">
        <v>29</v>
      </c>
      <c r="D184" s="142" t="s">
        <v>329</v>
      </c>
      <c r="E184" s="78">
        <v>1428931682.49</v>
      </c>
      <c r="F184" s="62">
        <f t="shared" si="128"/>
        <v>9.2554031472270974E-3</v>
      </c>
      <c r="G184" s="142" t="s">
        <v>329</v>
      </c>
      <c r="H184" s="61">
        <v>290.6728</v>
      </c>
      <c r="I184" s="142" t="s">
        <v>329</v>
      </c>
      <c r="J184" s="61">
        <v>292.08730000000003</v>
      </c>
      <c r="K184" s="63">
        <v>241</v>
      </c>
      <c r="L184" s="64">
        <v>2E-3</v>
      </c>
      <c r="M184" s="64">
        <v>0.3775</v>
      </c>
      <c r="N184" s="142" t="s">
        <v>329</v>
      </c>
      <c r="O184" s="78">
        <v>1584131615.95</v>
      </c>
      <c r="P184" s="84">
        <f t="shared" si="129"/>
        <v>1.0096049019863317E-2</v>
      </c>
      <c r="Q184" s="142" t="s">
        <v>329</v>
      </c>
      <c r="R184" s="61">
        <v>299.17869999999999</v>
      </c>
      <c r="S184" s="142" t="s">
        <v>329</v>
      </c>
      <c r="T184" s="61">
        <v>300.5548</v>
      </c>
      <c r="U184" s="63">
        <v>254</v>
      </c>
      <c r="V184" s="64">
        <v>7.2639999999999996E-3</v>
      </c>
      <c r="W184" s="64">
        <v>0.41749999999999998</v>
      </c>
      <c r="X184" s="156">
        <f t="shared" si="132"/>
        <v>0.10861256375081191</v>
      </c>
      <c r="Y184" s="156">
        <f t="shared" si="138"/>
        <v>2.8989620568918854E-2</v>
      </c>
      <c r="Z184" s="156">
        <f t="shared" si="139"/>
        <v>5.3941908713692949E-2</v>
      </c>
      <c r="AA184" s="156">
        <f t="shared" si="140"/>
        <v>5.2639999999999996E-3</v>
      </c>
      <c r="AB184" s="157">
        <f t="shared" si="141"/>
        <v>3.999999999999998E-2</v>
      </c>
    </row>
    <row r="185" spans="1:33" ht="13.8" customHeight="1">
      <c r="A185" s="219">
        <v>161</v>
      </c>
      <c r="B185" s="55" t="s">
        <v>215</v>
      </c>
      <c r="C185" s="56" t="s">
        <v>75</v>
      </c>
      <c r="D185" s="142" t="s">
        <v>329</v>
      </c>
      <c r="E185" s="78">
        <v>2909885744.8800001</v>
      </c>
      <c r="F185" s="62">
        <f t="shared" si="128"/>
        <v>1.8847762990531983E-2</v>
      </c>
      <c r="G185" s="142" t="s">
        <v>329</v>
      </c>
      <c r="H185" s="61">
        <v>209.34</v>
      </c>
      <c r="I185" s="142" t="s">
        <v>329</v>
      </c>
      <c r="J185" s="61">
        <v>210.4</v>
      </c>
      <c r="K185" s="63">
        <v>190</v>
      </c>
      <c r="L185" s="64">
        <v>5.5199999999999999E-2</v>
      </c>
      <c r="M185" s="64">
        <v>0.2606</v>
      </c>
      <c r="N185" s="142" t="s">
        <v>329</v>
      </c>
      <c r="O185" s="78">
        <v>2944900630.6399999</v>
      </c>
      <c r="P185" s="84">
        <f t="shared" si="129"/>
        <v>1.8768554851256919E-2</v>
      </c>
      <c r="Q185" s="142" t="s">
        <v>329</v>
      </c>
      <c r="R185" s="61">
        <v>208.42</v>
      </c>
      <c r="S185" s="142" t="s">
        <v>329</v>
      </c>
      <c r="T185" s="61">
        <v>209.59</v>
      </c>
      <c r="U185" s="63">
        <v>190</v>
      </c>
      <c r="V185" s="64">
        <v>5.0000000000000001E-3</v>
      </c>
      <c r="W185" s="64">
        <v>0.25569999999999998</v>
      </c>
      <c r="X185" s="156">
        <f t="shared" si="132"/>
        <v>1.2033079244299924E-2</v>
      </c>
      <c r="Y185" s="156">
        <f t="shared" si="138"/>
        <v>-3.8498098859315695E-3</v>
      </c>
      <c r="Z185" s="156">
        <f t="shared" si="139"/>
        <v>0</v>
      </c>
      <c r="AA185" s="156">
        <f t="shared" si="140"/>
        <v>-5.0200000000000002E-2</v>
      </c>
      <c r="AB185" s="157">
        <f t="shared" si="141"/>
        <v>-4.9000000000000155E-3</v>
      </c>
    </row>
    <row r="186" spans="1:33" ht="15.75" customHeight="1">
      <c r="A186" s="217">
        <v>162</v>
      </c>
      <c r="B186" s="55" t="s">
        <v>216</v>
      </c>
      <c r="C186" s="56" t="s">
        <v>78</v>
      </c>
      <c r="D186" s="142" t="s">
        <v>329</v>
      </c>
      <c r="E186" s="67">
        <v>1183629256.54</v>
      </c>
      <c r="F186" s="62">
        <f t="shared" si="128"/>
        <v>7.6665428308235794E-3</v>
      </c>
      <c r="G186" s="142" t="s">
        <v>329</v>
      </c>
      <c r="H186" s="61">
        <v>2.2599999999999998</v>
      </c>
      <c r="I186" s="142" t="s">
        <v>329</v>
      </c>
      <c r="J186" s="61">
        <v>2.2799999999999998</v>
      </c>
      <c r="K186" s="63">
        <v>230</v>
      </c>
      <c r="L186" s="64">
        <v>4.4999999999999997E-3</v>
      </c>
      <c r="M186" s="64">
        <v>0.43169999999999997</v>
      </c>
      <c r="N186" s="142" t="s">
        <v>329</v>
      </c>
      <c r="O186" s="67">
        <v>1185603226.76</v>
      </c>
      <c r="P186" s="84">
        <f t="shared" si="129"/>
        <v>7.5561324418733714E-3</v>
      </c>
      <c r="Q186" s="142" t="s">
        <v>329</v>
      </c>
      <c r="R186" s="61">
        <v>2.2599999999999998</v>
      </c>
      <c r="S186" s="142" t="s">
        <v>329</v>
      </c>
      <c r="T186" s="61">
        <v>2.2799999999999998</v>
      </c>
      <c r="U186" s="63">
        <v>231</v>
      </c>
      <c r="V186" s="64">
        <v>6.9999999999999999E-4</v>
      </c>
      <c r="W186" s="64">
        <v>0.436</v>
      </c>
      <c r="X186" s="156">
        <f t="shared" si="132"/>
        <v>1.6677267895272912E-3</v>
      </c>
      <c r="Y186" s="156">
        <f t="shared" si="138"/>
        <v>0</v>
      </c>
      <c r="Z186" s="156">
        <f t="shared" si="139"/>
        <v>4.3478260869565218E-3</v>
      </c>
      <c r="AA186" s="156">
        <f t="shared" si="140"/>
        <v>-3.7999999999999996E-3</v>
      </c>
      <c r="AB186" s="157">
        <f t="shared" si="141"/>
        <v>4.300000000000026E-3</v>
      </c>
      <c r="AD186" s="40"/>
    </row>
    <row r="187" spans="1:33" ht="15.6" customHeight="1">
      <c r="A187" s="217">
        <v>163</v>
      </c>
      <c r="B187" s="55" t="s">
        <v>325</v>
      </c>
      <c r="C187" s="56" t="s">
        <v>79</v>
      </c>
      <c r="D187" s="142" t="s">
        <v>329</v>
      </c>
      <c r="E187" s="61">
        <v>21442379752.52</v>
      </c>
      <c r="F187" s="62">
        <f t="shared" si="128"/>
        <v>0.13888548450384089</v>
      </c>
      <c r="G187" s="142" t="s">
        <v>329</v>
      </c>
      <c r="H187" s="61">
        <v>595.84</v>
      </c>
      <c r="I187" s="142" t="s">
        <v>329</v>
      </c>
      <c r="J187" s="61">
        <v>601.46</v>
      </c>
      <c r="K187" s="63">
        <v>5827</v>
      </c>
      <c r="L187" s="64">
        <v>3.3E-3</v>
      </c>
      <c r="M187" s="64">
        <v>0.3911</v>
      </c>
      <c r="N187" s="142" t="s">
        <v>329</v>
      </c>
      <c r="O187" s="61">
        <v>21617841520.360001</v>
      </c>
      <c r="P187" s="84">
        <f t="shared" si="129"/>
        <v>0.13777566554171966</v>
      </c>
      <c r="Q187" s="142" t="s">
        <v>329</v>
      </c>
      <c r="R187" s="61">
        <v>600.16</v>
      </c>
      <c r="S187" s="142" t="s">
        <v>329</v>
      </c>
      <c r="T187" s="61">
        <v>605.79999999999995</v>
      </c>
      <c r="U187" s="63">
        <v>5841</v>
      </c>
      <c r="V187" s="64">
        <v>7.1999999999999998E-3</v>
      </c>
      <c r="W187" s="64">
        <v>0.4012</v>
      </c>
      <c r="X187" s="156">
        <f t="shared" si="132"/>
        <v>8.1829428386734522E-3</v>
      </c>
      <c r="Y187" s="156">
        <f t="shared" si="138"/>
        <v>7.2157749476273033E-3</v>
      </c>
      <c r="Z187" s="156">
        <f t="shared" si="139"/>
        <v>2.4026085464218293E-3</v>
      </c>
      <c r="AA187" s="156">
        <f t="shared" si="140"/>
        <v>3.8999999999999998E-3</v>
      </c>
      <c r="AB187" s="157">
        <f t="shared" si="141"/>
        <v>1.0099999999999998E-2</v>
      </c>
    </row>
    <row r="188" spans="1:33" ht="13.8" customHeight="1">
      <c r="A188" s="217">
        <v>164</v>
      </c>
      <c r="B188" s="55" t="s">
        <v>217</v>
      </c>
      <c r="C188" s="56" t="s">
        <v>87</v>
      </c>
      <c r="D188" s="142" t="s">
        <v>329</v>
      </c>
      <c r="E188" s="61">
        <v>5650771855.1700001</v>
      </c>
      <c r="F188" s="62">
        <f t="shared" si="128"/>
        <v>3.6600890198939744E-2</v>
      </c>
      <c r="G188" s="142" t="s">
        <v>329</v>
      </c>
      <c r="H188" s="61">
        <v>3.8544</v>
      </c>
      <c r="I188" s="142" t="s">
        <v>329</v>
      </c>
      <c r="J188" s="61">
        <v>3.9258999999999999</v>
      </c>
      <c r="K188" s="63">
        <v>10202</v>
      </c>
      <c r="L188" s="64">
        <v>4.3E-3</v>
      </c>
      <c r="M188" s="64">
        <v>0.25869999999999999</v>
      </c>
      <c r="N188" s="142" t="s">
        <v>329</v>
      </c>
      <c r="O188" s="61">
        <v>5313289551.9399996</v>
      </c>
      <c r="P188" s="84">
        <f t="shared" si="129"/>
        <v>3.3862862929444223E-2</v>
      </c>
      <c r="Q188" s="142" t="s">
        <v>329</v>
      </c>
      <c r="R188" s="61">
        <v>3.8820999999999999</v>
      </c>
      <c r="S188" s="142" t="s">
        <v>329</v>
      </c>
      <c r="T188" s="61">
        <v>3.9598</v>
      </c>
      <c r="U188" s="63">
        <v>10201</v>
      </c>
      <c r="V188" s="64">
        <v>8.0000000000000002E-3</v>
      </c>
      <c r="W188" s="64">
        <v>0.26869999999999999</v>
      </c>
      <c r="X188" s="156">
        <f t="shared" si="132"/>
        <v>-5.9723222221621179E-2</v>
      </c>
      <c r="Y188" s="156">
        <f t="shared" si="138"/>
        <v>8.6349626837158473E-3</v>
      </c>
      <c r="Z188" s="156">
        <f t="shared" si="139"/>
        <v>-9.8019996079200158E-5</v>
      </c>
      <c r="AA188" s="156">
        <f t="shared" si="140"/>
        <v>3.7000000000000002E-3</v>
      </c>
      <c r="AB188" s="157">
        <f t="shared" si="141"/>
        <v>1.0000000000000009E-2</v>
      </c>
    </row>
    <row r="189" spans="1:33" ht="16.2" customHeight="1">
      <c r="A189" s="217">
        <v>165</v>
      </c>
      <c r="B189" s="55" t="s">
        <v>218</v>
      </c>
      <c r="C189" s="56" t="s">
        <v>89</v>
      </c>
      <c r="D189" s="142" t="s">
        <v>329</v>
      </c>
      <c r="E189" s="61">
        <v>404985724</v>
      </c>
      <c r="F189" s="62">
        <f t="shared" si="128"/>
        <v>2.6231528003914043E-3</v>
      </c>
      <c r="G189" s="142" t="s">
        <v>329</v>
      </c>
      <c r="H189" s="61">
        <v>373.34</v>
      </c>
      <c r="I189" s="142" t="s">
        <v>329</v>
      </c>
      <c r="J189" s="61">
        <v>373.34</v>
      </c>
      <c r="K189" s="63">
        <v>37</v>
      </c>
      <c r="L189" s="64">
        <v>1.89E-2</v>
      </c>
      <c r="M189" s="64">
        <v>0.40200000000000002</v>
      </c>
      <c r="N189" s="142" t="s">
        <v>329</v>
      </c>
      <c r="O189" s="61">
        <v>413268824.67000002</v>
      </c>
      <c r="P189" s="84">
        <f t="shared" si="129"/>
        <v>2.6338608927689703E-3</v>
      </c>
      <c r="Q189" s="142" t="s">
        <v>329</v>
      </c>
      <c r="R189" s="61">
        <v>381.20973860999999</v>
      </c>
      <c r="S189" s="142" t="s">
        <v>329</v>
      </c>
      <c r="T189" s="61">
        <v>381.20973860999999</v>
      </c>
      <c r="U189" s="63">
        <v>37</v>
      </c>
      <c r="V189" s="64">
        <v>2.1100000000000001E-2</v>
      </c>
      <c r="W189" s="64">
        <v>0.438</v>
      </c>
      <c r="X189" s="156">
        <f t="shared" si="132"/>
        <v>2.0452821369081189E-2</v>
      </c>
      <c r="Y189" s="156">
        <f t="shared" si="138"/>
        <v>2.1079280575346904E-2</v>
      </c>
      <c r="Z189" s="156">
        <f t="shared" si="139"/>
        <v>0</v>
      </c>
      <c r="AA189" s="156">
        <f t="shared" si="140"/>
        <v>2.2000000000000006E-3</v>
      </c>
      <c r="AB189" s="157">
        <f t="shared" si="141"/>
        <v>3.5999999999999976E-2</v>
      </c>
    </row>
    <row r="190" spans="1:33" ht="13.8" customHeight="1">
      <c r="A190" s="217">
        <v>166</v>
      </c>
      <c r="B190" s="55" t="s">
        <v>219</v>
      </c>
      <c r="C190" s="55" t="s">
        <v>91</v>
      </c>
      <c r="D190" s="142" t="s">
        <v>329</v>
      </c>
      <c r="E190" s="83">
        <v>107607774.53</v>
      </c>
      <c r="F190" s="62">
        <f t="shared" si="128"/>
        <v>6.9699156877504236E-4</v>
      </c>
      <c r="G190" s="142" t="s">
        <v>329</v>
      </c>
      <c r="H190" s="61">
        <v>1.54</v>
      </c>
      <c r="I190" s="142" t="s">
        <v>329</v>
      </c>
      <c r="J190" s="61">
        <v>1.54</v>
      </c>
      <c r="K190" s="63">
        <v>30</v>
      </c>
      <c r="L190" s="64">
        <v>-1.2999999999999999E-2</v>
      </c>
      <c r="M190" s="64">
        <v>7.2800000000000004E-2</v>
      </c>
      <c r="N190" s="142" t="s">
        <v>329</v>
      </c>
      <c r="O190" s="83">
        <v>112879789.7</v>
      </c>
      <c r="P190" s="84">
        <f t="shared" si="129"/>
        <v>7.1940985123235669E-4</v>
      </c>
      <c r="Q190" s="142" t="s">
        <v>329</v>
      </c>
      <c r="R190" s="61">
        <v>1.62</v>
      </c>
      <c r="S190" s="142" t="s">
        <v>329</v>
      </c>
      <c r="T190" s="61">
        <v>1.62</v>
      </c>
      <c r="U190" s="63">
        <v>30</v>
      </c>
      <c r="V190" s="64">
        <v>4.8399999999999999E-2</v>
      </c>
      <c r="W190" s="64">
        <v>0.12529999999999999</v>
      </c>
      <c r="X190" s="156">
        <f t="shared" si="132"/>
        <v>4.8992883581383012E-2</v>
      </c>
      <c r="Y190" s="156">
        <f t="shared" si="138"/>
        <v>5.1948051948051993E-2</v>
      </c>
      <c r="Z190" s="156">
        <f t="shared" si="139"/>
        <v>0</v>
      </c>
      <c r="AA190" s="156">
        <f t="shared" si="140"/>
        <v>6.1399999999999996E-2</v>
      </c>
      <c r="AB190" s="157">
        <f t="shared" si="141"/>
        <v>5.2499999999999991E-2</v>
      </c>
    </row>
    <row r="191" spans="1:33" ht="13.5" customHeight="1">
      <c r="A191" s="219">
        <v>167</v>
      </c>
      <c r="B191" s="55" t="s">
        <v>220</v>
      </c>
      <c r="C191" s="56" t="s">
        <v>35</v>
      </c>
      <c r="D191" s="142" t="s">
        <v>329</v>
      </c>
      <c r="E191" s="67">
        <v>14274727892.040001</v>
      </c>
      <c r="F191" s="62">
        <f t="shared" si="128"/>
        <v>9.2459536783153412E-2</v>
      </c>
      <c r="G191" s="142" t="s">
        <v>329</v>
      </c>
      <c r="H191" s="61">
        <v>7.9065000000000003</v>
      </c>
      <c r="I191" s="142" t="s">
        <v>329</v>
      </c>
      <c r="J191" s="61">
        <v>8.0474999999999994</v>
      </c>
      <c r="K191" s="63">
        <v>14504</v>
      </c>
      <c r="L191" s="64">
        <v>3.8E-3</v>
      </c>
      <c r="M191" s="64">
        <v>0.2732</v>
      </c>
      <c r="N191" s="142" t="s">
        <v>329</v>
      </c>
      <c r="O191" s="67">
        <v>14470251491.15</v>
      </c>
      <c r="P191" s="84">
        <f t="shared" si="129"/>
        <v>9.2222367708247141E-2</v>
      </c>
      <c r="Q191" s="142" t="s">
        <v>329</v>
      </c>
      <c r="R191" s="61">
        <v>7.906485</v>
      </c>
      <c r="S191" s="142" t="s">
        <v>329</v>
      </c>
      <c r="T191" s="61">
        <v>8.0475449999999995</v>
      </c>
      <c r="U191" s="63">
        <v>14817</v>
      </c>
      <c r="V191" s="64">
        <v>3.8161973696957396E-3</v>
      </c>
      <c r="W191" s="64">
        <v>0.27530901394610785</v>
      </c>
      <c r="X191" s="156">
        <f t="shared" si="132"/>
        <v>1.3697185724922175E-2</v>
      </c>
      <c r="Y191" s="156">
        <f t="shared" si="138"/>
        <v>5.5917986952560128E-6</v>
      </c>
      <c r="Z191" s="156">
        <f t="shared" si="139"/>
        <v>2.1580253723110867E-2</v>
      </c>
      <c r="AA191" s="156">
        <f t="shared" si="140"/>
        <v>1.6197369695739646E-5</v>
      </c>
      <c r="AB191" s="157">
        <f t="shared" si="141"/>
        <v>2.1090139461078516E-3</v>
      </c>
      <c r="AD191" s="40"/>
    </row>
    <row r="192" spans="1:33" ht="13.5" customHeight="1">
      <c r="A192" s="217">
        <v>168</v>
      </c>
      <c r="B192" s="55" t="s">
        <v>221</v>
      </c>
      <c r="C192" s="56" t="s">
        <v>222</v>
      </c>
      <c r="D192" s="142" t="s">
        <v>329</v>
      </c>
      <c r="E192" s="67">
        <v>175297881.25999999</v>
      </c>
      <c r="F192" s="62">
        <f t="shared" si="128"/>
        <v>1.1354304630497268E-3</v>
      </c>
      <c r="G192" s="142" t="s">
        <v>329</v>
      </c>
      <c r="H192" s="61">
        <v>3.1284000000000001</v>
      </c>
      <c r="I192" s="142" t="s">
        <v>329</v>
      </c>
      <c r="J192" s="61">
        <v>3.1461999999999999</v>
      </c>
      <c r="K192" s="63">
        <v>153</v>
      </c>
      <c r="L192" s="64">
        <v>1.9400000000000001E-2</v>
      </c>
      <c r="M192" s="64">
        <v>0.12230000000000001</v>
      </c>
      <c r="N192" s="142" t="s">
        <v>329</v>
      </c>
      <c r="O192" s="67">
        <v>175639213.72999999</v>
      </c>
      <c r="P192" s="84">
        <f t="shared" si="129"/>
        <v>1.1193906451800147E-3</v>
      </c>
      <c r="Q192" s="142" t="s">
        <v>329</v>
      </c>
      <c r="R192" s="61">
        <v>3.1341000000000001</v>
      </c>
      <c r="S192" s="142" t="s">
        <v>329</v>
      </c>
      <c r="T192" s="61">
        <v>3.1513</v>
      </c>
      <c r="U192" s="63">
        <v>153</v>
      </c>
      <c r="V192" s="64">
        <v>1.6999999999999999E-3</v>
      </c>
      <c r="W192" s="64">
        <v>0.12429999999999999</v>
      </c>
      <c r="X192" s="156">
        <f t="shared" si="132"/>
        <v>1.9471568483690801E-3</v>
      </c>
      <c r="Y192" s="156">
        <f t="shared" si="138"/>
        <v>1.6210031148687638E-3</v>
      </c>
      <c r="Z192" s="156">
        <f t="shared" si="139"/>
        <v>0</v>
      </c>
      <c r="AA192" s="156">
        <f t="shared" si="140"/>
        <v>-1.77E-2</v>
      </c>
      <c r="AB192" s="157">
        <f t="shared" si="141"/>
        <v>1.9999999999999879E-3</v>
      </c>
    </row>
    <row r="193" spans="1:31" ht="15" customHeight="1">
      <c r="A193" s="217">
        <v>169</v>
      </c>
      <c r="B193" s="55" t="s">
        <v>223</v>
      </c>
      <c r="C193" s="56" t="s">
        <v>143</v>
      </c>
      <c r="D193" s="142" t="s">
        <v>329</v>
      </c>
      <c r="E193" s="67">
        <v>2120002488.51</v>
      </c>
      <c r="F193" s="62">
        <f t="shared" si="128"/>
        <v>1.3731571596266322E-2</v>
      </c>
      <c r="G193" s="142" t="s">
        <v>329</v>
      </c>
      <c r="H193" s="61">
        <v>491.98</v>
      </c>
      <c r="I193" s="142" t="s">
        <v>329</v>
      </c>
      <c r="J193" s="61">
        <v>486.99</v>
      </c>
      <c r="K193" s="63">
        <v>324</v>
      </c>
      <c r="L193" s="64">
        <v>1.37E-4</v>
      </c>
      <c r="M193" s="64">
        <v>0.36840000000000001</v>
      </c>
      <c r="N193" s="142" t="s">
        <v>329</v>
      </c>
      <c r="O193" s="67">
        <v>2279057974.6700001</v>
      </c>
      <c r="P193" s="84">
        <f t="shared" si="129"/>
        <v>1.4524980626423517E-2</v>
      </c>
      <c r="Q193" s="142" t="s">
        <v>329</v>
      </c>
      <c r="R193" s="61">
        <v>489.03</v>
      </c>
      <c r="S193" s="142" t="s">
        <v>329</v>
      </c>
      <c r="T193" s="61">
        <v>493.71</v>
      </c>
      <c r="U193" s="63">
        <v>158</v>
      </c>
      <c r="V193" s="64">
        <v>1.37E-2</v>
      </c>
      <c r="W193" s="64">
        <v>0.37440000000000001</v>
      </c>
      <c r="X193" s="156">
        <f t="shared" si="132"/>
        <v>7.5026084649451971E-2</v>
      </c>
      <c r="Y193" s="156">
        <f t="shared" si="138"/>
        <v>1.3799051315222018E-2</v>
      </c>
      <c r="Z193" s="156">
        <f t="shared" si="139"/>
        <v>-0.51234567901234573</v>
      </c>
      <c r="AA193" s="156">
        <f t="shared" si="140"/>
        <v>1.3563E-2</v>
      </c>
      <c r="AB193" s="157">
        <f t="shared" si="141"/>
        <v>6.0000000000000053E-3</v>
      </c>
    </row>
    <row r="194" spans="1:31" ht="15.6" customHeight="1">
      <c r="A194" s="217">
        <v>170</v>
      </c>
      <c r="B194" s="55" t="s">
        <v>313</v>
      </c>
      <c r="C194" s="56" t="s">
        <v>312</v>
      </c>
      <c r="D194" s="142" t="s">
        <v>329</v>
      </c>
      <c r="E194" s="61">
        <v>53058735.090000004</v>
      </c>
      <c r="F194" s="62">
        <f t="shared" si="128"/>
        <v>3.4366932286373429E-4</v>
      </c>
      <c r="G194" s="142" t="s">
        <v>329</v>
      </c>
      <c r="H194" s="61">
        <v>1</v>
      </c>
      <c r="I194" s="142" t="s">
        <v>329</v>
      </c>
      <c r="J194" s="61">
        <v>1</v>
      </c>
      <c r="K194" s="63">
        <v>5</v>
      </c>
      <c r="L194" s="64">
        <v>2.0936E-2</v>
      </c>
      <c r="M194" s="64">
        <v>0</v>
      </c>
      <c r="N194" s="142" t="s">
        <v>329</v>
      </c>
      <c r="O194" s="61">
        <v>57463294.590000004</v>
      </c>
      <c r="P194" s="84">
        <f t="shared" si="129"/>
        <v>3.6622729650880091E-4</v>
      </c>
      <c r="Q194" s="142" t="s">
        <v>329</v>
      </c>
      <c r="R194" s="61">
        <v>1</v>
      </c>
      <c r="S194" s="142" t="s">
        <v>329</v>
      </c>
      <c r="T194" s="61">
        <v>1</v>
      </c>
      <c r="U194" s="63">
        <v>8</v>
      </c>
      <c r="V194" s="64">
        <v>8.3013000000000003E-2</v>
      </c>
      <c r="W194" s="64">
        <v>0</v>
      </c>
      <c r="X194" s="156">
        <f t="shared" ref="X194" si="142">((O194-E194)/E194)</f>
        <v>8.3012900562533923E-2</v>
      </c>
      <c r="Y194" s="156">
        <f t="shared" ref="Y194" si="143">((T194-J194)/J194)</f>
        <v>0</v>
      </c>
      <c r="Z194" s="156">
        <f t="shared" ref="Z194" si="144">((U194-K194)/K194)</f>
        <v>0.6</v>
      </c>
      <c r="AA194" s="156">
        <f t="shared" ref="AA194" si="145">V194-L194</f>
        <v>6.2077000000000007E-2</v>
      </c>
      <c r="AB194" s="157">
        <f t="shared" ref="AB194" si="146">W194-M194</f>
        <v>0</v>
      </c>
    </row>
    <row r="195" spans="1:31" ht="16.8" customHeight="1">
      <c r="A195" s="217">
        <v>171</v>
      </c>
      <c r="B195" s="55" t="s">
        <v>224</v>
      </c>
      <c r="C195" s="56" t="s">
        <v>31</v>
      </c>
      <c r="D195" s="142" t="s">
        <v>329</v>
      </c>
      <c r="E195" s="67">
        <v>2993111701.3000002</v>
      </c>
      <c r="F195" s="62">
        <f t="shared" si="128"/>
        <v>1.938682989514311E-2</v>
      </c>
      <c r="G195" s="142" t="s">
        <v>329</v>
      </c>
      <c r="H195" s="61">
        <v>552.22</v>
      </c>
      <c r="I195" s="142" t="s">
        <v>329</v>
      </c>
      <c r="J195" s="61">
        <v>552.22</v>
      </c>
      <c r="K195" s="63">
        <v>823</v>
      </c>
      <c r="L195" s="64">
        <v>1.18E-2</v>
      </c>
      <c r="M195" s="64">
        <v>0.38929999999999998</v>
      </c>
      <c r="N195" s="142" t="s">
        <v>329</v>
      </c>
      <c r="O195" s="67">
        <v>3006291953.0999999</v>
      </c>
      <c r="P195" s="84">
        <f t="shared" si="129"/>
        <v>1.9159816407247451E-2</v>
      </c>
      <c r="Q195" s="142" t="s">
        <v>329</v>
      </c>
      <c r="R195" s="61">
        <v>552.22</v>
      </c>
      <c r="S195" s="142" t="s">
        <v>329</v>
      </c>
      <c r="T195" s="61">
        <v>552.22</v>
      </c>
      <c r="U195" s="63">
        <v>823</v>
      </c>
      <c r="V195" s="64">
        <v>4.4000000000000003E-3</v>
      </c>
      <c r="W195" s="64">
        <v>0.39539999999999997</v>
      </c>
      <c r="X195" s="156">
        <f t="shared" si="132"/>
        <v>4.403528205871878E-3</v>
      </c>
      <c r="Y195" s="156">
        <f t="shared" ref="Y195:Z197" si="147">((T195-J195)/J195)</f>
        <v>0</v>
      </c>
      <c r="Z195" s="156">
        <f t="shared" si="147"/>
        <v>0</v>
      </c>
      <c r="AA195" s="156">
        <f t="shared" ref="AA195:AB197" si="148">V195-L195</f>
        <v>-7.3999999999999995E-3</v>
      </c>
      <c r="AB195" s="157">
        <f t="shared" si="148"/>
        <v>6.0999999999999943E-3</v>
      </c>
    </row>
    <row r="196" spans="1:31" ht="16.2" customHeight="1">
      <c r="A196" s="217">
        <v>172</v>
      </c>
      <c r="B196" s="55" t="s">
        <v>225</v>
      </c>
      <c r="C196" s="56" t="s">
        <v>100</v>
      </c>
      <c r="D196" s="142" t="s">
        <v>329</v>
      </c>
      <c r="E196" s="61">
        <v>87480894.760000005</v>
      </c>
      <c r="F196" s="62">
        <f t="shared" si="128"/>
        <v>5.6662677341791866E-4</v>
      </c>
      <c r="G196" s="142" t="s">
        <v>329</v>
      </c>
      <c r="H196" s="61">
        <v>3.57</v>
      </c>
      <c r="I196" s="142" t="s">
        <v>329</v>
      </c>
      <c r="J196" s="61">
        <v>3.57</v>
      </c>
      <c r="K196" s="63">
        <v>10</v>
      </c>
      <c r="L196" s="64">
        <v>-3.3E-3</v>
      </c>
      <c r="M196" s="64">
        <v>0.31990000000000002</v>
      </c>
      <c r="N196" s="142" t="s">
        <v>329</v>
      </c>
      <c r="O196" s="61">
        <v>90480894.760000005</v>
      </c>
      <c r="P196" s="84">
        <f t="shared" si="129"/>
        <v>5.7665634576091105E-4</v>
      </c>
      <c r="Q196" s="142" t="s">
        <v>329</v>
      </c>
      <c r="R196" s="61">
        <v>3.73</v>
      </c>
      <c r="S196" s="142" t="s">
        <v>329</v>
      </c>
      <c r="T196" s="61">
        <v>3.73</v>
      </c>
      <c r="U196" s="63">
        <v>10</v>
      </c>
      <c r="V196" s="64">
        <v>1.8800000000000001E-2</v>
      </c>
      <c r="W196" s="64">
        <v>0.41980000000000001</v>
      </c>
      <c r="X196" s="156">
        <f t="shared" si="132"/>
        <v>3.4293202055493015E-2</v>
      </c>
      <c r="Y196" s="156">
        <f t="shared" si="147"/>
        <v>4.4817927170868389E-2</v>
      </c>
      <c r="Z196" s="156">
        <f t="shared" si="147"/>
        <v>0</v>
      </c>
      <c r="AA196" s="156">
        <f t="shared" si="148"/>
        <v>2.2100000000000002E-2</v>
      </c>
      <c r="AB196" s="157">
        <f t="shared" si="148"/>
        <v>9.9899999999999989E-2</v>
      </c>
      <c r="AE196" s="48"/>
    </row>
    <row r="197" spans="1:31" ht="15.6" customHeight="1">
      <c r="A197" s="217">
        <v>173</v>
      </c>
      <c r="B197" s="55" t="s">
        <v>226</v>
      </c>
      <c r="C197" s="56" t="s">
        <v>42</v>
      </c>
      <c r="D197" s="142" t="s">
        <v>329</v>
      </c>
      <c r="E197" s="61">
        <v>699886873.66999996</v>
      </c>
      <c r="F197" s="62">
        <f t="shared" si="128"/>
        <v>4.5332714311298672E-3</v>
      </c>
      <c r="G197" s="142" t="s">
        <v>329</v>
      </c>
      <c r="H197" s="61">
        <v>4.22</v>
      </c>
      <c r="I197" s="142" t="s">
        <v>329</v>
      </c>
      <c r="J197" s="61">
        <v>4.24</v>
      </c>
      <c r="K197" s="63">
        <v>142</v>
      </c>
      <c r="L197" s="64">
        <v>-7.4200000000000002E-2</v>
      </c>
      <c r="M197" s="64">
        <v>1.9E-3</v>
      </c>
      <c r="N197" s="142" t="s">
        <v>329</v>
      </c>
      <c r="O197" s="61">
        <v>722891669.11000001</v>
      </c>
      <c r="P197" s="84">
        <f t="shared" si="129"/>
        <v>4.6071612067464292E-3</v>
      </c>
      <c r="Q197" s="142" t="s">
        <v>329</v>
      </c>
      <c r="R197" s="61">
        <v>5.03</v>
      </c>
      <c r="S197" s="142" t="s">
        <v>329</v>
      </c>
      <c r="T197" s="61">
        <v>5.0599999999999996</v>
      </c>
      <c r="U197" s="63">
        <v>-849.11</v>
      </c>
      <c r="V197" s="64">
        <v>4.1999999999999997E-3</v>
      </c>
      <c r="W197" s="64">
        <v>1.9E-3</v>
      </c>
      <c r="X197" s="156">
        <f t="shared" si="132"/>
        <v>3.286930546270958E-2</v>
      </c>
      <c r="Y197" s="156">
        <f t="shared" si="147"/>
        <v>0.19339622641509419</v>
      </c>
      <c r="Z197" s="156">
        <f t="shared" si="147"/>
        <v>-6.979647887323944</v>
      </c>
      <c r="AA197" s="156">
        <f t="shared" si="148"/>
        <v>7.8399999999999997E-2</v>
      </c>
      <c r="AB197" s="157">
        <f t="shared" si="148"/>
        <v>0</v>
      </c>
      <c r="AD197" s="40"/>
      <c r="AE197" s="40"/>
    </row>
    <row r="198" spans="1:31" ht="13.8" customHeight="1">
      <c r="A198" s="217">
        <v>174</v>
      </c>
      <c r="B198" s="55" t="s">
        <v>300</v>
      </c>
      <c r="C198" s="56" t="s">
        <v>301</v>
      </c>
      <c r="D198" s="142" t="s">
        <v>329</v>
      </c>
      <c r="E198" s="61">
        <v>303813493.5</v>
      </c>
      <c r="F198" s="62">
        <f t="shared" si="128"/>
        <v>1.9678452079738514E-3</v>
      </c>
      <c r="G198" s="142" t="s">
        <v>329</v>
      </c>
      <c r="H198" s="61">
        <v>148.33000000000001</v>
      </c>
      <c r="I198" s="142" t="s">
        <v>329</v>
      </c>
      <c r="J198" s="61">
        <v>149.56</v>
      </c>
      <c r="K198" s="63">
        <v>120</v>
      </c>
      <c r="L198" s="64">
        <v>5.0799999999999998E-2</v>
      </c>
      <c r="M198" s="64">
        <v>0.2868</v>
      </c>
      <c r="N198" s="142" t="s">
        <v>329</v>
      </c>
      <c r="O198" s="61">
        <v>322171503.94999999</v>
      </c>
      <c r="P198" s="62">
        <f t="shared" si="129"/>
        <v>2.0532759171855023E-3</v>
      </c>
      <c r="Q198" s="142" t="s">
        <v>329</v>
      </c>
      <c r="R198" s="61">
        <v>157.46</v>
      </c>
      <c r="S198" s="142" t="s">
        <v>329</v>
      </c>
      <c r="T198" s="61">
        <v>158.84</v>
      </c>
      <c r="U198" s="63">
        <v>121</v>
      </c>
      <c r="V198" s="64">
        <v>6.1800000000000001E-2</v>
      </c>
      <c r="W198" s="64">
        <v>0.36599999999999999</v>
      </c>
      <c r="X198" s="156">
        <f t="shared" ref="X198" si="149">((O198-E198)/E198)</f>
        <v>6.0425263665914129E-2</v>
      </c>
      <c r="Y198" s="156">
        <f t="shared" ref="Y198" si="150">((T198-J198)/J198)</f>
        <v>6.2048676116608727E-2</v>
      </c>
      <c r="Z198" s="156">
        <f t="shared" ref="Z198" si="151">((U198-K198)/K198)</f>
        <v>8.3333333333333332E-3</v>
      </c>
      <c r="AA198" s="156">
        <f t="shared" ref="AA198" si="152">V198-L198</f>
        <v>1.1000000000000003E-2</v>
      </c>
      <c r="AB198" s="157">
        <f t="shared" ref="AB198" si="153">W198-M198</f>
        <v>7.9199999999999993E-2</v>
      </c>
    </row>
    <row r="199" spans="1:31" ht="14.4" customHeight="1">
      <c r="A199" s="217">
        <v>175</v>
      </c>
      <c r="B199" s="55" t="s">
        <v>227</v>
      </c>
      <c r="C199" s="56" t="s">
        <v>46</v>
      </c>
      <c r="D199" s="142" t="s">
        <v>329</v>
      </c>
      <c r="E199" s="67">
        <v>14262197533.09</v>
      </c>
      <c r="F199" s="62">
        <f t="shared" si="128"/>
        <v>9.2378375783587902E-2</v>
      </c>
      <c r="G199" s="142" t="s">
        <v>329</v>
      </c>
      <c r="H199" s="61">
        <v>13191.31</v>
      </c>
      <c r="I199" s="142" t="s">
        <v>329</v>
      </c>
      <c r="J199" s="61">
        <v>13322.53</v>
      </c>
      <c r="K199" s="63">
        <v>8895</v>
      </c>
      <c r="L199" s="64">
        <v>2.5999999999999999E-3</v>
      </c>
      <c r="M199" s="64">
        <v>0.36899999999999999</v>
      </c>
      <c r="N199" s="142" t="s">
        <v>329</v>
      </c>
      <c r="O199" s="67">
        <v>14630441566.860001</v>
      </c>
      <c r="P199" s="62">
        <f t="shared" si="129"/>
        <v>9.3243297308149051E-2</v>
      </c>
      <c r="Q199" s="142" t="s">
        <v>329</v>
      </c>
      <c r="R199" s="61">
        <v>13511.08</v>
      </c>
      <c r="S199" s="142" t="s">
        <v>329</v>
      </c>
      <c r="T199" s="61">
        <v>13656.42</v>
      </c>
      <c r="U199" s="63">
        <v>9029</v>
      </c>
      <c r="V199" s="64">
        <v>2.5100000000000001E-2</v>
      </c>
      <c r="W199" s="64">
        <v>0.40329999999999999</v>
      </c>
      <c r="X199" s="156">
        <f t="shared" si="132"/>
        <v>2.5819585860848607E-2</v>
      </c>
      <c r="Y199" s="156">
        <f t="shared" ref="Y199:Z203" si="154">((T199-J199)/J199)</f>
        <v>2.5062056531304444E-2</v>
      </c>
      <c r="Z199" s="156">
        <f t="shared" si="154"/>
        <v>1.5064643057897696E-2</v>
      </c>
      <c r="AA199" s="156">
        <f t="shared" ref="AA199:AB203" si="155">V199-L199</f>
        <v>2.2499999999999999E-2</v>
      </c>
      <c r="AB199" s="157">
        <f t="shared" si="155"/>
        <v>3.4299999999999997E-2</v>
      </c>
    </row>
    <row r="200" spans="1:31" ht="13.2" customHeight="1">
      <c r="A200" s="217">
        <v>176</v>
      </c>
      <c r="B200" s="55" t="s">
        <v>228</v>
      </c>
      <c r="C200" s="55" t="s">
        <v>110</v>
      </c>
      <c r="D200" s="142" t="s">
        <v>329</v>
      </c>
      <c r="E200" s="67">
        <v>316379603.00999999</v>
      </c>
      <c r="F200" s="62">
        <f t="shared" si="128"/>
        <v>2.0492377692365332E-3</v>
      </c>
      <c r="G200" s="142" t="s">
        <v>329</v>
      </c>
      <c r="H200" s="61">
        <v>1897.87</v>
      </c>
      <c r="I200" s="142" t="s">
        <v>329</v>
      </c>
      <c r="J200" s="61">
        <v>1923.3</v>
      </c>
      <c r="K200" s="63">
        <v>191</v>
      </c>
      <c r="L200" s="64">
        <v>1.44E-2</v>
      </c>
      <c r="M200" s="64">
        <v>0.28120000000000001</v>
      </c>
      <c r="N200" s="142" t="s">
        <v>329</v>
      </c>
      <c r="O200" s="67">
        <v>317832347.85000002</v>
      </c>
      <c r="P200" s="62">
        <f t="shared" si="129"/>
        <v>2.0256214393319263E-3</v>
      </c>
      <c r="Q200" s="142" t="s">
        <v>329</v>
      </c>
      <c r="R200" s="61">
        <v>1919.78</v>
      </c>
      <c r="S200" s="142" t="s">
        <v>329</v>
      </c>
      <c r="T200" s="61">
        <v>1946.97</v>
      </c>
      <c r="U200" s="63">
        <v>191</v>
      </c>
      <c r="V200" s="64">
        <v>1.15E-2</v>
      </c>
      <c r="W200" s="64">
        <v>0.29709999999999998</v>
      </c>
      <c r="X200" s="156">
        <f t="shared" si="132"/>
        <v>4.591777807983771E-3</v>
      </c>
      <c r="Y200" s="156">
        <f t="shared" si="154"/>
        <v>1.2306972391202658E-2</v>
      </c>
      <c r="Z200" s="156">
        <f t="shared" si="154"/>
        <v>0</v>
      </c>
      <c r="AA200" s="156">
        <f t="shared" si="155"/>
        <v>-2.8999999999999998E-3</v>
      </c>
      <c r="AB200" s="157">
        <f t="shared" si="155"/>
        <v>1.589999999999997E-2</v>
      </c>
    </row>
    <row r="201" spans="1:31" ht="15" customHeight="1">
      <c r="A201" s="217">
        <v>177</v>
      </c>
      <c r="B201" s="55" t="s">
        <v>229</v>
      </c>
      <c r="C201" s="55" t="s">
        <v>91</v>
      </c>
      <c r="D201" s="142" t="s">
        <v>329</v>
      </c>
      <c r="E201" s="67">
        <v>871344122.04999995</v>
      </c>
      <c r="F201" s="62">
        <f t="shared" si="128"/>
        <v>5.6438255434901382E-3</v>
      </c>
      <c r="G201" s="142" t="s">
        <v>329</v>
      </c>
      <c r="H201" s="61">
        <v>1.66</v>
      </c>
      <c r="I201" s="142" t="s">
        <v>329</v>
      </c>
      <c r="J201" s="61">
        <v>1.66</v>
      </c>
      <c r="K201" s="63">
        <v>43</v>
      </c>
      <c r="L201" s="64">
        <v>2.0999999999999999E-3</v>
      </c>
      <c r="M201" s="64">
        <v>8.3199999999999996E-2</v>
      </c>
      <c r="N201" s="142" t="s">
        <v>329</v>
      </c>
      <c r="O201" s="67">
        <v>871368080</v>
      </c>
      <c r="P201" s="62">
        <f t="shared" si="129"/>
        <v>5.5534368239651697E-3</v>
      </c>
      <c r="Q201" s="142" t="s">
        <v>329</v>
      </c>
      <c r="R201" s="61">
        <v>1.66</v>
      </c>
      <c r="S201" s="142" t="s">
        <v>329</v>
      </c>
      <c r="T201" s="61">
        <v>1.66</v>
      </c>
      <c r="U201" s="63">
        <v>49</v>
      </c>
      <c r="V201" s="64">
        <v>2.0999999999999999E-3</v>
      </c>
      <c r="W201" s="64">
        <v>8.6300000000000002E-2</v>
      </c>
      <c r="X201" s="156">
        <f t="shared" si="132"/>
        <v>2.7495394062775253E-5</v>
      </c>
      <c r="Y201" s="156">
        <f t="shared" si="154"/>
        <v>0</v>
      </c>
      <c r="Z201" s="156">
        <f t="shared" si="154"/>
        <v>0.13953488372093023</v>
      </c>
      <c r="AA201" s="156">
        <f t="shared" si="155"/>
        <v>0</v>
      </c>
      <c r="AB201" s="157">
        <f t="shared" si="155"/>
        <v>3.1000000000000055E-3</v>
      </c>
    </row>
    <row r="202" spans="1:31" ht="15" customHeight="1">
      <c r="A202" s="217">
        <v>178</v>
      </c>
      <c r="B202" s="55" t="s">
        <v>230</v>
      </c>
      <c r="C202" s="56" t="s">
        <v>49</v>
      </c>
      <c r="D202" s="142" t="s">
        <v>329</v>
      </c>
      <c r="E202" s="67">
        <v>9810813057.6900005</v>
      </c>
      <c r="F202" s="62">
        <f t="shared" si="128"/>
        <v>6.3546096124603352E-2</v>
      </c>
      <c r="G202" s="142" t="s">
        <v>329</v>
      </c>
      <c r="H202" s="61">
        <v>2.7699699999999998</v>
      </c>
      <c r="I202" s="142" t="s">
        <v>329</v>
      </c>
      <c r="J202" s="61">
        <v>2.7699699999999998</v>
      </c>
      <c r="K202" s="63">
        <v>3706</v>
      </c>
      <c r="L202" s="64">
        <v>6.3E-3</v>
      </c>
      <c r="M202" s="64">
        <v>0.37340000000000001</v>
      </c>
      <c r="N202" s="142" t="s">
        <v>329</v>
      </c>
      <c r="O202" s="67">
        <v>9981519301.0699997</v>
      </c>
      <c r="P202" s="84">
        <f t="shared" si="129"/>
        <v>6.3614605719412187E-2</v>
      </c>
      <c r="Q202" s="142" t="s">
        <v>329</v>
      </c>
      <c r="R202" s="61">
        <v>2.7911999999999999</v>
      </c>
      <c r="S202" s="142" t="s">
        <v>329</v>
      </c>
      <c r="T202" s="61">
        <v>2.8073999999999999</v>
      </c>
      <c r="U202" s="63">
        <v>3748</v>
      </c>
      <c r="V202" s="64">
        <v>7.7000000000000002E-3</v>
      </c>
      <c r="W202" s="64">
        <v>0.38379999999999997</v>
      </c>
      <c r="X202" s="156">
        <f t="shared" si="132"/>
        <v>1.7399805946378178E-2</v>
      </c>
      <c r="Y202" s="156">
        <f t="shared" si="154"/>
        <v>1.3512781726877936E-2</v>
      </c>
      <c r="Z202" s="156">
        <f t="shared" si="154"/>
        <v>1.1332973556395036E-2</v>
      </c>
      <c r="AA202" s="156">
        <f t="shared" si="155"/>
        <v>1.4000000000000002E-3</v>
      </c>
      <c r="AB202" s="157">
        <f t="shared" si="155"/>
        <v>1.0399999999999965E-2</v>
      </c>
    </row>
    <row r="203" spans="1:31" ht="14.4" customHeight="1">
      <c r="A203" s="217">
        <v>179</v>
      </c>
      <c r="B203" s="55" t="s">
        <v>231</v>
      </c>
      <c r="C203" s="56" t="s">
        <v>49</v>
      </c>
      <c r="D203" s="142" t="s">
        <v>329</v>
      </c>
      <c r="E203" s="67">
        <v>4766322197.0500002</v>
      </c>
      <c r="F203" s="62">
        <f t="shared" si="128"/>
        <v>3.0872178148085582E-2</v>
      </c>
      <c r="G203" s="142" t="s">
        <v>329</v>
      </c>
      <c r="H203" s="61">
        <v>2.1395</v>
      </c>
      <c r="I203" s="142" t="s">
        <v>329</v>
      </c>
      <c r="J203" s="61">
        <v>2.1556999999999999</v>
      </c>
      <c r="K203" s="63">
        <v>2584</v>
      </c>
      <c r="L203" s="64">
        <v>-2.0999999999999999E-3</v>
      </c>
      <c r="M203" s="64">
        <v>0.36</v>
      </c>
      <c r="N203" s="142" t="s">
        <v>329</v>
      </c>
      <c r="O203" s="67">
        <v>4934333319.1000004</v>
      </c>
      <c r="P203" s="84">
        <f t="shared" si="129"/>
        <v>3.1447684376972151E-2</v>
      </c>
      <c r="Q203" s="142" t="s">
        <v>329</v>
      </c>
      <c r="R203" s="61">
        <v>2.1810999999999998</v>
      </c>
      <c r="S203" s="142" t="s">
        <v>329</v>
      </c>
      <c r="T203" s="61">
        <v>2.1974</v>
      </c>
      <c r="U203" s="63">
        <v>2658</v>
      </c>
      <c r="V203" s="64">
        <v>1.9400000000000001E-2</v>
      </c>
      <c r="W203" s="64">
        <v>0.3861</v>
      </c>
      <c r="X203" s="156">
        <f t="shared" si="132"/>
        <v>3.5249635904594658E-2</v>
      </c>
      <c r="Y203" s="156">
        <f t="shared" si="154"/>
        <v>1.9344064572992564E-2</v>
      </c>
      <c r="Z203" s="156">
        <f t="shared" si="154"/>
        <v>2.8637770897832818E-2</v>
      </c>
      <c r="AA203" s="156">
        <f t="shared" si="155"/>
        <v>2.1500000000000002E-2</v>
      </c>
      <c r="AB203" s="157">
        <f t="shared" si="155"/>
        <v>2.6100000000000012E-2</v>
      </c>
    </row>
    <row r="204" spans="1:31" ht="14.4" customHeight="1">
      <c r="A204" s="217">
        <v>180</v>
      </c>
      <c r="B204" s="55" t="s">
        <v>232</v>
      </c>
      <c r="C204" s="56" t="s">
        <v>115</v>
      </c>
      <c r="D204" s="142" t="s">
        <v>329</v>
      </c>
      <c r="E204" s="88">
        <v>13240382891.73</v>
      </c>
      <c r="F204" s="62">
        <f t="shared" ref="F204" si="156">(E204/$E$206)</f>
        <v>8.5759930294965134E-2</v>
      </c>
      <c r="G204" s="142" t="s">
        <v>329</v>
      </c>
      <c r="H204" s="61">
        <v>835.9</v>
      </c>
      <c r="I204" s="142" t="s">
        <v>329</v>
      </c>
      <c r="J204" s="61">
        <v>845.31</v>
      </c>
      <c r="K204" s="63">
        <v>43</v>
      </c>
      <c r="L204" s="64">
        <v>-2.0299999999999999E-2</v>
      </c>
      <c r="M204" s="64">
        <v>0.2157</v>
      </c>
      <c r="N204" s="142" t="s">
        <v>329</v>
      </c>
      <c r="O204" s="88">
        <v>13307284022.24</v>
      </c>
      <c r="P204" s="84">
        <f t="shared" ref="P204" si="157">(O204/$O$206)</f>
        <v>8.4810498355724656E-2</v>
      </c>
      <c r="Q204" s="142" t="s">
        <v>329</v>
      </c>
      <c r="R204" s="61">
        <v>840.11</v>
      </c>
      <c r="S204" s="142" t="s">
        <v>329</v>
      </c>
      <c r="T204" s="61">
        <v>849.59</v>
      </c>
      <c r="U204" s="63">
        <v>43</v>
      </c>
      <c r="V204" s="64">
        <v>5.1000000000000004E-3</v>
      </c>
      <c r="W204" s="64">
        <v>0.22189999999999999</v>
      </c>
      <c r="X204" s="156">
        <f t="shared" ref="X204" si="158">((O204-E204)/E204)</f>
        <v>5.0528093528010402E-3</v>
      </c>
      <c r="Y204" s="156">
        <f t="shared" ref="Y204" si="159">((T204-J204)/J204)</f>
        <v>5.0632312406100567E-3</v>
      </c>
      <c r="Z204" s="156">
        <f t="shared" ref="Z204" si="160">((U204-K204)/K204)</f>
        <v>0</v>
      </c>
      <c r="AA204" s="156">
        <f t="shared" ref="AA204" si="161">V204-L204</f>
        <v>2.5399999999999999E-2</v>
      </c>
      <c r="AB204" s="157">
        <f t="shared" ref="AB204" si="162">W204-M204</f>
        <v>6.1999999999999833E-3</v>
      </c>
    </row>
    <row r="205" spans="1:31" ht="16.2" customHeight="1">
      <c r="A205" s="217">
        <v>181</v>
      </c>
      <c r="B205" s="55" t="s">
        <v>340</v>
      </c>
      <c r="C205" s="56" t="s">
        <v>121</v>
      </c>
      <c r="D205" s="142" t="s">
        <v>329</v>
      </c>
      <c r="E205" s="61">
        <v>7815781050.3599997</v>
      </c>
      <c r="F205" s="62">
        <f>(E205/$E$206)</f>
        <v>5.0623976931833542E-2</v>
      </c>
      <c r="G205" s="142" t="s">
        <v>329</v>
      </c>
      <c r="H205" s="61">
        <v>45.537599999999998</v>
      </c>
      <c r="I205" s="142" t="s">
        <v>329</v>
      </c>
      <c r="J205" s="61">
        <v>46.048999999999999</v>
      </c>
      <c r="K205" s="63">
        <v>6336</v>
      </c>
      <c r="L205" s="64">
        <v>1.41E-2</v>
      </c>
      <c r="M205" s="64">
        <v>0.34160000000000001</v>
      </c>
      <c r="N205" s="142" t="s">
        <v>329</v>
      </c>
      <c r="O205" s="61">
        <v>7937738436.1700001</v>
      </c>
      <c r="P205" s="84">
        <f>(O205/$O$206)</f>
        <v>5.0589102288931882E-2</v>
      </c>
      <c r="Q205" s="142" t="s">
        <v>329</v>
      </c>
      <c r="R205" s="61">
        <v>45.834400000000002</v>
      </c>
      <c r="S205" s="142" t="s">
        <v>329</v>
      </c>
      <c r="T205" s="61">
        <v>46.351900000000001</v>
      </c>
      <c r="U205" s="63">
        <v>6330</v>
      </c>
      <c r="V205" s="64">
        <v>1.2200000000000001E-2</v>
      </c>
      <c r="W205" s="64">
        <v>0.35039999999999999</v>
      </c>
      <c r="X205" s="156">
        <f>((O205-E205)/E205)</f>
        <v>1.5603992105738811E-2</v>
      </c>
      <c r="Y205" s="156">
        <f>((T205-J205)/J205)</f>
        <v>6.577775847466852E-3</v>
      </c>
      <c r="Z205" s="156">
        <f>((U205-K205)/K205)</f>
        <v>-9.46969696969697E-4</v>
      </c>
      <c r="AA205" s="156">
        <f>V205-L205</f>
        <v>-1.8999999999999989E-3</v>
      </c>
      <c r="AB205" s="157">
        <f>W205-M205</f>
        <v>8.7999999999999745E-3</v>
      </c>
    </row>
    <row r="206" spans="1:31">
      <c r="B206" s="70"/>
      <c r="C206" s="71" t="s">
        <v>52</v>
      </c>
      <c r="D206" s="116" t="s">
        <v>329</v>
      </c>
      <c r="E206" s="100">
        <f>SUM(E175:E205)</f>
        <v>154388918533.28998</v>
      </c>
      <c r="F206" s="73">
        <f>(E206/$E$241)</f>
        <v>1.6512447907860439E-2</v>
      </c>
      <c r="G206" s="142"/>
      <c r="H206" s="74"/>
      <c r="I206" s="142" t="s">
        <v>329</v>
      </c>
      <c r="J206" s="101"/>
      <c r="K206" s="76">
        <f>SUM(K175:K205)</f>
        <v>102507</v>
      </c>
      <c r="L206" s="102"/>
      <c r="M206" s="102"/>
      <c r="N206" s="142" t="s">
        <v>329</v>
      </c>
      <c r="O206" s="100">
        <f>SUM(O175:O205)</f>
        <v>156906093941.63248</v>
      </c>
      <c r="P206" s="73">
        <f>(O206/$O$241)</f>
        <v>1.6742082932539003E-2</v>
      </c>
      <c r="Q206" s="142" t="s">
        <v>329</v>
      </c>
      <c r="R206" s="74"/>
      <c r="S206" s="142" t="s">
        <v>329</v>
      </c>
      <c r="T206" s="101"/>
      <c r="U206" s="76">
        <f>SUM(U175:U205)</f>
        <v>102101.89</v>
      </c>
      <c r="V206" s="102"/>
      <c r="W206" s="102"/>
      <c r="X206" s="156">
        <f t="shared" ref="X206" si="163">((O206-E206)/E206)</f>
        <v>1.6304119701439163E-2</v>
      </c>
      <c r="Y206" s="156" t="e">
        <f t="shared" ref="Y206" si="164">((T206-J206)/J206)</f>
        <v>#DIV/0!</v>
      </c>
      <c r="Z206" s="156">
        <f t="shared" ref="Z206" si="165">((U206-K206)/K206)</f>
        <v>-3.9520227886876078E-3</v>
      </c>
      <c r="AA206" s="156">
        <f t="shared" ref="AA206" si="166">V206-L206</f>
        <v>0</v>
      </c>
      <c r="AB206" s="157">
        <f t="shared" ref="AB206" si="167">W206-M206</f>
        <v>0</v>
      </c>
    </row>
    <row r="207" spans="1:31" ht="5.25" customHeight="1">
      <c r="B207" s="226"/>
      <c r="C207" s="226"/>
      <c r="D207" s="226"/>
      <c r="E207" s="226"/>
      <c r="F207" s="226"/>
      <c r="G207" s="226"/>
      <c r="H207" s="226"/>
      <c r="I207" s="226"/>
      <c r="J207" s="226"/>
      <c r="K207" s="226"/>
      <c r="L207" s="226"/>
      <c r="M207" s="226"/>
      <c r="N207" s="226"/>
      <c r="O207" s="226"/>
      <c r="P207" s="226"/>
      <c r="Q207" s="226"/>
      <c r="R207" s="226"/>
      <c r="S207" s="226"/>
      <c r="T207" s="226"/>
      <c r="U207" s="226"/>
      <c r="V207" s="226"/>
      <c r="W207" s="226"/>
      <c r="X207" s="226"/>
      <c r="Y207" s="226"/>
      <c r="Z207" s="226"/>
      <c r="AA207" s="226"/>
      <c r="AB207" s="226"/>
    </row>
    <row r="208" spans="1:31" ht="15" customHeight="1">
      <c r="A208" s="162"/>
      <c r="B208" s="228" t="s">
        <v>233</v>
      </c>
      <c r="C208" s="228"/>
      <c r="D208" s="228"/>
      <c r="E208" s="228"/>
      <c r="F208" s="228"/>
      <c r="G208" s="228"/>
      <c r="H208" s="228"/>
      <c r="I208" s="228"/>
      <c r="J208" s="228"/>
      <c r="K208" s="228"/>
      <c r="L208" s="228"/>
      <c r="M208" s="228"/>
      <c r="N208" s="228"/>
      <c r="O208" s="228"/>
      <c r="P208" s="228"/>
      <c r="Q208" s="228"/>
      <c r="R208" s="228"/>
      <c r="S208" s="228"/>
      <c r="T208" s="228"/>
      <c r="U208" s="228"/>
      <c r="V208" s="228"/>
      <c r="W208" s="228"/>
      <c r="X208" s="228"/>
      <c r="Y208" s="228"/>
      <c r="Z208" s="228"/>
      <c r="AA208" s="228"/>
      <c r="AB208" s="228"/>
    </row>
    <row r="209" spans="1:30" ht="15" customHeight="1">
      <c r="A209" s="219">
        <v>181</v>
      </c>
      <c r="B209" s="55" t="s">
        <v>305</v>
      </c>
      <c r="C209" s="56" t="s">
        <v>130</v>
      </c>
      <c r="D209" s="142" t="s">
        <v>329</v>
      </c>
      <c r="E209" s="103">
        <v>623409448.52999997</v>
      </c>
      <c r="F209" s="62">
        <v>0</v>
      </c>
      <c r="G209" s="142" t="s">
        <v>329</v>
      </c>
      <c r="H209" s="104">
        <v>1077.9100000000001</v>
      </c>
      <c r="I209" s="142" t="s">
        <v>329</v>
      </c>
      <c r="J209" s="104">
        <v>1077.9100000000001</v>
      </c>
      <c r="K209" s="63">
        <v>30</v>
      </c>
      <c r="L209" s="64">
        <v>3.3400000000000001E-3</v>
      </c>
      <c r="M209" s="64">
        <v>7.6749999999999999E-2</v>
      </c>
      <c r="N209" s="142" t="s">
        <v>329</v>
      </c>
      <c r="O209" s="103">
        <v>625184368.85000002</v>
      </c>
      <c r="P209" s="84">
        <f>(O209/$O$212)</f>
        <v>3.201424995446623E-2</v>
      </c>
      <c r="Q209" s="142" t="s">
        <v>329</v>
      </c>
      <c r="R209" s="104">
        <v>1080.98</v>
      </c>
      <c r="S209" s="142" t="s">
        <v>329</v>
      </c>
      <c r="T209" s="104">
        <v>1080.98</v>
      </c>
      <c r="U209" s="63">
        <v>30</v>
      </c>
      <c r="V209" s="64">
        <v>2.0699999999999998E-3</v>
      </c>
      <c r="W209" s="64">
        <v>7.9820000000000002E-2</v>
      </c>
      <c r="X209" s="156">
        <f>((O209-E209)/E209)</f>
        <v>2.8471180925879712E-3</v>
      </c>
      <c r="Y209" s="156">
        <f t="shared" ref="Y209" si="168">((T209-J209)/J209)</f>
        <v>2.8481042016494291E-3</v>
      </c>
      <c r="Z209" s="156">
        <f t="shared" ref="Z209" si="169">((U209-K209)/K209)</f>
        <v>0</v>
      </c>
      <c r="AA209" s="156">
        <f t="shared" ref="AA209" si="170">V209-L209</f>
        <v>-1.2700000000000003E-3</v>
      </c>
      <c r="AB209" s="157">
        <f t="shared" ref="AB209" si="171">W209-M209</f>
        <v>3.0700000000000033E-3</v>
      </c>
    </row>
    <row r="210" spans="1:30">
      <c r="A210" s="217">
        <v>182</v>
      </c>
      <c r="B210" s="55" t="s">
        <v>234</v>
      </c>
      <c r="C210" s="56" t="s">
        <v>235</v>
      </c>
      <c r="D210" s="142" t="s">
        <v>329</v>
      </c>
      <c r="E210" s="103">
        <v>2125600430.26</v>
      </c>
      <c r="F210" s="62">
        <f>(E210/$E$212)</f>
        <v>0.11136674932044613</v>
      </c>
      <c r="G210" s="142" t="s">
        <v>329</v>
      </c>
      <c r="H210" s="104">
        <v>53.251899999999999</v>
      </c>
      <c r="I210" s="142" t="s">
        <v>329</v>
      </c>
      <c r="J210" s="104">
        <v>53.737099999999998</v>
      </c>
      <c r="K210" s="63">
        <v>1362</v>
      </c>
      <c r="L210" s="64">
        <v>1.4E-2</v>
      </c>
      <c r="M210" s="64">
        <v>0.33139999999999997</v>
      </c>
      <c r="N210" s="142" t="s">
        <v>329</v>
      </c>
      <c r="O210" s="103">
        <v>1972353109.6400001</v>
      </c>
      <c r="P210" s="84">
        <f>(O210/$O$212)</f>
        <v>0.10099965481643967</v>
      </c>
      <c r="Q210" s="142" t="s">
        <v>329</v>
      </c>
      <c r="R210" s="104">
        <v>53.3185</v>
      </c>
      <c r="S210" s="142" t="s">
        <v>329</v>
      </c>
      <c r="T210" s="104">
        <v>53.803699999999999</v>
      </c>
      <c r="U210" s="63">
        <v>1361</v>
      </c>
      <c r="V210" s="64">
        <v>5.7999999999999996E-3</v>
      </c>
      <c r="W210" s="64">
        <v>0.33310000000000001</v>
      </c>
      <c r="X210" s="156">
        <f>((O210-E210)/E210)</f>
        <v>-7.2096015054557983E-2</v>
      </c>
      <c r="Y210" s="156">
        <f t="shared" ref="Y210:Z212" si="172">((T210-J210)/J210)</f>
        <v>1.2393672155736188E-3</v>
      </c>
      <c r="Z210" s="156">
        <f t="shared" si="172"/>
        <v>-7.3421439060205576E-4</v>
      </c>
      <c r="AA210" s="156">
        <f t="shared" ref="AA210:AB212" si="173">V210-L210</f>
        <v>-8.2000000000000007E-3</v>
      </c>
      <c r="AB210" s="157">
        <f t="shared" si="173"/>
        <v>1.7000000000000348E-3</v>
      </c>
    </row>
    <row r="211" spans="1:30">
      <c r="A211" s="217">
        <v>183</v>
      </c>
      <c r="B211" s="55" t="s">
        <v>236</v>
      </c>
      <c r="C211" s="56" t="s">
        <v>46</v>
      </c>
      <c r="D211" s="142" t="s">
        <v>329</v>
      </c>
      <c r="E211" s="78">
        <v>16337480866.700001</v>
      </c>
      <c r="F211" s="62">
        <f>(E211/$E$212)</f>
        <v>0.85597091076369958</v>
      </c>
      <c r="G211" s="142" t="s">
        <v>329</v>
      </c>
      <c r="H211" s="104">
        <v>6.63</v>
      </c>
      <c r="I211" s="142" t="s">
        <v>329</v>
      </c>
      <c r="J211" s="104">
        <v>6.73</v>
      </c>
      <c r="K211" s="63">
        <v>17423</v>
      </c>
      <c r="L211" s="64">
        <v>3.0000000000000001E-3</v>
      </c>
      <c r="M211" s="64">
        <v>0.48570000000000002</v>
      </c>
      <c r="N211" s="142" t="s">
        <v>329</v>
      </c>
      <c r="O211" s="78">
        <v>16930777872.93</v>
      </c>
      <c r="P211" s="84">
        <f>(O211/$O$212)</f>
        <v>0.86698609522909398</v>
      </c>
      <c r="Q211" s="142" t="s">
        <v>329</v>
      </c>
      <c r="R211" s="104">
        <v>6.82</v>
      </c>
      <c r="S211" s="142" t="s">
        <v>329</v>
      </c>
      <c r="T211" s="104">
        <v>6.93</v>
      </c>
      <c r="U211" s="63">
        <v>17550</v>
      </c>
      <c r="V211" s="64">
        <v>2.9700000000000001E-2</v>
      </c>
      <c r="W211" s="64">
        <v>0.52980000000000005</v>
      </c>
      <c r="X211" s="156">
        <f>((O211-E211)/E211)</f>
        <v>3.6315084992037658E-2</v>
      </c>
      <c r="Y211" s="156">
        <f t="shared" si="172"/>
        <v>2.9717682020802268E-2</v>
      </c>
      <c r="Z211" s="156">
        <f t="shared" si="172"/>
        <v>7.2892154049245253E-3</v>
      </c>
      <c r="AA211" s="156">
        <f t="shared" si="173"/>
        <v>2.6700000000000002E-2</v>
      </c>
      <c r="AB211" s="157">
        <f t="shared" si="173"/>
        <v>4.4100000000000028E-2</v>
      </c>
    </row>
    <row r="212" spans="1:30">
      <c r="B212" s="70"/>
      <c r="C212" s="94" t="s">
        <v>52</v>
      </c>
      <c r="D212" s="94"/>
      <c r="E212" s="100">
        <f>SUM(E209:E211)</f>
        <v>19086490745.490002</v>
      </c>
      <c r="F212" s="73">
        <f>(E212/$E$241)</f>
        <v>2.0413685591741931E-3</v>
      </c>
      <c r="G212" s="116"/>
      <c r="H212" s="74"/>
      <c r="I212" s="74"/>
      <c r="J212" s="101"/>
      <c r="K212" s="76">
        <f>SUM(K209:K211)</f>
        <v>18815</v>
      </c>
      <c r="L212" s="102"/>
      <c r="M212" s="102"/>
      <c r="N212" s="142" t="s">
        <v>329</v>
      </c>
      <c r="O212" s="100">
        <f>SUM(O209:O211)</f>
        <v>19528315351.420002</v>
      </c>
      <c r="P212" s="73">
        <f>(O212/$O$241)</f>
        <v>2.0836964768740493E-3</v>
      </c>
      <c r="Q212" s="142" t="s">
        <v>329</v>
      </c>
      <c r="R212" s="74"/>
      <c r="S212" s="142" t="s">
        <v>329</v>
      </c>
      <c r="T212" s="101"/>
      <c r="U212" s="76">
        <f>SUM(U209:U211)</f>
        <v>18941</v>
      </c>
      <c r="V212" s="102"/>
      <c r="W212" s="102"/>
      <c r="X212" s="156">
        <f>((O212-E212)/E212)</f>
        <v>2.3148551078432281E-2</v>
      </c>
      <c r="Y212" s="156" t="e">
        <f t="shared" si="172"/>
        <v>#DIV/0!</v>
      </c>
      <c r="Z212" s="156">
        <f t="shared" si="172"/>
        <v>6.6967844804677115E-3</v>
      </c>
      <c r="AA212" s="156">
        <f t="shared" si="173"/>
        <v>0</v>
      </c>
      <c r="AB212" s="157">
        <f t="shared" si="173"/>
        <v>0</v>
      </c>
    </row>
    <row r="213" spans="1:30" ht="6" customHeight="1">
      <c r="B213" s="226"/>
      <c r="C213" s="226"/>
      <c r="D213" s="226"/>
      <c r="E213" s="226"/>
      <c r="F213" s="226"/>
      <c r="G213" s="226"/>
      <c r="H213" s="226"/>
      <c r="I213" s="226"/>
      <c r="J213" s="226"/>
      <c r="K213" s="226"/>
      <c r="L213" s="226"/>
      <c r="M213" s="226"/>
      <c r="N213" s="226"/>
      <c r="O213" s="226"/>
      <c r="P213" s="226"/>
      <c r="Q213" s="226"/>
      <c r="R213" s="226"/>
      <c r="S213" s="226"/>
      <c r="T213" s="226"/>
      <c r="U213" s="226"/>
      <c r="V213" s="226"/>
      <c r="W213" s="226"/>
      <c r="X213" s="226"/>
      <c r="Y213" s="226"/>
      <c r="Z213" s="226"/>
      <c r="AA213" s="226"/>
      <c r="AB213" s="226"/>
    </row>
    <row r="214" spans="1:30" ht="15" customHeight="1">
      <c r="A214" s="162"/>
      <c r="B214" s="224" t="s">
        <v>335</v>
      </c>
      <c r="C214" s="224"/>
      <c r="D214" s="224"/>
      <c r="E214" s="224"/>
      <c r="F214" s="224"/>
      <c r="G214" s="224"/>
      <c r="H214" s="224"/>
      <c r="I214" s="224"/>
      <c r="J214" s="224"/>
      <c r="K214" s="224"/>
      <c r="L214" s="224"/>
      <c r="M214" s="224"/>
      <c r="N214" s="224"/>
      <c r="O214" s="224"/>
      <c r="P214" s="224"/>
      <c r="Q214" s="224"/>
      <c r="R214" s="224"/>
      <c r="S214" s="224"/>
      <c r="T214" s="224"/>
      <c r="U214" s="224"/>
      <c r="V214" s="224"/>
      <c r="W214" s="224"/>
      <c r="X214" s="224"/>
      <c r="Y214" s="224"/>
      <c r="Z214" s="224"/>
      <c r="AA214" s="224"/>
      <c r="AB214" s="224"/>
    </row>
    <row r="215" spans="1:30">
      <c r="A215" s="165"/>
      <c r="B215" s="227" t="s">
        <v>334</v>
      </c>
      <c r="C215" s="227"/>
      <c r="D215" s="227"/>
      <c r="E215" s="227"/>
      <c r="F215" s="227"/>
      <c r="G215" s="227"/>
      <c r="H215" s="227"/>
      <c r="I215" s="227"/>
      <c r="J215" s="227"/>
      <c r="K215" s="227"/>
      <c r="L215" s="227"/>
      <c r="M215" s="227"/>
      <c r="N215" s="227"/>
      <c r="O215" s="227"/>
      <c r="P215" s="227"/>
      <c r="Q215" s="227"/>
      <c r="R215" s="227"/>
      <c r="S215" s="227"/>
      <c r="T215" s="227"/>
      <c r="U215" s="227"/>
      <c r="V215" s="227"/>
      <c r="W215" s="227"/>
      <c r="X215" s="227"/>
      <c r="Y215" s="227"/>
      <c r="Z215" s="227"/>
      <c r="AA215" s="227"/>
      <c r="AB215" s="227"/>
    </row>
    <row r="216" spans="1:30">
      <c r="A216" s="217">
        <v>184</v>
      </c>
      <c r="B216" s="55" t="s">
        <v>237</v>
      </c>
      <c r="C216" s="56" t="s">
        <v>238</v>
      </c>
      <c r="D216" s="142" t="s">
        <v>329</v>
      </c>
      <c r="E216" s="80">
        <v>16933468579.879999</v>
      </c>
      <c r="F216" s="62">
        <f>(E216/$E$240)</f>
        <v>0.12109875351731489</v>
      </c>
      <c r="G216" s="142" t="s">
        <v>329</v>
      </c>
      <c r="H216" s="105">
        <v>3.77</v>
      </c>
      <c r="I216" s="142" t="s">
        <v>329</v>
      </c>
      <c r="J216" s="105">
        <v>3.83</v>
      </c>
      <c r="K216" s="81">
        <v>17174</v>
      </c>
      <c r="L216" s="82">
        <v>-1.29E-2</v>
      </c>
      <c r="M216" s="82">
        <v>0.36099999999999999</v>
      </c>
      <c r="N216" s="142" t="s">
        <v>329</v>
      </c>
      <c r="O216" s="80">
        <v>17041733038.66</v>
      </c>
      <c r="P216" s="62">
        <f>(O216/$O$240)</f>
        <v>0.12007158422762244</v>
      </c>
      <c r="Q216" s="142" t="s">
        <v>329</v>
      </c>
      <c r="R216" s="105">
        <v>3.8</v>
      </c>
      <c r="S216" s="142" t="s">
        <v>329</v>
      </c>
      <c r="T216" s="105">
        <v>3.87</v>
      </c>
      <c r="U216" s="81">
        <v>17174</v>
      </c>
      <c r="V216" s="82">
        <v>8.8999999999999999E-3</v>
      </c>
      <c r="W216" s="82">
        <v>0.37240000000000001</v>
      </c>
      <c r="X216" s="158">
        <f>((O216-E216)/E216)</f>
        <v>6.393519335349776E-3</v>
      </c>
      <c r="Y216" s="158">
        <f>((T216-J216)/J216)</f>
        <v>1.0443864229765022E-2</v>
      </c>
      <c r="Z216" s="158">
        <f>((U216-K216)/K216)</f>
        <v>0</v>
      </c>
      <c r="AA216" s="158">
        <f>V216-L216</f>
        <v>2.18E-2</v>
      </c>
      <c r="AB216" s="159">
        <f>W216-M216</f>
        <v>1.1400000000000021E-2</v>
      </c>
    </row>
    <row r="217" spans="1:30">
      <c r="A217" s="217">
        <v>185</v>
      </c>
      <c r="B217" s="55" t="s">
        <v>239</v>
      </c>
      <c r="C217" s="56" t="s">
        <v>46</v>
      </c>
      <c r="D217" s="142" t="s">
        <v>329</v>
      </c>
      <c r="E217" s="80">
        <v>31986904444.619999</v>
      </c>
      <c r="F217" s="62">
        <f>(E217/$E$240)</f>
        <v>0.22875255821618515</v>
      </c>
      <c r="G217" s="142" t="s">
        <v>329</v>
      </c>
      <c r="H217" s="105">
        <v>1461.42</v>
      </c>
      <c r="I217" s="142" t="s">
        <v>329</v>
      </c>
      <c r="J217" s="105">
        <v>1480.8</v>
      </c>
      <c r="K217" s="81">
        <v>10586</v>
      </c>
      <c r="L217" s="82">
        <v>-1.0699999999999999E-2</v>
      </c>
      <c r="M217" s="82">
        <v>0.55740000000000001</v>
      </c>
      <c r="N217" s="142" t="s">
        <v>329</v>
      </c>
      <c r="O217" s="80">
        <v>32660455300.5</v>
      </c>
      <c r="P217" s="62">
        <f>(O217/$O$240)</f>
        <v>0.23011700750329558</v>
      </c>
      <c r="Q217" s="142" t="s">
        <v>329</v>
      </c>
      <c r="R217" s="105">
        <v>1471</v>
      </c>
      <c r="S217" s="142" t="s">
        <v>329</v>
      </c>
      <c r="T217" s="105">
        <v>1491.23</v>
      </c>
      <c r="U217" s="81">
        <v>10824</v>
      </c>
      <c r="V217" s="82">
        <v>7.0000000000000001E-3</v>
      </c>
      <c r="W217" s="82">
        <v>0.56840000000000002</v>
      </c>
      <c r="X217" s="158">
        <f>((O217-E217)/E217)</f>
        <v>2.105708156430524E-2</v>
      </c>
      <c r="Y217" s="158">
        <f>((T217-J217)/J217)</f>
        <v>7.0434900054025286E-3</v>
      </c>
      <c r="Z217" s="158">
        <f>((U217-K217)/K217)</f>
        <v>2.2482524088418665E-2</v>
      </c>
      <c r="AA217" s="158">
        <f>V217-L217</f>
        <v>1.77E-2</v>
      </c>
      <c r="AB217" s="159">
        <f>W217-M217</f>
        <v>1.100000000000001E-2</v>
      </c>
    </row>
    <row r="218" spans="1:30" ht="6" customHeight="1">
      <c r="B218" s="226"/>
      <c r="C218" s="226"/>
      <c r="D218" s="226"/>
      <c r="E218" s="226"/>
      <c r="F218" s="226"/>
      <c r="G218" s="226"/>
      <c r="H218" s="226"/>
      <c r="I218" s="226"/>
      <c r="J218" s="226"/>
      <c r="K218" s="226"/>
      <c r="L218" s="226"/>
      <c r="M218" s="226"/>
      <c r="N218" s="226"/>
      <c r="O218" s="226"/>
      <c r="P218" s="226"/>
      <c r="Q218" s="226"/>
      <c r="R218" s="226"/>
      <c r="S218" s="226"/>
      <c r="T218" s="226"/>
      <c r="U218" s="226"/>
      <c r="V218" s="226"/>
      <c r="W218" s="226"/>
      <c r="X218" s="226"/>
      <c r="Y218" s="226"/>
      <c r="Z218" s="226"/>
      <c r="AA218" s="226"/>
      <c r="AB218" s="226"/>
    </row>
    <row r="219" spans="1:30" ht="15" customHeight="1">
      <c r="A219" s="165"/>
      <c r="B219" s="227" t="s">
        <v>332</v>
      </c>
      <c r="C219" s="227"/>
      <c r="D219" s="227"/>
      <c r="E219" s="227"/>
      <c r="F219" s="227"/>
      <c r="G219" s="227"/>
      <c r="H219" s="227"/>
      <c r="I219" s="227"/>
      <c r="J219" s="227"/>
      <c r="K219" s="227"/>
      <c r="L219" s="227"/>
      <c r="M219" s="227"/>
      <c r="N219" s="227"/>
      <c r="O219" s="227"/>
      <c r="P219" s="227"/>
      <c r="Q219" s="227"/>
      <c r="R219" s="227"/>
      <c r="S219" s="227"/>
      <c r="T219" s="227"/>
      <c r="U219" s="227"/>
      <c r="V219" s="227"/>
      <c r="W219" s="227"/>
      <c r="X219" s="227"/>
      <c r="Y219" s="227"/>
      <c r="Z219" s="227"/>
      <c r="AA219" s="227"/>
      <c r="AB219" s="227"/>
    </row>
    <row r="220" spans="1:30">
      <c r="A220" s="219">
        <v>186</v>
      </c>
      <c r="B220" s="55" t="s">
        <v>240</v>
      </c>
      <c r="C220" s="56" t="s">
        <v>23</v>
      </c>
      <c r="D220" s="142" t="s">
        <v>329</v>
      </c>
      <c r="E220" s="67">
        <v>1779550007.8199999</v>
      </c>
      <c r="F220" s="62">
        <f>(E220/$E$240)</f>
        <v>1.2726352356704058E-2</v>
      </c>
      <c r="G220" s="142" t="s">
        <v>329</v>
      </c>
      <c r="H220" s="104">
        <v>1.2103481789999999</v>
      </c>
      <c r="I220" s="142" t="s">
        <v>329</v>
      </c>
      <c r="J220" s="104">
        <v>1.2103481789999999</v>
      </c>
      <c r="K220" s="63">
        <v>924</v>
      </c>
      <c r="L220" s="64">
        <v>0.12959999999999999</v>
      </c>
      <c r="M220" s="64">
        <v>0.1229</v>
      </c>
      <c r="N220" s="142" t="s">
        <v>329</v>
      </c>
      <c r="O220" s="67">
        <v>1875920798.1500001</v>
      </c>
      <c r="P220" s="62">
        <f t="shared" ref="P220:P233" si="174">(O220/$O$240)</f>
        <v>1.3217246251213871E-2</v>
      </c>
      <c r="Q220" s="142" t="s">
        <v>329</v>
      </c>
      <c r="R220" s="104">
        <v>1.21</v>
      </c>
      <c r="S220" s="142" t="s">
        <v>329</v>
      </c>
      <c r="T220" s="104">
        <v>1.21</v>
      </c>
      <c r="U220" s="63">
        <v>923</v>
      </c>
      <c r="V220" s="64">
        <v>9.9099999999999994E-2</v>
      </c>
      <c r="W220" s="64">
        <v>0.12230000000000001</v>
      </c>
      <c r="X220" s="156">
        <f>((O220-E220)/E220)</f>
        <v>5.4154583971516013E-2</v>
      </c>
      <c r="Y220" s="156">
        <f>((T220-J220)/J220)</f>
        <v>-2.8766846271261961E-4</v>
      </c>
      <c r="Z220" s="156">
        <f>((U220-K220)/K220)</f>
        <v>-1.0822510822510823E-3</v>
      </c>
      <c r="AA220" s="156">
        <f>V220-L220</f>
        <v>-3.0499999999999999E-2</v>
      </c>
      <c r="AB220" s="157">
        <f>W220-M220</f>
        <v>-5.9999999999998943E-4</v>
      </c>
      <c r="AD220" s="30"/>
    </row>
    <row r="221" spans="1:30" ht="15" customHeight="1">
      <c r="A221" s="219">
        <v>187</v>
      </c>
      <c r="B221" s="55" t="s">
        <v>241</v>
      </c>
      <c r="C221" s="56" t="s">
        <v>242</v>
      </c>
      <c r="D221" s="142" t="s">
        <v>329</v>
      </c>
      <c r="E221" s="67">
        <v>272787484.31999999</v>
      </c>
      <c r="F221" s="62">
        <f>(E221/$E$240)</f>
        <v>1.9508244380319498E-3</v>
      </c>
      <c r="G221" s="142" t="s">
        <v>329</v>
      </c>
      <c r="H221" s="104">
        <v>1147.3900000000001</v>
      </c>
      <c r="I221" s="142" t="s">
        <v>329</v>
      </c>
      <c r="J221" s="104">
        <v>1147.3900000000001</v>
      </c>
      <c r="K221" s="63">
        <v>19</v>
      </c>
      <c r="L221" s="64">
        <v>8.3999999999999995E-3</v>
      </c>
      <c r="M221" s="64">
        <v>7.7899999999999997E-2</v>
      </c>
      <c r="N221" s="142" t="s">
        <v>329</v>
      </c>
      <c r="O221" s="67">
        <v>273199663.07999998</v>
      </c>
      <c r="P221" s="62">
        <f t="shared" si="174"/>
        <v>1.9248932184333554E-3</v>
      </c>
      <c r="Q221" s="142" t="s">
        <v>329</v>
      </c>
      <c r="R221" s="104">
        <v>1149.1199999999999</v>
      </c>
      <c r="S221" s="142" t="s">
        <v>329</v>
      </c>
      <c r="T221" s="104">
        <v>1149.1199999999999</v>
      </c>
      <c r="U221" s="63">
        <v>15</v>
      </c>
      <c r="V221" s="64">
        <v>1.9E-3</v>
      </c>
      <c r="W221" s="64">
        <v>7.9799999999999996E-2</v>
      </c>
      <c r="X221" s="156">
        <f>((O221-E221)/E221)</f>
        <v>1.5109885302379714E-3</v>
      </c>
      <c r="Y221" s="156">
        <f>((T221-J221)/J221)</f>
        <v>1.5077698079988414E-3</v>
      </c>
      <c r="Z221" s="156">
        <f>((U221-K221)/K221)</f>
        <v>-0.21052631578947367</v>
      </c>
      <c r="AA221" s="156">
        <f>V221-L221</f>
        <v>-6.4999999999999997E-3</v>
      </c>
      <c r="AB221" s="157">
        <f>W221-M221</f>
        <v>1.8999999999999989E-3</v>
      </c>
      <c r="AD221" s="30"/>
    </row>
    <row r="222" spans="1:30">
      <c r="A222" s="219">
        <v>188</v>
      </c>
      <c r="B222" s="55" t="s">
        <v>243</v>
      </c>
      <c r="C222" s="56" t="s">
        <v>69</v>
      </c>
      <c r="D222" s="142" t="s">
        <v>329</v>
      </c>
      <c r="E222" s="67">
        <v>384260167.18000001</v>
      </c>
      <c r="F222" s="62">
        <f>(E222/$E$240)</f>
        <v>2.748015095214639E-3</v>
      </c>
      <c r="G222" s="142" t="s">
        <v>329</v>
      </c>
      <c r="H222" s="104">
        <v>127.39</v>
      </c>
      <c r="I222" s="142" t="s">
        <v>329</v>
      </c>
      <c r="J222" s="104">
        <v>127.39</v>
      </c>
      <c r="K222" s="63">
        <v>90</v>
      </c>
      <c r="L222" s="64">
        <v>2.8E-3</v>
      </c>
      <c r="M222" s="64">
        <v>0.16089999999999999</v>
      </c>
      <c r="N222" s="142" t="s">
        <v>329</v>
      </c>
      <c r="O222" s="67">
        <v>390702920.94999999</v>
      </c>
      <c r="P222" s="62">
        <f t="shared" si="174"/>
        <v>2.7527903749227358E-3</v>
      </c>
      <c r="Q222" s="142" t="s">
        <v>329</v>
      </c>
      <c r="R222" s="104">
        <v>127.73</v>
      </c>
      <c r="S222" s="142" t="s">
        <v>329</v>
      </c>
      <c r="T222" s="104">
        <v>127.73</v>
      </c>
      <c r="U222" s="63">
        <v>90</v>
      </c>
      <c r="V222" s="64">
        <v>2.7000000000000001E-3</v>
      </c>
      <c r="W222" s="64">
        <v>0.161</v>
      </c>
      <c r="X222" s="156">
        <f t="shared" ref="X222:X241" si="175">((O222-E222)/E222)</f>
        <v>1.6766644893957964E-2</v>
      </c>
      <c r="Y222" s="156">
        <f t="shared" ref="Y222:Y240" si="176">((T222-J222)/J222)</f>
        <v>2.6689693068529981E-3</v>
      </c>
      <c r="Z222" s="156">
        <f t="shared" ref="Z222:Z240" si="177">((U222-K222)/K222)</f>
        <v>0</v>
      </c>
      <c r="AA222" s="156">
        <f t="shared" ref="AA222:AA240" si="178">V222-L222</f>
        <v>-9.9999999999999829E-5</v>
      </c>
      <c r="AB222" s="157">
        <f t="shared" ref="AB222:AB240" si="179">W222-M222</f>
        <v>1.0000000000001674E-4</v>
      </c>
    </row>
    <row r="223" spans="1:30">
      <c r="A223" s="219">
        <v>189</v>
      </c>
      <c r="B223" s="55" t="s">
        <v>244</v>
      </c>
      <c r="C223" s="56" t="s">
        <v>245</v>
      </c>
      <c r="D223" s="142" t="s">
        <v>329</v>
      </c>
      <c r="E223" s="67">
        <v>55387082.990000002</v>
      </c>
      <c r="F223" s="62">
        <v>0</v>
      </c>
      <c r="G223" s="142" t="s">
        <v>329</v>
      </c>
      <c r="H223" s="104">
        <v>108.72</v>
      </c>
      <c r="I223" s="142" t="s">
        <v>329</v>
      </c>
      <c r="J223" s="104">
        <v>108.72</v>
      </c>
      <c r="K223" s="63">
        <v>11</v>
      </c>
      <c r="L223" s="64">
        <v>2.8999999999999998E-3</v>
      </c>
      <c r="M223" s="64">
        <v>8.72E-2</v>
      </c>
      <c r="N223" s="142" t="s">
        <v>329</v>
      </c>
      <c r="O223" s="67">
        <v>55538849.079999998</v>
      </c>
      <c r="P223" s="62">
        <f t="shared" si="174"/>
        <v>3.9131217347944028E-4</v>
      </c>
      <c r="Q223" s="142" t="s">
        <v>329</v>
      </c>
      <c r="R223" s="104">
        <v>109.02</v>
      </c>
      <c r="S223" s="142" t="s">
        <v>329</v>
      </c>
      <c r="T223" s="104">
        <v>109.02</v>
      </c>
      <c r="U223" s="63">
        <v>11</v>
      </c>
      <c r="V223" s="64">
        <v>3.0000000000000001E-3</v>
      </c>
      <c r="W223" s="64">
        <v>9.0200000000000002E-2</v>
      </c>
      <c r="X223" s="156">
        <f t="shared" si="175"/>
        <v>2.7400989871121596E-3</v>
      </c>
      <c r="Y223" s="156">
        <f t="shared" si="176"/>
        <v>2.7593818984547199E-3</v>
      </c>
      <c r="Z223" s="156">
        <f t="shared" si="177"/>
        <v>0</v>
      </c>
      <c r="AA223" s="156">
        <f t="shared" si="178"/>
        <v>1.0000000000000026E-4</v>
      </c>
      <c r="AB223" s="157">
        <f t="shared" si="179"/>
        <v>3.0000000000000027E-3</v>
      </c>
    </row>
    <row r="224" spans="1:30">
      <c r="A224" s="219">
        <v>190</v>
      </c>
      <c r="B224" s="55" t="s">
        <v>246</v>
      </c>
      <c r="C224" s="56" t="s">
        <v>75</v>
      </c>
      <c r="D224" s="142" t="s">
        <v>329</v>
      </c>
      <c r="E224" s="78">
        <v>242755175.78999999</v>
      </c>
      <c r="F224" s="62">
        <f>(E224/$E$240)</f>
        <v>1.7360500631852227E-3</v>
      </c>
      <c r="G224" s="142" t="s">
        <v>329</v>
      </c>
      <c r="H224" s="104">
        <v>108.86</v>
      </c>
      <c r="I224" s="142" t="s">
        <v>329</v>
      </c>
      <c r="J224" s="104">
        <v>108.86</v>
      </c>
      <c r="K224" s="63">
        <v>20</v>
      </c>
      <c r="L224" s="64">
        <v>2.9399999999999999E-2</v>
      </c>
      <c r="M224" s="64">
        <v>0.1201</v>
      </c>
      <c r="N224" s="142" t="s">
        <v>329</v>
      </c>
      <c r="O224" s="67">
        <v>239047159.74000001</v>
      </c>
      <c r="P224" s="62">
        <f t="shared" si="174"/>
        <v>1.6842636315204385E-3</v>
      </c>
      <c r="Q224" s="142" t="s">
        <v>329</v>
      </c>
      <c r="R224" s="104">
        <v>105.39</v>
      </c>
      <c r="S224" s="142" t="s">
        <v>329</v>
      </c>
      <c r="T224" s="104">
        <v>105.39</v>
      </c>
      <c r="U224" s="63">
        <v>20</v>
      </c>
      <c r="V224" s="64">
        <v>-8.8999999999999999E-3</v>
      </c>
      <c r="W224" s="64">
        <v>8.5000000000000006E-2</v>
      </c>
      <c r="X224" s="156">
        <f t="shared" si="175"/>
        <v>-1.5274714691182001E-2</v>
      </c>
      <c r="Y224" s="156">
        <f t="shared" si="176"/>
        <v>-3.187580378467756E-2</v>
      </c>
      <c r="Z224" s="156">
        <f t="shared" si="177"/>
        <v>0</v>
      </c>
      <c r="AA224" s="156">
        <f t="shared" si="178"/>
        <v>-3.8300000000000001E-2</v>
      </c>
      <c r="AB224" s="157">
        <f t="shared" si="179"/>
        <v>-3.5099999999999992E-2</v>
      </c>
    </row>
    <row r="225" spans="1:32">
      <c r="A225" s="217">
        <v>191</v>
      </c>
      <c r="B225" s="55" t="s">
        <v>247</v>
      </c>
      <c r="C225" s="56" t="s">
        <v>78</v>
      </c>
      <c r="D225" s="142" t="s">
        <v>329</v>
      </c>
      <c r="E225" s="78">
        <v>357995965.88</v>
      </c>
      <c r="F225" s="62">
        <v>0</v>
      </c>
      <c r="G225" s="142" t="s">
        <v>329</v>
      </c>
      <c r="H225" s="104">
        <v>1.24</v>
      </c>
      <c r="I225" s="142" t="s">
        <v>329</v>
      </c>
      <c r="J225" s="104">
        <v>1.24</v>
      </c>
      <c r="K225" s="63">
        <v>58</v>
      </c>
      <c r="L225" s="64">
        <v>2E-3</v>
      </c>
      <c r="M225" s="64">
        <v>0.13930000000000001</v>
      </c>
      <c r="N225" s="142" t="s">
        <v>329</v>
      </c>
      <c r="O225" s="78">
        <v>361017294.74000001</v>
      </c>
      <c r="P225" s="62">
        <f t="shared" si="174"/>
        <v>2.5436332334666579E-3</v>
      </c>
      <c r="Q225" s="142" t="s">
        <v>329</v>
      </c>
      <c r="R225" s="104">
        <v>1.24</v>
      </c>
      <c r="S225" s="142" t="s">
        <v>329</v>
      </c>
      <c r="T225" s="104">
        <v>1.24</v>
      </c>
      <c r="U225" s="63">
        <v>56</v>
      </c>
      <c r="V225" s="64">
        <v>1.9E-3</v>
      </c>
      <c r="W225" s="64">
        <v>0.13969999999999999</v>
      </c>
      <c r="X225" s="156">
        <f t="shared" ref="X225:X226" si="180">((O225-E225)/E225)</f>
        <v>8.4395611905100677E-3</v>
      </c>
      <c r="Y225" s="156">
        <f t="shared" ref="Y225:Y226" si="181">((T225-J225)/J225)</f>
        <v>0</v>
      </c>
      <c r="Z225" s="156">
        <f t="shared" ref="Z225" si="182">((U225-K225)/K225)</f>
        <v>-3.4482758620689655E-2</v>
      </c>
      <c r="AA225" s="156">
        <f t="shared" ref="AA225" si="183">V225-L225</f>
        <v>-1.0000000000000005E-4</v>
      </c>
      <c r="AB225" s="157">
        <f t="shared" ref="AB225" si="184">W225-M225</f>
        <v>3.999999999999837E-4</v>
      </c>
    </row>
    <row r="226" spans="1:32">
      <c r="A226" s="217">
        <v>192</v>
      </c>
      <c r="B226" s="55" t="s">
        <v>326</v>
      </c>
      <c r="C226" s="56" t="s">
        <v>79</v>
      </c>
      <c r="D226" s="142" t="s">
        <v>329</v>
      </c>
      <c r="E226" s="67">
        <v>6030075724.6899996</v>
      </c>
      <c r="F226" s="62">
        <f t="shared" ref="F226:F233" si="185">(E226/$E$240)</f>
        <v>4.3123749303354664E-2</v>
      </c>
      <c r="G226" s="142" t="s">
        <v>329</v>
      </c>
      <c r="H226" s="104">
        <v>152.97999999999999</v>
      </c>
      <c r="I226" s="142" t="s">
        <v>329</v>
      </c>
      <c r="J226" s="104">
        <v>152.97999999999999</v>
      </c>
      <c r="K226" s="63">
        <v>990</v>
      </c>
      <c r="L226" s="64">
        <v>2.3999999999999998E-3</v>
      </c>
      <c r="M226" s="64">
        <v>7.51E-2</v>
      </c>
      <c r="N226" s="142" t="s">
        <v>329</v>
      </c>
      <c r="O226" s="67">
        <v>6036782024.0500002</v>
      </c>
      <c r="P226" s="62">
        <f t="shared" si="174"/>
        <v>4.2533583856769044E-2</v>
      </c>
      <c r="Q226" s="142" t="s">
        <v>329</v>
      </c>
      <c r="R226" s="104">
        <v>153.38</v>
      </c>
      <c r="S226" s="142" t="s">
        <v>329</v>
      </c>
      <c r="T226" s="104">
        <v>153.38</v>
      </c>
      <c r="U226" s="63">
        <v>1012</v>
      </c>
      <c r="V226" s="64">
        <v>2.5999999999999999E-3</v>
      </c>
      <c r="W226" s="64">
        <v>7.7899999999999997E-2</v>
      </c>
      <c r="X226" s="156">
        <f t="shared" si="180"/>
        <v>1.1121418148269397E-3</v>
      </c>
      <c r="Y226" s="156">
        <f t="shared" si="181"/>
        <v>2.6147208785462527E-3</v>
      </c>
      <c r="Z226" s="156">
        <f t="shared" si="177"/>
        <v>2.2222222222222223E-2</v>
      </c>
      <c r="AA226" s="156">
        <f t="shared" si="178"/>
        <v>2.0000000000000009E-4</v>
      </c>
      <c r="AB226" s="157">
        <f t="shared" si="179"/>
        <v>2.7999999999999969E-3</v>
      </c>
    </row>
    <row r="227" spans="1:32">
      <c r="A227" s="217">
        <v>193</v>
      </c>
      <c r="B227" s="55" t="s">
        <v>248</v>
      </c>
      <c r="C227" s="56" t="s">
        <v>67</v>
      </c>
      <c r="D227" s="142" t="s">
        <v>329</v>
      </c>
      <c r="E227" s="67">
        <v>971850684.71000004</v>
      </c>
      <c r="F227" s="62">
        <f t="shared" si="185"/>
        <v>6.9501358193776522E-3</v>
      </c>
      <c r="G227" s="142" t="s">
        <v>329</v>
      </c>
      <c r="H227" s="66">
        <v>1415.27</v>
      </c>
      <c r="I227" s="142" t="s">
        <v>329</v>
      </c>
      <c r="J227" s="66">
        <v>1415.27</v>
      </c>
      <c r="K227" s="63">
        <v>333</v>
      </c>
      <c r="L227" s="64">
        <v>0.1288</v>
      </c>
      <c r="M227" s="64">
        <v>0.1258</v>
      </c>
      <c r="N227" s="142" t="s">
        <v>329</v>
      </c>
      <c r="O227" s="67">
        <v>1013224721.11</v>
      </c>
      <c r="P227" s="62">
        <f t="shared" si="174"/>
        <v>7.1389158113366845E-3</v>
      </c>
      <c r="Q227" s="142" t="s">
        <v>329</v>
      </c>
      <c r="R227" s="66">
        <v>1418.76</v>
      </c>
      <c r="S227" s="142" t="s">
        <v>329</v>
      </c>
      <c r="T227" s="66">
        <v>1418.76</v>
      </c>
      <c r="U227" s="63">
        <v>334</v>
      </c>
      <c r="V227" s="64">
        <v>0.12859999999999999</v>
      </c>
      <c r="W227" s="64">
        <v>0.12620000000000001</v>
      </c>
      <c r="X227" s="156">
        <f t="shared" si="175"/>
        <v>4.2572420898531319E-2</v>
      </c>
      <c r="Y227" s="156">
        <f t="shared" si="176"/>
        <v>2.4659605587626452E-3</v>
      </c>
      <c r="Z227" s="156">
        <f t="shared" si="177"/>
        <v>3.003003003003003E-3</v>
      </c>
      <c r="AA227" s="156">
        <f t="shared" si="178"/>
        <v>-2.0000000000000573E-4</v>
      </c>
      <c r="AB227" s="157">
        <f t="shared" si="179"/>
        <v>4.0000000000001146E-4</v>
      </c>
    </row>
    <row r="228" spans="1:32">
      <c r="A228" s="217">
        <v>194</v>
      </c>
      <c r="B228" s="55" t="s">
        <v>249</v>
      </c>
      <c r="C228" s="56" t="s">
        <v>238</v>
      </c>
      <c r="D228" s="142" t="s">
        <v>329</v>
      </c>
      <c r="E228" s="67">
        <v>49936752259.790001</v>
      </c>
      <c r="F228" s="62">
        <f t="shared" si="185"/>
        <v>0.35711989099201913</v>
      </c>
      <c r="G228" s="142" t="s">
        <v>329</v>
      </c>
      <c r="H228" s="66">
        <v>1292.72</v>
      </c>
      <c r="I228" s="142" t="s">
        <v>329</v>
      </c>
      <c r="J228" s="66">
        <v>1292.72</v>
      </c>
      <c r="K228" s="63">
        <v>14023</v>
      </c>
      <c r="L228" s="64">
        <v>4.7000000000000002E-3</v>
      </c>
      <c r="M228" s="64">
        <v>8.6300000000000002E-2</v>
      </c>
      <c r="N228" s="142" t="s">
        <v>329</v>
      </c>
      <c r="O228" s="67">
        <v>50796259521.029999</v>
      </c>
      <c r="P228" s="62">
        <f t="shared" si="174"/>
        <v>0.35789713051432148</v>
      </c>
      <c r="Q228" s="142" t="s">
        <v>329</v>
      </c>
      <c r="R228" s="66">
        <v>1296.05</v>
      </c>
      <c r="S228" s="142" t="s">
        <v>329</v>
      </c>
      <c r="T228" s="66">
        <v>1296.05</v>
      </c>
      <c r="U228" s="63">
        <v>14023</v>
      </c>
      <c r="V228" s="64">
        <v>2.5999999999999999E-3</v>
      </c>
      <c r="W228" s="64">
        <v>8.8900000000000007E-2</v>
      </c>
      <c r="X228" s="156">
        <f t="shared" si="175"/>
        <v>1.7211917522559614E-2</v>
      </c>
      <c r="Y228" s="156">
        <f t="shared" si="176"/>
        <v>2.5759638591496435E-3</v>
      </c>
      <c r="Z228" s="156">
        <f t="shared" si="177"/>
        <v>0</v>
      </c>
      <c r="AA228" s="156">
        <f t="shared" si="178"/>
        <v>-2.1000000000000003E-3</v>
      </c>
      <c r="AB228" s="157">
        <f t="shared" si="179"/>
        <v>2.6000000000000051E-3</v>
      </c>
    </row>
    <row r="229" spans="1:32">
      <c r="A229" s="219">
        <v>195</v>
      </c>
      <c r="B229" s="55" t="s">
        <v>250</v>
      </c>
      <c r="C229" s="56" t="s">
        <v>251</v>
      </c>
      <c r="D229" s="142" t="s">
        <v>329</v>
      </c>
      <c r="E229" s="67">
        <v>503465278.20999998</v>
      </c>
      <c r="F229" s="62">
        <f t="shared" si="185"/>
        <v>3.6005037800064953E-3</v>
      </c>
      <c r="G229" s="142" t="s">
        <v>329</v>
      </c>
      <c r="H229" s="105">
        <v>142.61000000000001</v>
      </c>
      <c r="I229" s="142" t="s">
        <v>329</v>
      </c>
      <c r="J229" s="105">
        <v>143.13999999999999</v>
      </c>
      <c r="K229" s="81">
        <v>146</v>
      </c>
      <c r="L229" s="64">
        <v>2.9999999999999997E-4</v>
      </c>
      <c r="M229" s="64">
        <v>0.17330000000000001</v>
      </c>
      <c r="N229" s="142" t="s">
        <v>329</v>
      </c>
      <c r="O229" s="67">
        <v>503465278.20999998</v>
      </c>
      <c r="P229" s="62">
        <f t="shared" si="174"/>
        <v>3.5472843883387543E-3</v>
      </c>
      <c r="Q229" s="142" t="s">
        <v>329</v>
      </c>
      <c r="R229" s="105">
        <v>142.61000000000001</v>
      </c>
      <c r="S229" s="142" t="s">
        <v>329</v>
      </c>
      <c r="T229" s="105">
        <v>143.13999999999999</v>
      </c>
      <c r="U229" s="81">
        <v>146</v>
      </c>
      <c r="V229" s="64">
        <v>2.9999999999999997E-4</v>
      </c>
      <c r="W229" s="64">
        <v>0.17330000000000001</v>
      </c>
      <c r="X229" s="156">
        <f>((O229-E229)/E229)</f>
        <v>0</v>
      </c>
      <c r="Y229" s="156">
        <f t="shared" si="176"/>
        <v>0</v>
      </c>
      <c r="Z229" s="156">
        <f t="shared" si="177"/>
        <v>0</v>
      </c>
      <c r="AA229" s="156">
        <f t="shared" si="178"/>
        <v>0</v>
      </c>
      <c r="AB229" s="157">
        <f t="shared" si="179"/>
        <v>0</v>
      </c>
    </row>
    <row r="230" spans="1:32">
      <c r="A230" s="219">
        <v>196</v>
      </c>
      <c r="B230" s="55" t="s">
        <v>252</v>
      </c>
      <c r="C230" s="56" t="s">
        <v>251</v>
      </c>
      <c r="D230" s="142" t="s">
        <v>329</v>
      </c>
      <c r="E230" s="67">
        <v>1060415049.71</v>
      </c>
      <c r="F230" s="62">
        <f t="shared" si="185"/>
        <v>7.5834989225693856E-3</v>
      </c>
      <c r="G230" s="142" t="s">
        <v>329</v>
      </c>
      <c r="H230" s="105">
        <v>152.37</v>
      </c>
      <c r="I230" s="142" t="s">
        <v>329</v>
      </c>
      <c r="J230" s="105">
        <v>152.37</v>
      </c>
      <c r="K230" s="81">
        <v>150</v>
      </c>
      <c r="L230" s="64">
        <v>4.4000000000000003E-3</v>
      </c>
      <c r="M230" s="64">
        <v>0.1235</v>
      </c>
      <c r="N230" s="142" t="s">
        <v>329</v>
      </c>
      <c r="O230" s="67">
        <v>1060415049.71</v>
      </c>
      <c r="P230" s="62">
        <f t="shared" si="174"/>
        <v>7.4714064977222756E-3</v>
      </c>
      <c r="Q230" s="142" t="s">
        <v>329</v>
      </c>
      <c r="R230" s="105">
        <v>152.37</v>
      </c>
      <c r="S230" s="142" t="s">
        <v>329</v>
      </c>
      <c r="T230" s="105">
        <v>152.37</v>
      </c>
      <c r="U230" s="81">
        <v>150</v>
      </c>
      <c r="V230" s="64">
        <v>4.4000000000000003E-3</v>
      </c>
      <c r="W230" s="64">
        <v>0.1235</v>
      </c>
      <c r="X230" s="156">
        <f t="shared" si="175"/>
        <v>0</v>
      </c>
      <c r="Y230" s="156">
        <f t="shared" si="176"/>
        <v>0</v>
      </c>
      <c r="Z230" s="156">
        <f t="shared" si="177"/>
        <v>0</v>
      </c>
      <c r="AA230" s="156">
        <f t="shared" si="178"/>
        <v>0</v>
      </c>
      <c r="AB230" s="157">
        <f t="shared" si="179"/>
        <v>0</v>
      </c>
    </row>
    <row r="231" spans="1:32" ht="13.5" customHeight="1">
      <c r="A231" s="217">
        <v>197</v>
      </c>
      <c r="B231" s="55" t="s">
        <v>253</v>
      </c>
      <c r="C231" s="56" t="s">
        <v>98</v>
      </c>
      <c r="D231" s="142" t="s">
        <v>329</v>
      </c>
      <c r="E231" s="67">
        <v>4243438419.1900001</v>
      </c>
      <c r="F231" s="62">
        <f t="shared" si="185"/>
        <v>3.0346712533660707E-2</v>
      </c>
      <c r="G231" s="142" t="s">
        <v>329</v>
      </c>
      <c r="H231" s="87">
        <v>106.35</v>
      </c>
      <c r="I231" s="142" t="s">
        <v>329</v>
      </c>
      <c r="J231" s="87">
        <v>106.35</v>
      </c>
      <c r="K231" s="63">
        <v>1043</v>
      </c>
      <c r="L231" s="64">
        <v>3.2000000000000002E-3</v>
      </c>
      <c r="M231" s="64">
        <v>0.18390000000000001</v>
      </c>
      <c r="N231" s="142" t="s">
        <v>329</v>
      </c>
      <c r="O231" s="67">
        <v>4279078408</v>
      </c>
      <c r="P231" s="62">
        <f t="shared" si="174"/>
        <v>3.0149264885044377E-2</v>
      </c>
      <c r="Q231" s="142" t="s">
        <v>329</v>
      </c>
      <c r="R231" s="87">
        <v>106.67</v>
      </c>
      <c r="S231" s="142" t="s">
        <v>329</v>
      </c>
      <c r="T231" s="87">
        <v>106.67</v>
      </c>
      <c r="U231" s="63">
        <v>1056</v>
      </c>
      <c r="V231" s="64">
        <v>3.0000000000000001E-3</v>
      </c>
      <c r="W231" s="64">
        <v>0.18310000000000001</v>
      </c>
      <c r="X231" s="156">
        <f t="shared" si="175"/>
        <v>8.3988467109186917E-3</v>
      </c>
      <c r="Y231" s="156">
        <f t="shared" si="176"/>
        <v>3.0089327691585088E-3</v>
      </c>
      <c r="Z231" s="156">
        <f t="shared" si="177"/>
        <v>1.2464046021093002E-2</v>
      </c>
      <c r="AA231" s="156">
        <f t="shared" si="178"/>
        <v>-2.0000000000000009E-4</v>
      </c>
      <c r="AB231" s="157">
        <f t="shared" si="179"/>
        <v>-7.9999999999999516E-4</v>
      </c>
    </row>
    <row r="232" spans="1:32" ht="14.4" customHeight="1">
      <c r="A232" s="217">
        <v>198</v>
      </c>
      <c r="B232" s="55" t="s">
        <v>254</v>
      </c>
      <c r="C232" s="56" t="s">
        <v>46</v>
      </c>
      <c r="D232" s="142" t="s">
        <v>329</v>
      </c>
      <c r="E232" s="67">
        <v>2254055982.3400002</v>
      </c>
      <c r="F232" s="62">
        <f t="shared" si="185"/>
        <v>1.6119755295967552E-2</v>
      </c>
      <c r="G232" s="142" t="s">
        <v>329</v>
      </c>
      <c r="H232" s="87">
        <v>154.74</v>
      </c>
      <c r="I232" s="142" t="s">
        <v>329</v>
      </c>
      <c r="J232" s="87">
        <v>154.74</v>
      </c>
      <c r="K232" s="63">
        <v>3586</v>
      </c>
      <c r="L232" s="64">
        <v>5.0000000000000001E-3</v>
      </c>
      <c r="M232" s="64">
        <v>0.13170000000000001</v>
      </c>
      <c r="N232" s="142" t="s">
        <v>329</v>
      </c>
      <c r="O232" s="67">
        <v>2402237722.3699999</v>
      </c>
      <c r="P232" s="62">
        <f t="shared" si="174"/>
        <v>1.6925537347755659E-2</v>
      </c>
      <c r="Q232" s="142" t="s">
        <v>329</v>
      </c>
      <c r="R232" s="87">
        <v>155.78</v>
      </c>
      <c r="S232" s="142" t="s">
        <v>329</v>
      </c>
      <c r="T232" s="87">
        <v>155.78</v>
      </c>
      <c r="U232" s="63">
        <v>3693</v>
      </c>
      <c r="V232" s="64">
        <v>6.7000000000000002E-3</v>
      </c>
      <c r="W232" s="64">
        <v>0.1401</v>
      </c>
      <c r="X232" s="156">
        <f t="shared" si="175"/>
        <v>6.5740044253988772E-2</v>
      </c>
      <c r="Y232" s="156">
        <f t="shared" si="176"/>
        <v>6.7209512731032182E-3</v>
      </c>
      <c r="Z232" s="156">
        <f t="shared" si="177"/>
        <v>2.9838259899609594E-2</v>
      </c>
      <c r="AA232" s="156">
        <f t="shared" si="178"/>
        <v>1.7000000000000001E-3</v>
      </c>
      <c r="AB232" s="157">
        <f t="shared" si="179"/>
        <v>8.3999999999999908E-3</v>
      </c>
    </row>
    <row r="233" spans="1:32">
      <c r="A233" s="217">
        <v>199</v>
      </c>
      <c r="B233" s="55" t="s">
        <v>255</v>
      </c>
      <c r="C233" s="56" t="s">
        <v>49</v>
      </c>
      <c r="D233" s="142" t="s">
        <v>329</v>
      </c>
      <c r="E233" s="67">
        <v>4126503897.9699998</v>
      </c>
      <c r="F233" s="62">
        <f t="shared" si="185"/>
        <v>2.9510461844908648E-2</v>
      </c>
      <c r="G233" s="142" t="s">
        <v>329</v>
      </c>
      <c r="H233" s="87">
        <v>1.1625700000000001</v>
      </c>
      <c r="I233" s="142" t="s">
        <v>329</v>
      </c>
      <c r="J233" s="87">
        <v>1.1625700000000001</v>
      </c>
      <c r="K233" s="63">
        <v>2355</v>
      </c>
      <c r="L233" s="64">
        <v>2.2000000000000001E-3</v>
      </c>
      <c r="M233" s="64">
        <v>0.12039999999999999</v>
      </c>
      <c r="N233" s="142" t="s">
        <v>329</v>
      </c>
      <c r="O233" s="67">
        <v>4136661785.25</v>
      </c>
      <c r="P233" s="62">
        <f t="shared" si="174"/>
        <v>2.9145834689585527E-2</v>
      </c>
      <c r="Q233" s="142" t="s">
        <v>329</v>
      </c>
      <c r="R233" s="87">
        <v>1.1652</v>
      </c>
      <c r="S233" s="142" t="s">
        <v>329</v>
      </c>
      <c r="T233" s="87">
        <v>1.1652</v>
      </c>
      <c r="U233" s="63">
        <v>2368</v>
      </c>
      <c r="V233" s="64">
        <v>2.2000000000000001E-3</v>
      </c>
      <c r="W233" s="64">
        <v>0.1211</v>
      </c>
      <c r="X233" s="156">
        <f t="shared" si="175"/>
        <v>2.4616206675576631E-3</v>
      </c>
      <c r="Y233" s="156">
        <f t="shared" si="176"/>
        <v>2.2622293711345638E-3</v>
      </c>
      <c r="Z233" s="156">
        <f t="shared" si="177"/>
        <v>5.5201698513800421E-3</v>
      </c>
      <c r="AA233" s="156">
        <f t="shared" si="178"/>
        <v>0</v>
      </c>
      <c r="AB233" s="157">
        <f t="shared" si="179"/>
        <v>7.0000000000000617E-4</v>
      </c>
    </row>
    <row r="234" spans="1:32" ht="4.8" customHeight="1">
      <c r="B234" s="226"/>
      <c r="C234" s="226"/>
      <c r="D234" s="226"/>
      <c r="E234" s="226"/>
      <c r="F234" s="226"/>
      <c r="G234" s="226"/>
      <c r="H234" s="226"/>
      <c r="I234" s="226"/>
      <c r="J234" s="226"/>
      <c r="K234" s="226"/>
      <c r="L234" s="226"/>
      <c r="M234" s="226"/>
      <c r="N234" s="226"/>
      <c r="O234" s="226"/>
      <c r="P234" s="226"/>
      <c r="Q234" s="226"/>
      <c r="R234" s="226"/>
      <c r="S234" s="226"/>
      <c r="T234" s="226"/>
      <c r="U234" s="226"/>
      <c r="V234" s="226"/>
      <c r="W234" s="226"/>
      <c r="X234" s="226"/>
      <c r="Y234" s="226"/>
      <c r="Z234" s="226"/>
      <c r="AA234" s="226"/>
      <c r="AB234" s="226"/>
    </row>
    <row r="235" spans="1:32">
      <c r="A235" s="165"/>
      <c r="B235" s="227" t="s">
        <v>333</v>
      </c>
      <c r="C235" s="227"/>
      <c r="D235" s="227"/>
      <c r="E235" s="227"/>
      <c r="F235" s="227"/>
      <c r="G235" s="227"/>
      <c r="H235" s="227"/>
      <c r="I235" s="227"/>
      <c r="J235" s="227"/>
      <c r="K235" s="227"/>
      <c r="L235" s="227"/>
      <c r="M235" s="227"/>
      <c r="N235" s="227"/>
      <c r="O235" s="227"/>
      <c r="P235" s="227"/>
      <c r="Q235" s="227"/>
      <c r="R235" s="227"/>
      <c r="S235" s="227"/>
      <c r="T235" s="227"/>
      <c r="U235" s="227"/>
      <c r="V235" s="227"/>
      <c r="W235" s="227"/>
      <c r="X235" s="227"/>
      <c r="Y235" s="227"/>
      <c r="Z235" s="227"/>
      <c r="AA235" s="227"/>
      <c r="AB235" s="227"/>
    </row>
    <row r="236" spans="1:32">
      <c r="A236" s="217">
        <v>200</v>
      </c>
      <c r="B236" s="55" t="s">
        <v>256</v>
      </c>
      <c r="C236" s="56" t="s">
        <v>19</v>
      </c>
      <c r="D236" s="142" t="s">
        <v>329</v>
      </c>
      <c r="E236" s="103">
        <v>660511978.76999998</v>
      </c>
      <c r="F236" s="62">
        <f>(E236/$E$212)</f>
        <v>3.4606255679875263E-2</v>
      </c>
      <c r="G236" s="142" t="s">
        <v>329</v>
      </c>
      <c r="H236" s="104">
        <v>119.50230000000001</v>
      </c>
      <c r="I236" s="142" t="s">
        <v>329</v>
      </c>
      <c r="J236" s="104">
        <v>119.50230000000001</v>
      </c>
      <c r="K236" s="59">
        <v>108</v>
      </c>
      <c r="L236" s="60">
        <v>2.3E-3</v>
      </c>
      <c r="M236" s="60">
        <v>0.1394</v>
      </c>
      <c r="N236" s="142" t="s">
        <v>329</v>
      </c>
      <c r="O236" s="103">
        <v>665489408.47000003</v>
      </c>
      <c r="P236" s="84">
        <f>(O236/O237)</f>
        <v>3.7944676633330891E-2</v>
      </c>
      <c r="Q236" s="142" t="s">
        <v>329</v>
      </c>
      <c r="R236" s="104">
        <v>119.9372</v>
      </c>
      <c r="S236" s="142" t="s">
        <v>329</v>
      </c>
      <c r="T236" s="104">
        <v>119.9372</v>
      </c>
      <c r="U236" s="59">
        <v>108</v>
      </c>
      <c r="V236" s="60">
        <v>3.5999999999999999E-3</v>
      </c>
      <c r="W236" s="60">
        <v>0.14360000000000001</v>
      </c>
      <c r="X236" s="156">
        <f>((O236-E236)/E236)</f>
        <v>7.5357145062970345E-3</v>
      </c>
      <c r="Y236" s="156">
        <f t="shared" ref="Y236" si="186">((T236-J236)/J236)</f>
        <v>3.6392604995887021E-3</v>
      </c>
      <c r="Z236" s="156">
        <f t="shared" ref="Z236" si="187">((U236-K236)/K236)</f>
        <v>0</v>
      </c>
      <c r="AA236" s="156">
        <f t="shared" ref="AA236" si="188">V236-L236</f>
        <v>1.2999999999999999E-3</v>
      </c>
      <c r="AB236" s="157">
        <f t="shared" ref="AB236" si="189">W236-M236</f>
        <v>4.2000000000000093E-3</v>
      </c>
      <c r="AD236" s="192"/>
      <c r="AE236" s="193"/>
    </row>
    <row r="237" spans="1:32">
      <c r="A237" s="219">
        <v>201</v>
      </c>
      <c r="B237" s="55" t="s">
        <v>257</v>
      </c>
      <c r="C237" s="56" t="s">
        <v>23</v>
      </c>
      <c r="D237" s="142" t="s">
        <v>329</v>
      </c>
      <c r="E237" s="103">
        <v>17438820481.959999</v>
      </c>
      <c r="F237" s="62">
        <f>(E237/$E$212)</f>
        <v>0.91367348322428865</v>
      </c>
      <c r="G237" s="142" t="s">
        <v>329</v>
      </c>
      <c r="H237" s="104">
        <v>147.79910000000001</v>
      </c>
      <c r="I237" s="142" t="s">
        <v>329</v>
      </c>
      <c r="J237" s="104">
        <v>152.24051890000001</v>
      </c>
      <c r="K237" s="59">
        <v>7861</v>
      </c>
      <c r="L237" s="60">
        <v>-0.1033</v>
      </c>
      <c r="M237" s="60">
        <v>0.41920000000000002</v>
      </c>
      <c r="N237" s="142" t="s">
        <v>329</v>
      </c>
      <c r="O237" s="103">
        <v>17538412961.080002</v>
      </c>
      <c r="P237" s="84">
        <f>(O237/$O$212)</f>
        <v>0.8981016869847247</v>
      </c>
      <c r="Q237" s="142" t="s">
        <v>329</v>
      </c>
      <c r="R237" s="104">
        <v>147.77000000000001</v>
      </c>
      <c r="S237" s="142" t="s">
        <v>329</v>
      </c>
      <c r="T237" s="104">
        <v>152.21</v>
      </c>
      <c r="U237" s="59">
        <v>7974</v>
      </c>
      <c r="V237" s="60">
        <v>-1.01E-2</v>
      </c>
      <c r="W237" s="60">
        <v>0.74590000000000001</v>
      </c>
      <c r="X237" s="156">
        <f>((O237-E237)/E237)</f>
        <v>5.7109641803485822E-3</v>
      </c>
      <c r="Y237" s="156">
        <f t="shared" ref="Y237" si="190">((T237-J237)/J237)</f>
        <v>-2.00465028761828E-4</v>
      </c>
      <c r="Z237" s="156">
        <f t="shared" ref="Z237" si="191">((U237-K237)/K237)</f>
        <v>1.4374761480727643E-2</v>
      </c>
      <c r="AA237" s="156">
        <f t="shared" ref="AA237" si="192">V237-L237</f>
        <v>9.3200000000000005E-2</v>
      </c>
      <c r="AB237" s="157">
        <f t="shared" ref="AB237" si="193">W237-M237</f>
        <v>0.32669999999999999</v>
      </c>
      <c r="AC237" s="40"/>
      <c r="AD237" s="40"/>
      <c r="AE237" s="40"/>
      <c r="AF237" s="50"/>
    </row>
    <row r="238" spans="1:32">
      <c r="A238" s="217">
        <v>202</v>
      </c>
      <c r="B238" s="55" t="s">
        <v>258</v>
      </c>
      <c r="C238" s="56" t="s">
        <v>238</v>
      </c>
      <c r="D238" s="142" t="s">
        <v>329</v>
      </c>
      <c r="E238" s="67">
        <v>402536320.99000001</v>
      </c>
      <c r="F238" s="62">
        <f t="shared" ref="F238" si="194">(E238/$E$240)</f>
        <v>2.8787159870633078E-3</v>
      </c>
      <c r="G238" s="142" t="s">
        <v>329</v>
      </c>
      <c r="H238" s="66">
        <v>1580.78</v>
      </c>
      <c r="I238" s="142" t="s">
        <v>329</v>
      </c>
      <c r="J238" s="66">
        <v>1580.78</v>
      </c>
      <c r="K238" s="63">
        <v>183</v>
      </c>
      <c r="L238" s="64">
        <v>-2.2700000000000001E-2</v>
      </c>
      <c r="M238" s="64">
        <v>0.2666</v>
      </c>
      <c r="N238" s="142" t="s">
        <v>329</v>
      </c>
      <c r="O238" s="67">
        <v>405426002.82999998</v>
      </c>
      <c r="P238" s="62">
        <f t="shared" ref="P238" si="195">(O238/$O$240)</f>
        <v>2.8565253508218542E-3</v>
      </c>
      <c r="Q238" s="142" t="s">
        <v>329</v>
      </c>
      <c r="R238" s="66">
        <v>1592.04</v>
      </c>
      <c r="S238" s="142" t="s">
        <v>329</v>
      </c>
      <c r="T238" s="66">
        <v>1592.04</v>
      </c>
      <c r="U238" s="63">
        <v>183</v>
      </c>
      <c r="V238" s="64">
        <v>0.71</v>
      </c>
      <c r="W238" s="64">
        <v>0.27560000000000001</v>
      </c>
      <c r="X238" s="156">
        <f t="shared" ref="X238" si="196">((O238-E238)/E238)</f>
        <v>7.1786859702326353E-3</v>
      </c>
      <c r="Y238" s="156">
        <f t="shared" ref="Y238" si="197">((T238-J238)/J238)</f>
        <v>7.1230658282619916E-3</v>
      </c>
      <c r="Z238" s="156">
        <f t="shared" ref="Z238" si="198">((U238-K238)/K238)</f>
        <v>0</v>
      </c>
      <c r="AA238" s="156">
        <f t="shared" ref="AA238" si="199">V238-L238</f>
        <v>0.73270000000000002</v>
      </c>
      <c r="AB238" s="157">
        <f t="shared" ref="AB238" si="200">W238-M238</f>
        <v>9.000000000000008E-3</v>
      </c>
      <c r="AD238" s="170"/>
    </row>
    <row r="239" spans="1:32">
      <c r="A239" s="217">
        <v>203</v>
      </c>
      <c r="B239" s="55" t="s">
        <v>259</v>
      </c>
      <c r="C239" s="56" t="s">
        <v>260</v>
      </c>
      <c r="D239" s="142" t="s">
        <v>329</v>
      </c>
      <c r="E239" s="67">
        <v>190363261.91</v>
      </c>
      <c r="F239" s="62">
        <f t="shared" ref="F239" si="201">(E239/$E$240)</f>
        <v>1.3613722211751678E-3</v>
      </c>
      <c r="G239" s="142" t="s">
        <v>329</v>
      </c>
      <c r="H239" s="66">
        <v>135.47999999999999</v>
      </c>
      <c r="I239" s="142" t="s">
        <v>329</v>
      </c>
      <c r="J239" s="66">
        <v>138.27000000000001</v>
      </c>
      <c r="K239" s="63">
        <v>344</v>
      </c>
      <c r="L239" s="64">
        <v>1.8E-3</v>
      </c>
      <c r="M239" s="64">
        <v>0.22889999999999999</v>
      </c>
      <c r="N239" s="142" t="s">
        <v>329</v>
      </c>
      <c r="O239" s="67">
        <v>194707970.30000001</v>
      </c>
      <c r="P239" s="62">
        <f t="shared" ref="P239" si="202">(O239/$O$240)</f>
        <v>1.3718613243517959E-3</v>
      </c>
      <c r="Q239" s="142" t="s">
        <v>329</v>
      </c>
      <c r="R239" s="66">
        <v>135.82</v>
      </c>
      <c r="S239" s="142" t="s">
        <v>329</v>
      </c>
      <c r="T239" s="66">
        <v>138.61000000000001</v>
      </c>
      <c r="U239" s="63">
        <v>345</v>
      </c>
      <c r="V239" s="64">
        <v>2.5000000000000001E-3</v>
      </c>
      <c r="W239" s="64">
        <v>0.22589999999999999</v>
      </c>
      <c r="X239" s="156">
        <f t="shared" ref="X239" si="203">((O239-E239)/E239)</f>
        <v>2.2823250381442339E-2</v>
      </c>
      <c r="Y239" s="156">
        <f t="shared" ref="Y239" si="204">((T239-J239)/J239)</f>
        <v>2.4589571128950847E-3</v>
      </c>
      <c r="Z239" s="156">
        <f t="shared" ref="Z239" si="205">((U239-K239)/K239)</f>
        <v>2.9069767441860465E-3</v>
      </c>
      <c r="AA239" s="156">
        <f t="shared" ref="AA239" si="206">V239-L239</f>
        <v>7.000000000000001E-4</v>
      </c>
      <c r="AB239" s="157">
        <f t="shared" ref="AB239" si="207">W239-M239</f>
        <v>-3.0000000000000027E-3</v>
      </c>
    </row>
    <row r="240" spans="1:32">
      <c r="B240" s="70"/>
      <c r="C240" s="94" t="s">
        <v>52</v>
      </c>
      <c r="D240" s="116" t="s">
        <v>329</v>
      </c>
      <c r="E240" s="85">
        <f>SUM(E216:E239)</f>
        <v>139831898248.72</v>
      </c>
      <c r="F240" s="73">
        <f>(E240/$E$241)</f>
        <v>1.4955522440500557E-2</v>
      </c>
      <c r="G240" s="116" t="s">
        <v>329</v>
      </c>
      <c r="H240" s="74"/>
      <c r="I240" s="116" t="s">
        <v>329</v>
      </c>
      <c r="J240" s="98"/>
      <c r="K240" s="106">
        <f>SUM(K216:K239)</f>
        <v>60004</v>
      </c>
      <c r="L240" s="99"/>
      <c r="M240" s="99"/>
      <c r="N240" s="142" t="s">
        <v>329</v>
      </c>
      <c r="O240" s="85">
        <f>SUM(O216:O239)</f>
        <v>141929775877.30997</v>
      </c>
      <c r="P240" s="73">
        <f>(O240/$O$241)</f>
        <v>1.5144090446981109E-2</v>
      </c>
      <c r="Q240" s="142" t="s">
        <v>329</v>
      </c>
      <c r="R240" s="74"/>
      <c r="S240" s="142" t="s">
        <v>329</v>
      </c>
      <c r="T240" s="98"/>
      <c r="U240" s="76">
        <f>SUM(U216:U239)</f>
        <v>60505</v>
      </c>
      <c r="V240" s="99"/>
      <c r="W240" s="99"/>
      <c r="X240" s="156">
        <f t="shared" si="175"/>
        <v>1.5002854533651942E-2</v>
      </c>
      <c r="Y240" s="156" t="e">
        <f t="shared" si="176"/>
        <v>#DIV/0!</v>
      </c>
      <c r="Z240" s="156">
        <f t="shared" si="177"/>
        <v>8.3494433704419703E-3</v>
      </c>
      <c r="AA240" s="156">
        <f t="shared" si="178"/>
        <v>0</v>
      </c>
      <c r="AB240" s="157">
        <f t="shared" si="179"/>
        <v>0</v>
      </c>
    </row>
    <row r="241" spans="1:33">
      <c r="A241" s="166"/>
      <c r="B241" s="107"/>
      <c r="C241" s="108" t="s">
        <v>261</v>
      </c>
      <c r="D241" s="108"/>
      <c r="E241" s="109">
        <f>SUM(E27,E78,E119,E163,E172,E206,E212,E240)</f>
        <v>9349850451900.3535</v>
      </c>
      <c r="F241" s="110"/>
      <c r="G241" s="110"/>
      <c r="H241" s="110"/>
      <c r="I241" s="110"/>
      <c r="J241" s="111"/>
      <c r="K241" s="109">
        <f>SUM(K27,K78,K119,K163,K172,K206,K212,K240)</f>
        <v>1463128</v>
      </c>
      <c r="L241" s="112"/>
      <c r="M241" s="112"/>
      <c r="N241" s="112"/>
      <c r="O241" s="109">
        <f>SUM(O27,O78,O119,O163,O172,O206,O212,O240)</f>
        <v>9371957753039.0996</v>
      </c>
      <c r="P241" s="110"/>
      <c r="Q241" s="110"/>
      <c r="R241" s="110"/>
      <c r="S241" s="110"/>
      <c r="T241" s="111"/>
      <c r="U241" s="109">
        <f>SUM(U27,U78,U119,U163,U172,U206,U212,U240)</f>
        <v>1473314.89</v>
      </c>
      <c r="V241" s="113"/>
      <c r="W241" s="109"/>
      <c r="X241" s="114">
        <f t="shared" si="175"/>
        <v>2.3644550522466156E-3</v>
      </c>
      <c r="Y241" s="114"/>
      <c r="Z241" s="114"/>
      <c r="AA241" s="114"/>
      <c r="AB241" s="114"/>
    </row>
    <row r="242" spans="1:33" ht="6.75" customHeight="1">
      <c r="B242" s="226"/>
      <c r="C242" s="226"/>
      <c r="D242" s="226"/>
      <c r="E242" s="226"/>
      <c r="F242" s="226"/>
      <c r="G242" s="226"/>
      <c r="H242" s="226"/>
      <c r="I242" s="226"/>
      <c r="J242" s="226"/>
      <c r="K242" s="226"/>
      <c r="L242" s="226"/>
      <c r="M242" s="226"/>
      <c r="N242" s="226"/>
      <c r="O242" s="226"/>
      <c r="P242" s="226"/>
      <c r="Q242" s="226"/>
      <c r="R242" s="226"/>
      <c r="S242" s="226"/>
      <c r="T242" s="226"/>
      <c r="U242" s="226"/>
      <c r="V242" s="226"/>
      <c r="W242" s="226"/>
      <c r="X242" s="226"/>
      <c r="Y242" s="226"/>
      <c r="Z242" s="226"/>
      <c r="AA242" s="226"/>
      <c r="AB242" s="70"/>
    </row>
    <row r="243" spans="1:33" ht="14.4" customHeight="1">
      <c r="A243" s="162"/>
      <c r="B243" s="224" t="s">
        <v>262</v>
      </c>
      <c r="C243" s="224"/>
      <c r="D243" s="224"/>
      <c r="E243" s="224"/>
      <c r="F243" s="224"/>
      <c r="G243" s="224"/>
      <c r="H243" s="224"/>
      <c r="I243" s="224"/>
      <c r="J243" s="224"/>
      <c r="K243" s="224"/>
      <c r="L243" s="224"/>
      <c r="M243" s="224"/>
      <c r="N243" s="224"/>
      <c r="O243" s="224"/>
      <c r="P243" s="224"/>
      <c r="Q243" s="224"/>
      <c r="R243" s="224"/>
      <c r="S243" s="224"/>
      <c r="T243" s="224"/>
      <c r="U243" s="224"/>
      <c r="V243" s="224"/>
      <c r="W243" s="224"/>
      <c r="X243" s="224"/>
      <c r="Y243" s="224"/>
      <c r="Z243" s="224"/>
      <c r="AA243" s="224"/>
      <c r="AB243" s="224"/>
    </row>
    <row r="244" spans="1:33" ht="14.4" customHeight="1">
      <c r="A244" s="219">
        <v>1</v>
      </c>
      <c r="B244" s="55" t="s">
        <v>263</v>
      </c>
      <c r="C244" s="56" t="s">
        <v>23</v>
      </c>
      <c r="D244" s="145">
        <v>1915967.13</v>
      </c>
      <c r="E244" s="67">
        <v>2644038471.33426</v>
      </c>
      <c r="F244" s="62">
        <f t="shared" ref="F244" si="208">(E244/$E$240)</f>
        <v>1.8908693255606741E-2</v>
      </c>
      <c r="G244" s="145">
        <v>1.062136111</v>
      </c>
      <c r="H244" s="66">
        <v>1463.2659538522221</v>
      </c>
      <c r="I244" s="66">
        <v>1.062136111</v>
      </c>
      <c r="J244" s="66">
        <v>1463.2659538522221</v>
      </c>
      <c r="K244" s="63">
        <v>60</v>
      </c>
      <c r="L244" s="64">
        <v>8.8499999999999995E-2</v>
      </c>
      <c r="M244" s="64">
        <v>4.5400000000000003E-2</v>
      </c>
      <c r="N244" s="145">
        <v>2026511.14</v>
      </c>
      <c r="O244" s="67">
        <f>2026511.14*1363.16667403808</f>
        <v>2762472450.6149178</v>
      </c>
      <c r="P244" s="62">
        <f t="shared" ref="P244:P249" si="209">(O244/$O$250)</f>
        <v>8.62846798805081E-2</v>
      </c>
      <c r="Q244" s="145">
        <v>1.06</v>
      </c>
      <c r="R244" s="66">
        <f>1.06*1363.16667403808</f>
        <v>1444.9566744803649</v>
      </c>
      <c r="S244" s="145">
        <v>1.06</v>
      </c>
      <c r="T244" s="66">
        <f>1.06*1363.16667403808</f>
        <v>1444.9566744803649</v>
      </c>
      <c r="U244" s="63">
        <v>62</v>
      </c>
      <c r="V244" s="64">
        <v>2.4500000000000001E-2</v>
      </c>
      <c r="W244" s="64">
        <v>4.4699999999999997E-2</v>
      </c>
      <c r="X244" s="156">
        <f t="shared" ref="X244" si="210">((O244-E244)/E244)</f>
        <v>4.4792835113663262E-2</v>
      </c>
      <c r="Y244" s="156">
        <f t="shared" ref="Y244" si="211">((T244-J244)/J244)</f>
        <v>-1.251261216298776E-2</v>
      </c>
      <c r="Z244" s="156">
        <f t="shared" ref="Z244" si="212">((U244-K244)/K244)</f>
        <v>3.3333333333333333E-2</v>
      </c>
      <c r="AA244" s="156">
        <f t="shared" ref="AA244" si="213">V244-L244</f>
        <v>-6.4000000000000001E-2</v>
      </c>
      <c r="AB244" s="157">
        <f t="shared" ref="AB244" si="214">W244-M244</f>
        <v>-7.0000000000000617E-4</v>
      </c>
    </row>
    <row r="245" spans="1:33" ht="14.4" customHeight="1">
      <c r="A245" s="219">
        <v>2</v>
      </c>
      <c r="B245" s="55" t="s">
        <v>264</v>
      </c>
      <c r="C245" s="56" t="s">
        <v>198</v>
      </c>
      <c r="D245" s="143" t="s">
        <v>329</v>
      </c>
      <c r="E245" s="67">
        <v>15458837888.49</v>
      </c>
      <c r="F245" s="62">
        <f t="shared" ref="F245" si="215">(E245/$E$240)</f>
        <v>0.11055301459895261</v>
      </c>
      <c r="G245" s="143" t="s">
        <v>329</v>
      </c>
      <c r="H245" s="66">
        <v>123.2</v>
      </c>
      <c r="I245" s="66" t="s">
        <v>329</v>
      </c>
      <c r="J245" s="66">
        <v>123.2</v>
      </c>
      <c r="K245" s="63">
        <v>11</v>
      </c>
      <c r="L245" s="64">
        <v>1.5E-3</v>
      </c>
      <c r="M245" s="64">
        <v>2.7581000000000002</v>
      </c>
      <c r="N245" s="143" t="s">
        <v>329</v>
      </c>
      <c r="O245" s="67">
        <v>15515101730.450001</v>
      </c>
      <c r="P245" s="62">
        <f t="shared" si="209"/>
        <v>0.48460775991717192</v>
      </c>
      <c r="Q245" s="143" t="s">
        <v>329</v>
      </c>
      <c r="R245" s="66">
        <v>123.2</v>
      </c>
      <c r="S245" s="143" t="s">
        <v>329</v>
      </c>
      <c r="T245" s="66">
        <v>123.2</v>
      </c>
      <c r="U245" s="63">
        <v>11</v>
      </c>
      <c r="V245" s="64">
        <v>3.5999999999999999E-3</v>
      </c>
      <c r="W245" s="64">
        <v>2.7717999999999998</v>
      </c>
      <c r="X245" s="156">
        <f t="shared" ref="X245" si="216">((O245-E245)/E245)</f>
        <v>3.6395906578393375E-3</v>
      </c>
      <c r="Y245" s="156">
        <f t="shared" ref="Y245" si="217">((T245-J245)/J245)</f>
        <v>0</v>
      </c>
      <c r="Z245" s="156">
        <f t="shared" ref="Z245" si="218">((U245-K245)/K245)</f>
        <v>0</v>
      </c>
      <c r="AA245" s="156">
        <f t="shared" ref="AA245" si="219">V245-L245</f>
        <v>2.0999999999999999E-3</v>
      </c>
      <c r="AB245" s="157">
        <f t="shared" ref="AB245" si="220">W245-M245</f>
        <v>1.3699999999999601E-2</v>
      </c>
      <c r="AD245" s="48"/>
      <c r="AE245" s="33"/>
      <c r="AG245" s="48"/>
    </row>
    <row r="246" spans="1:33" ht="14.4" customHeight="1">
      <c r="A246" s="219">
        <v>3</v>
      </c>
      <c r="B246" s="55" t="s">
        <v>265</v>
      </c>
      <c r="C246" s="56" t="s">
        <v>38</v>
      </c>
      <c r="D246" s="143" t="s">
        <v>329</v>
      </c>
      <c r="E246" s="67">
        <v>11102680659.620001</v>
      </c>
      <c r="F246" s="62">
        <f>(E246/$E$240)</f>
        <v>7.9400199801847662E-2</v>
      </c>
      <c r="G246" s="143" t="s">
        <v>329</v>
      </c>
      <c r="H246" s="66">
        <v>1.0640000000000001</v>
      </c>
      <c r="I246" s="66" t="s">
        <v>329</v>
      </c>
      <c r="J246" s="66">
        <v>1.0640000000000001</v>
      </c>
      <c r="K246" s="63">
        <v>16</v>
      </c>
      <c r="L246" s="64">
        <v>4.0000000000000001E-3</v>
      </c>
      <c r="M246" s="64">
        <v>0.2064</v>
      </c>
      <c r="N246" s="143" t="s">
        <v>329</v>
      </c>
      <c r="O246" s="67">
        <v>11143317535.34</v>
      </c>
      <c r="P246" s="62">
        <f t="shared" si="209"/>
        <v>0.34805689596275902</v>
      </c>
      <c r="Q246" s="143" t="s">
        <v>329</v>
      </c>
      <c r="R246" s="66">
        <v>1.0680000000000001</v>
      </c>
      <c r="S246" s="143" t="s">
        <v>329</v>
      </c>
      <c r="T246" s="66">
        <v>1.0680000000000001</v>
      </c>
      <c r="U246" s="63">
        <v>16</v>
      </c>
      <c r="V246" s="64">
        <v>7.6E-3</v>
      </c>
      <c r="W246" s="64">
        <v>0.1908</v>
      </c>
      <c r="X246" s="156">
        <f>((O246-E246)/E246)</f>
        <v>3.6600958782678477E-3</v>
      </c>
      <c r="Y246" s="156">
        <f>((T246-J246)/J246)</f>
        <v>3.7593984962406048E-3</v>
      </c>
      <c r="Z246" s="156">
        <f>((U246-K246)/K246)</f>
        <v>0</v>
      </c>
      <c r="AA246" s="156">
        <f>V246-L246</f>
        <v>3.5999999999999999E-3</v>
      </c>
      <c r="AB246" s="157">
        <f>W246-M246</f>
        <v>-1.5600000000000003E-2</v>
      </c>
      <c r="AD246" s="169"/>
      <c r="AE246" s="33"/>
      <c r="AG246" s="169"/>
    </row>
    <row r="247" spans="1:33" ht="14.4" customHeight="1">
      <c r="A247" s="219">
        <v>4</v>
      </c>
      <c r="B247" s="55" t="s">
        <v>327</v>
      </c>
      <c r="C247" s="56" t="s">
        <v>79</v>
      </c>
      <c r="D247" s="145">
        <v>927364.44</v>
      </c>
      <c r="E247" s="67">
        <v>1281339446.7479999</v>
      </c>
      <c r="F247" s="62">
        <f>(E247/$E$240)</f>
        <v>9.1634273924313912E-3</v>
      </c>
      <c r="G247" s="145">
        <v>112.5</v>
      </c>
      <c r="H247" s="66">
        <v>155441.25</v>
      </c>
      <c r="I247" s="66">
        <v>112.5</v>
      </c>
      <c r="J247" s="66">
        <v>155441.25</v>
      </c>
      <c r="K247" s="63">
        <v>18</v>
      </c>
      <c r="L247" s="64">
        <v>-2E-3</v>
      </c>
      <c r="M247" s="64">
        <v>6.4000000000000003E-3</v>
      </c>
      <c r="N247" s="145">
        <v>926136.24</v>
      </c>
      <c r="O247" s="67">
        <f>926136.24*1363.17</f>
        <v>1262481138.2808001</v>
      </c>
      <c r="P247" s="62">
        <f t="shared" si="209"/>
        <v>3.9433074109930119E-2</v>
      </c>
      <c r="Q247" s="66">
        <v>112.35</v>
      </c>
      <c r="R247" s="66">
        <f>Q247*1363.17</f>
        <v>153152.1495</v>
      </c>
      <c r="S247" s="66">
        <v>112.35</v>
      </c>
      <c r="T247" s="66">
        <f>S247*1363.17</f>
        <v>153152.1495</v>
      </c>
      <c r="U247" s="63">
        <v>18</v>
      </c>
      <c r="V247" s="64">
        <v>-1.2999999999999999E-3</v>
      </c>
      <c r="W247" s="82">
        <v>5.0000000000000001E-3</v>
      </c>
      <c r="X247" s="156">
        <f t="shared" ref="X247" si="221">((O247-E247)/E247)</f>
        <v>-1.4717652309121997E-2</v>
      </c>
      <c r="Y247" s="156">
        <f t="shared" ref="Y247" si="222">((T247-J247)/J247)</f>
        <v>-1.4726467395237754E-2</v>
      </c>
      <c r="Z247" s="156">
        <f t="shared" ref="Z247" si="223">((U247-K247)/K247)</f>
        <v>0</v>
      </c>
      <c r="AA247" s="156">
        <f t="shared" ref="AA247" si="224">V247-L247</f>
        <v>7.000000000000001E-4</v>
      </c>
      <c r="AB247" s="157">
        <f t="shared" ref="AB247" si="225">W247-M247</f>
        <v>-1.4000000000000002E-3</v>
      </c>
      <c r="AD247" s="40"/>
    </row>
    <row r="248" spans="1:33" ht="14.4" customHeight="1">
      <c r="A248" s="217">
        <v>5</v>
      </c>
      <c r="B248" s="55" t="s">
        <v>266</v>
      </c>
      <c r="C248" s="56" t="s">
        <v>49</v>
      </c>
      <c r="D248" s="143" t="s">
        <v>329</v>
      </c>
      <c r="E248" s="67">
        <v>462174177.42000002</v>
      </c>
      <c r="F248" s="62">
        <f t="shared" ref="F248" si="226">(E248/$E$240)</f>
        <v>3.3052127819785974E-3</v>
      </c>
      <c r="G248" s="143" t="s">
        <v>329</v>
      </c>
      <c r="H248" s="66">
        <v>1.4659599999999999</v>
      </c>
      <c r="I248" s="66" t="s">
        <v>329</v>
      </c>
      <c r="J248" s="66">
        <v>1.4659599999999999</v>
      </c>
      <c r="K248" s="63">
        <v>60</v>
      </c>
      <c r="L248" s="64">
        <v>3.3E-3</v>
      </c>
      <c r="M248" s="64">
        <v>0.34399999999999997</v>
      </c>
      <c r="N248" s="143" t="s">
        <v>329</v>
      </c>
      <c r="O248" s="67">
        <v>471187340.88999999</v>
      </c>
      <c r="P248" s="62">
        <f t="shared" si="209"/>
        <v>1.4717340932537277E-2</v>
      </c>
      <c r="Q248" s="143" t="s">
        <v>329</v>
      </c>
      <c r="R248" s="66">
        <v>1.4882</v>
      </c>
      <c r="S248" s="143" t="s">
        <v>329</v>
      </c>
      <c r="T248" s="66">
        <v>1.4882</v>
      </c>
      <c r="U248" s="63">
        <v>60</v>
      </c>
      <c r="V248" s="64">
        <v>1.49E-2</v>
      </c>
      <c r="W248" s="64">
        <v>0.39750000000000002</v>
      </c>
      <c r="X248" s="156">
        <f t="shared" ref="X248:X250" si="227">((O248-E248)/E248)</f>
        <v>1.9501659569806019E-2</v>
      </c>
      <c r="Y248" s="156">
        <f t="shared" ref="Y248" si="228">((T248-J248)/J248)</f>
        <v>1.5170946001255176E-2</v>
      </c>
      <c r="Z248" s="156">
        <f t="shared" ref="Z248" si="229">((U248-K248)/K248)</f>
        <v>0</v>
      </c>
      <c r="AA248" s="156">
        <f t="shared" ref="AA248" si="230">V248-L248</f>
        <v>1.1599999999999999E-2</v>
      </c>
      <c r="AB248" s="157">
        <f t="shared" ref="AB248" si="231">W248-M248</f>
        <v>5.3500000000000048E-2</v>
      </c>
      <c r="AD248" s="30"/>
    </row>
    <row r="249" spans="1:33" ht="14.4" customHeight="1">
      <c r="A249" s="219">
        <v>6</v>
      </c>
      <c r="B249" s="55" t="s">
        <v>315</v>
      </c>
      <c r="C249" s="56" t="s">
        <v>115</v>
      </c>
      <c r="D249" s="145">
        <v>632289.31999999995</v>
      </c>
      <c r="E249" s="67">
        <v>872676045.43740392</v>
      </c>
      <c r="F249" s="62">
        <v>0</v>
      </c>
      <c r="G249" s="145">
        <v>9.9330999999999996</v>
      </c>
      <c r="H249" s="66">
        <v>13709.51264357</v>
      </c>
      <c r="I249" s="66">
        <v>9.9330999999999996</v>
      </c>
      <c r="J249" s="66">
        <v>13709.51264357</v>
      </c>
      <c r="K249" s="63">
        <v>13</v>
      </c>
      <c r="L249" s="64">
        <v>-5.0000000000000001E-4</v>
      </c>
      <c r="M249" s="64">
        <v>-6.7000000000000002E-3</v>
      </c>
      <c r="N249" s="145">
        <v>632289.31999999995</v>
      </c>
      <c r="O249" s="67">
        <f>632289.32*C272</f>
        <v>861232810.09511197</v>
      </c>
      <c r="P249" s="62">
        <f t="shared" si="209"/>
        <v>2.690024919709361E-2</v>
      </c>
      <c r="Q249" s="145">
        <v>9.9330999999999996</v>
      </c>
      <c r="R249" s="66">
        <f>9.9331*C272</f>
        <v>13529.74240646</v>
      </c>
      <c r="S249" s="145">
        <v>9.9330999999999996</v>
      </c>
      <c r="T249" s="66">
        <f>9.9331*C272</f>
        <v>13529.74240646</v>
      </c>
      <c r="U249" s="63">
        <v>13</v>
      </c>
      <c r="V249" s="64">
        <v>-5.0000000000000001E-4</v>
      </c>
      <c r="W249" s="64">
        <v>-6.7000000000000002E-3</v>
      </c>
      <c r="X249" s="156">
        <f t="shared" ref="X249" si="232">((O249-E249)/E249)</f>
        <v>-1.3112810191273621E-2</v>
      </c>
      <c r="Y249" s="156">
        <f t="shared" ref="Y249" si="233">((T249-J249)/J249)</f>
        <v>-1.3112810191273703E-2</v>
      </c>
      <c r="Z249" s="156">
        <f t="shared" ref="Z249" si="234">((U249-K249)/K249)</f>
        <v>0</v>
      </c>
      <c r="AA249" s="156">
        <f t="shared" ref="AA249" si="235">V249-L249</f>
        <v>0</v>
      </c>
      <c r="AB249" s="157">
        <f t="shared" ref="AB249" si="236">W249-M249</f>
        <v>0</v>
      </c>
    </row>
    <row r="250" spans="1:33" ht="14.4" customHeight="1">
      <c r="A250" s="166"/>
      <c r="B250" s="115"/>
      <c r="C250" s="115" t="s">
        <v>52</v>
      </c>
      <c r="D250" s="115"/>
      <c r="E250" s="115">
        <f>SUM(E244:E249)</f>
        <v>31821746689.049664</v>
      </c>
      <c r="F250" s="115"/>
      <c r="G250" s="115"/>
      <c r="H250" s="115"/>
      <c r="I250" s="115"/>
      <c r="J250" s="115"/>
      <c r="K250" s="115">
        <f>SUM(K244:K249)</f>
        <v>178</v>
      </c>
      <c r="L250" s="115"/>
      <c r="M250" s="115"/>
      <c r="N250" s="115"/>
      <c r="O250" s="115">
        <f>SUM(O244:O249)</f>
        <v>32015793005.67083</v>
      </c>
      <c r="P250" s="115"/>
      <c r="Q250" s="115"/>
      <c r="R250" s="115"/>
      <c r="S250" s="115"/>
      <c r="T250" s="115"/>
      <c r="U250" s="115">
        <f>SUM(U244:U249)</f>
        <v>180</v>
      </c>
      <c r="V250" s="115"/>
      <c r="W250" s="115"/>
      <c r="X250" s="114">
        <f t="shared" si="227"/>
        <v>6.0979153192725422E-3</v>
      </c>
      <c r="Y250" s="115"/>
      <c r="Z250" s="115"/>
      <c r="AA250" s="115"/>
      <c r="AB250" s="115"/>
    </row>
    <row r="251" spans="1:33" ht="6" customHeight="1">
      <c r="B251" s="116"/>
      <c r="C251" s="94"/>
      <c r="D251" s="94"/>
      <c r="E251" s="116"/>
      <c r="F251" s="116"/>
      <c r="G251" s="116"/>
      <c r="H251" s="116"/>
      <c r="I251" s="116"/>
      <c r="J251" s="116"/>
      <c r="K251" s="116"/>
      <c r="L251" s="116"/>
      <c r="M251" s="116"/>
      <c r="N251" s="116"/>
      <c r="O251" s="116"/>
      <c r="P251" s="116"/>
      <c r="Q251" s="116"/>
      <c r="R251" s="116"/>
      <c r="S251" s="116"/>
      <c r="T251" s="116"/>
      <c r="U251" s="116"/>
      <c r="V251" s="116"/>
      <c r="W251" s="116"/>
      <c r="X251" s="116"/>
      <c r="Y251" s="116"/>
      <c r="Z251" s="116"/>
      <c r="AA251" s="116"/>
      <c r="AB251" s="70"/>
    </row>
    <row r="252" spans="1:33" ht="15.6">
      <c r="A252" s="162"/>
      <c r="B252" s="224"/>
      <c r="C252" s="224"/>
      <c r="D252" s="224"/>
      <c r="E252" s="224"/>
      <c r="F252" s="224"/>
      <c r="G252" s="224"/>
      <c r="H252" s="224"/>
      <c r="I252" s="224"/>
      <c r="J252" s="224"/>
      <c r="K252" s="224"/>
      <c r="L252" s="224"/>
      <c r="M252" s="224"/>
      <c r="N252" s="224"/>
      <c r="O252" s="224"/>
      <c r="P252" s="224"/>
      <c r="Q252" s="224"/>
      <c r="R252" s="224"/>
      <c r="S252" s="224"/>
      <c r="T252" s="224"/>
      <c r="U252" s="224"/>
      <c r="V252" s="224"/>
      <c r="W252" s="224"/>
      <c r="X252" s="224"/>
      <c r="Y252" s="224"/>
      <c r="Z252" s="224"/>
      <c r="AA252" s="224"/>
      <c r="AB252" s="224"/>
    </row>
    <row r="253" spans="1:33">
      <c r="A253" s="219">
        <v>1</v>
      </c>
      <c r="B253" s="55" t="s">
        <v>267</v>
      </c>
      <c r="C253" s="56" t="s">
        <v>268</v>
      </c>
      <c r="D253" s="143" t="s">
        <v>329</v>
      </c>
      <c r="E253" s="67">
        <v>130560032327</v>
      </c>
      <c r="F253" s="62">
        <f>(E253/$E$255)</f>
        <v>0.90714759688124724</v>
      </c>
      <c r="G253" s="143" t="s">
        <v>329</v>
      </c>
      <c r="H253" s="83">
        <v>163.30000000000001</v>
      </c>
      <c r="I253" s="143" t="s">
        <v>329</v>
      </c>
      <c r="J253" s="161">
        <v>163.30000000000001</v>
      </c>
      <c r="K253" s="63">
        <v>7972</v>
      </c>
      <c r="L253" s="64" t="s">
        <v>297</v>
      </c>
      <c r="M253" s="64">
        <v>0.54239999999999999</v>
      </c>
      <c r="N253" s="143" t="s">
        <v>329</v>
      </c>
      <c r="O253" s="67">
        <v>130560032327</v>
      </c>
      <c r="P253" s="62">
        <f>(O253/$O$255)</f>
        <v>0.90687883060443308</v>
      </c>
      <c r="Q253" s="143" t="s">
        <v>329</v>
      </c>
      <c r="R253" s="83">
        <v>163.30000000000001</v>
      </c>
      <c r="S253" s="143" t="s">
        <v>329</v>
      </c>
      <c r="T253" s="161">
        <v>163.30000000000001</v>
      </c>
      <c r="U253" s="63">
        <v>8504</v>
      </c>
      <c r="V253" s="64" t="s">
        <v>297</v>
      </c>
      <c r="W253" s="64">
        <v>0.60460000000000003</v>
      </c>
      <c r="X253" s="156">
        <f>((O253-E253)/E253)</f>
        <v>0</v>
      </c>
      <c r="Y253" s="156">
        <f>((T253-J253)/J253)</f>
        <v>0</v>
      </c>
      <c r="Z253" s="156">
        <f>((U253-K253)/K253)</f>
        <v>6.6733567486201711E-2</v>
      </c>
      <c r="AA253" s="156" t="e">
        <f>V253-L253</f>
        <v>#VALUE!</v>
      </c>
      <c r="AB253" s="157">
        <f>W253-M253</f>
        <v>6.2200000000000033E-2</v>
      </c>
    </row>
    <row r="254" spans="1:33" ht="14.4" customHeight="1">
      <c r="A254" s="219">
        <v>2</v>
      </c>
      <c r="B254" s="55" t="s">
        <v>269</v>
      </c>
      <c r="C254" s="56" t="s">
        <v>49</v>
      </c>
      <c r="D254" s="143" t="s">
        <v>329</v>
      </c>
      <c r="E254" s="67">
        <v>13363660769.76</v>
      </c>
      <c r="F254" s="62">
        <f>(E254/$E$255)</f>
        <v>9.2852403118752661E-2</v>
      </c>
      <c r="G254" s="143" t="s">
        <v>329</v>
      </c>
      <c r="H254" s="117">
        <v>1000000</v>
      </c>
      <c r="I254" s="143" t="s">
        <v>329</v>
      </c>
      <c r="J254" s="117">
        <v>1000000</v>
      </c>
      <c r="K254" s="63">
        <v>26</v>
      </c>
      <c r="L254" s="64">
        <v>0.18010000000000001</v>
      </c>
      <c r="M254" s="64">
        <v>0.18010000000000001</v>
      </c>
      <c r="N254" s="143" t="s">
        <v>329</v>
      </c>
      <c r="O254" s="67">
        <v>13406314577.34</v>
      </c>
      <c r="P254" s="62">
        <f>(O254/$O$255)</f>
        <v>9.3121169395566944E-2</v>
      </c>
      <c r="Q254" s="143" t="s">
        <v>329</v>
      </c>
      <c r="R254" s="117">
        <v>1000000</v>
      </c>
      <c r="S254" s="143" t="s">
        <v>329</v>
      </c>
      <c r="T254" s="117">
        <v>1000000</v>
      </c>
      <c r="U254" s="63">
        <v>26</v>
      </c>
      <c r="V254" s="64">
        <v>0.18</v>
      </c>
      <c r="W254" s="64">
        <v>0.18</v>
      </c>
      <c r="X254" s="156">
        <f>((O254-E254)/E254)</f>
        <v>3.1917756904245296E-3</v>
      </c>
      <c r="Y254" s="156">
        <f>((T254-J254)/J254)</f>
        <v>0</v>
      </c>
      <c r="Z254" s="156">
        <f>((U254-K254)/K254)</f>
        <v>0</v>
      </c>
      <c r="AA254" s="156">
        <f>V254-L254</f>
        <v>-1.0000000000001674E-4</v>
      </c>
      <c r="AB254" s="157">
        <f>W254-M254</f>
        <v>-1.0000000000001674E-4</v>
      </c>
    </row>
    <row r="255" spans="1:33" ht="15" customHeight="1">
      <c r="A255" s="166"/>
      <c r="B255" s="107"/>
      <c r="C255" s="108" t="s">
        <v>270</v>
      </c>
      <c r="D255" s="108"/>
      <c r="E255" s="115">
        <f>SUM(E253:E254)</f>
        <v>143923693096.76001</v>
      </c>
      <c r="F255" s="118"/>
      <c r="G255" s="118"/>
      <c r="H255" s="119"/>
      <c r="I255" s="119"/>
      <c r="J255" s="119"/>
      <c r="K255" s="115">
        <f>SUM(K253:K254)</f>
        <v>7998</v>
      </c>
      <c r="L255" s="120"/>
      <c r="M255" s="120"/>
      <c r="N255" s="120"/>
      <c r="O255" s="115">
        <f>SUM(O253:O254)</f>
        <v>143966346904.34</v>
      </c>
      <c r="P255" s="118"/>
      <c r="Q255" s="118"/>
      <c r="R255" s="119"/>
      <c r="S255" s="119"/>
      <c r="T255" s="119"/>
      <c r="U255" s="115">
        <f>SUM(U253:U254)</f>
        <v>8530</v>
      </c>
      <c r="V255" s="120"/>
      <c r="W255" s="115"/>
      <c r="X255" s="114">
        <f>((O255-E255)/E255)</f>
        <v>2.9636404307184077E-4</v>
      </c>
      <c r="Y255" s="121"/>
      <c r="Z255" s="121"/>
      <c r="AA255" s="114"/>
      <c r="AB255" s="122"/>
    </row>
    <row r="256" spans="1:33" ht="4.5" customHeight="1">
      <c r="B256" s="225"/>
      <c r="C256" s="225"/>
      <c r="D256" s="225"/>
      <c r="E256" s="225"/>
      <c r="F256" s="225"/>
      <c r="G256" s="225"/>
      <c r="H256" s="225"/>
      <c r="I256" s="225"/>
      <c r="J256" s="225"/>
      <c r="K256" s="225"/>
      <c r="L256" s="225"/>
      <c r="M256" s="225"/>
      <c r="N256" s="225"/>
      <c r="O256" s="225"/>
      <c r="P256" s="225"/>
      <c r="Q256" s="225"/>
      <c r="R256" s="225"/>
      <c r="S256" s="225"/>
      <c r="T256" s="225"/>
      <c r="U256" s="225"/>
      <c r="V256" s="225"/>
      <c r="W256" s="225"/>
      <c r="X256" s="225"/>
      <c r="Y256" s="225"/>
      <c r="Z256" s="225"/>
      <c r="AA256" s="225"/>
      <c r="AB256" s="225"/>
    </row>
    <row r="257" spans="1:32" ht="15.6">
      <c r="A257" s="162"/>
      <c r="B257" s="224"/>
      <c r="C257" s="224"/>
      <c r="D257" s="224"/>
      <c r="E257" s="224"/>
      <c r="F257" s="224"/>
      <c r="G257" s="224"/>
      <c r="H257" s="224"/>
      <c r="I257" s="224"/>
      <c r="J257" s="224"/>
      <c r="K257" s="224"/>
      <c r="L257" s="224"/>
      <c r="M257" s="224"/>
      <c r="N257" s="224"/>
      <c r="O257" s="224"/>
      <c r="P257" s="224"/>
      <c r="Q257" s="224"/>
      <c r="R257" s="224"/>
      <c r="S257" s="224"/>
      <c r="T257" s="224"/>
      <c r="U257" s="224"/>
      <c r="V257" s="224"/>
      <c r="W257" s="224"/>
      <c r="X257" s="224"/>
      <c r="Y257" s="224"/>
      <c r="Z257" s="224"/>
      <c r="AA257" s="224"/>
      <c r="AB257" s="224"/>
      <c r="AD257" s="238"/>
      <c r="AE257" s="200"/>
      <c r="AF257" s="190"/>
    </row>
    <row r="258" spans="1:32">
      <c r="A258" s="219">
        <v>1</v>
      </c>
      <c r="B258" s="55" t="s">
        <v>271</v>
      </c>
      <c r="C258" s="56" t="s">
        <v>89</v>
      </c>
      <c r="D258" s="143" t="s">
        <v>329</v>
      </c>
      <c r="E258" s="123">
        <v>2363146692.3200002</v>
      </c>
      <c r="F258" s="124">
        <f t="shared" ref="F258:F269" si="237">(E258/$E$270)</f>
        <v>7.5411515270674745E-2</v>
      </c>
      <c r="G258" s="143" t="s">
        <v>329</v>
      </c>
      <c r="H258" s="168">
        <v>577.41999999999996</v>
      </c>
      <c r="I258" s="143" t="s">
        <v>329</v>
      </c>
      <c r="J258" s="168">
        <v>577.41999999999996</v>
      </c>
      <c r="K258" s="125">
        <v>2449</v>
      </c>
      <c r="L258" s="77">
        <v>5.4999999999999997E-3</v>
      </c>
      <c r="M258" s="77">
        <v>0.6361</v>
      </c>
      <c r="N258" s="143" t="s">
        <v>329</v>
      </c>
      <c r="O258" s="123">
        <v>2405212716.5500002</v>
      </c>
      <c r="P258" s="124">
        <f t="shared" ref="P258:P269" si="238">(O258/$O$270)</f>
        <v>7.5291618214541084E-2</v>
      </c>
      <c r="Q258" s="143" t="s">
        <v>329</v>
      </c>
      <c r="R258" s="168">
        <v>587.69552991</v>
      </c>
      <c r="S258" s="143" t="s">
        <v>329</v>
      </c>
      <c r="T258" s="168">
        <v>587.69552991</v>
      </c>
      <c r="U258" s="125">
        <v>2437</v>
      </c>
      <c r="V258" s="77">
        <v>1.78E-2</v>
      </c>
      <c r="W258" s="77">
        <v>0.66520000000000001</v>
      </c>
      <c r="X258" s="156">
        <f>((O258-E258)/E258)</f>
        <v>1.7800851875472038E-2</v>
      </c>
      <c r="Y258" s="156">
        <f>((T258-J258)/J258)</f>
        <v>1.7795590575317873E-2</v>
      </c>
      <c r="Z258" s="156">
        <f>((U258-K258)/K258)</f>
        <v>-4.8999591670069419E-3</v>
      </c>
      <c r="AA258" s="156">
        <f>V258-L258</f>
        <v>1.23E-2</v>
      </c>
      <c r="AB258" s="157">
        <f>W258-M258</f>
        <v>2.9100000000000015E-2</v>
      </c>
      <c r="AD258" s="196"/>
      <c r="AE258" s="190"/>
      <c r="AF258" s="189"/>
    </row>
    <row r="259" spans="1:32">
      <c r="A259" s="217">
        <v>2</v>
      </c>
      <c r="B259" s="55" t="s">
        <v>272</v>
      </c>
      <c r="C259" s="56" t="s">
        <v>238</v>
      </c>
      <c r="D259" s="143" t="s">
        <v>329</v>
      </c>
      <c r="E259" s="123">
        <v>3492482398.1399999</v>
      </c>
      <c r="F259" s="124">
        <f t="shared" si="237"/>
        <v>0.11145029233937766</v>
      </c>
      <c r="G259" s="143" t="s">
        <v>329</v>
      </c>
      <c r="H259" s="117">
        <v>99.34</v>
      </c>
      <c r="I259" s="143" t="s">
        <v>329</v>
      </c>
      <c r="J259" s="117">
        <v>109.79</v>
      </c>
      <c r="K259" s="125">
        <v>3345</v>
      </c>
      <c r="L259" s="77">
        <v>-8.2000000000000007E-3</v>
      </c>
      <c r="M259" s="77">
        <v>0.69410000000000005</v>
      </c>
      <c r="N259" s="143" t="s">
        <v>329</v>
      </c>
      <c r="O259" s="123">
        <v>3480467298.6399999</v>
      </c>
      <c r="P259" s="124">
        <f t="shared" si="238"/>
        <v>0.10895086877524848</v>
      </c>
      <c r="Q259" s="143" t="s">
        <v>329</v>
      </c>
      <c r="R259" s="117">
        <v>99</v>
      </c>
      <c r="S259" s="143" t="s">
        <v>329</v>
      </c>
      <c r="T259" s="117">
        <v>109.42</v>
      </c>
      <c r="U259" s="125">
        <v>3345</v>
      </c>
      <c r="V259" s="77">
        <v>-3.3999999999999998E-3</v>
      </c>
      <c r="W259" s="77">
        <v>0.68830000000000002</v>
      </c>
      <c r="X259" s="156">
        <f t="shared" ref="X259:X270" si="239">((O259-E259)/E259)</f>
        <v>-3.4402748905474545E-3</v>
      </c>
      <c r="Y259" s="156">
        <f t="shared" ref="Y259:Y270" si="240">((T259-J259)/J259)</f>
        <v>-3.370070133892017E-3</v>
      </c>
      <c r="Z259" s="156">
        <f t="shared" ref="Z259:Z270" si="241">((U259-K259)/K259)</f>
        <v>0</v>
      </c>
      <c r="AA259" s="156">
        <f t="shared" ref="AA259:AA270" si="242">V259-L259</f>
        <v>4.8000000000000004E-3</v>
      </c>
      <c r="AB259" s="157">
        <f t="shared" ref="AB259:AB270" si="243">W259-M259</f>
        <v>-5.8000000000000274E-3</v>
      </c>
      <c r="AD259" s="164"/>
    </row>
    <row r="260" spans="1:32">
      <c r="A260" s="217">
        <v>3</v>
      </c>
      <c r="B260" s="55" t="s">
        <v>273</v>
      </c>
      <c r="C260" s="56" t="s">
        <v>40</v>
      </c>
      <c r="D260" s="143" t="s">
        <v>329</v>
      </c>
      <c r="E260" s="123">
        <v>849199791.10000002</v>
      </c>
      <c r="F260" s="124">
        <f t="shared" si="237"/>
        <v>2.7099224615430562E-2</v>
      </c>
      <c r="G260" s="143" t="s">
        <v>329</v>
      </c>
      <c r="H260" s="117">
        <v>62.83</v>
      </c>
      <c r="I260" s="143" t="s">
        <v>329</v>
      </c>
      <c r="J260" s="117">
        <v>63.06</v>
      </c>
      <c r="K260" s="125">
        <v>1831</v>
      </c>
      <c r="L260" s="77">
        <v>1.4800000000000001E-2</v>
      </c>
      <c r="M260" s="77">
        <v>0.54590000000000005</v>
      </c>
      <c r="N260" s="143" t="s">
        <v>329</v>
      </c>
      <c r="O260" s="123">
        <v>870578960.13999999</v>
      </c>
      <c r="P260" s="124">
        <f t="shared" si="238"/>
        <v>2.7252183659869006E-2</v>
      </c>
      <c r="Q260" s="143" t="s">
        <v>329</v>
      </c>
      <c r="R260" s="117">
        <v>64.48</v>
      </c>
      <c r="S260" s="143" t="s">
        <v>329</v>
      </c>
      <c r="T260" s="117">
        <v>64.709999999999994</v>
      </c>
      <c r="U260" s="125">
        <v>1831</v>
      </c>
      <c r="V260" s="77">
        <v>2.52E-2</v>
      </c>
      <c r="W260" s="77">
        <v>0.79410000000000003</v>
      </c>
      <c r="X260" s="156">
        <f t="shared" si="239"/>
        <v>2.5175664506825571E-2</v>
      </c>
      <c r="Y260" s="156">
        <f t="shared" si="240"/>
        <v>2.6165556612749625E-2</v>
      </c>
      <c r="Z260" s="156">
        <f t="shared" si="241"/>
        <v>0</v>
      </c>
      <c r="AA260" s="156">
        <f t="shared" si="242"/>
        <v>1.04E-2</v>
      </c>
      <c r="AB260" s="157">
        <f t="shared" si="243"/>
        <v>0.24819999999999998</v>
      </c>
    </row>
    <row r="261" spans="1:32">
      <c r="A261" s="217">
        <v>4</v>
      </c>
      <c r="B261" s="55" t="s">
        <v>274</v>
      </c>
      <c r="C261" s="56" t="s">
        <v>40</v>
      </c>
      <c r="D261" s="143" t="s">
        <v>329</v>
      </c>
      <c r="E261" s="123">
        <v>1488533810.1800001</v>
      </c>
      <c r="F261" s="124">
        <f t="shared" si="237"/>
        <v>4.7501321234993531E-2</v>
      </c>
      <c r="G261" s="143" t="s">
        <v>329</v>
      </c>
      <c r="H261" s="117">
        <v>126.32</v>
      </c>
      <c r="I261" s="143" t="s">
        <v>329</v>
      </c>
      <c r="J261" s="117">
        <v>126.76</v>
      </c>
      <c r="K261" s="125">
        <v>1469</v>
      </c>
      <c r="L261" s="77">
        <v>4.7199999999999999E-2</v>
      </c>
      <c r="M261" s="77">
        <v>0.51729999999999998</v>
      </c>
      <c r="N261" s="143" t="s">
        <v>329</v>
      </c>
      <c r="O261" s="123">
        <v>1544973477.3499999</v>
      </c>
      <c r="P261" s="124">
        <f t="shared" si="238"/>
        <v>4.8363104189421059E-2</v>
      </c>
      <c r="Q261" s="143" t="s">
        <v>329</v>
      </c>
      <c r="R261" s="117">
        <v>131.19999999999999</v>
      </c>
      <c r="S261" s="143" t="s">
        <v>329</v>
      </c>
      <c r="T261" s="117">
        <v>131.66</v>
      </c>
      <c r="U261" s="125">
        <v>1469</v>
      </c>
      <c r="V261" s="77">
        <v>3.7900000000000003E-2</v>
      </c>
      <c r="W261" s="77">
        <v>0.57489999999999997</v>
      </c>
      <c r="X261" s="156">
        <f t="shared" si="239"/>
        <v>3.7916281634996857E-2</v>
      </c>
      <c r="Y261" s="156">
        <f t="shared" si="240"/>
        <v>3.8655727358788194E-2</v>
      </c>
      <c r="Z261" s="156">
        <f t="shared" si="241"/>
        <v>0</v>
      </c>
      <c r="AA261" s="156">
        <f t="shared" si="242"/>
        <v>-9.2999999999999958E-3</v>
      </c>
      <c r="AB261" s="157">
        <f t="shared" si="243"/>
        <v>5.7599999999999985E-2</v>
      </c>
    </row>
    <row r="262" spans="1:32">
      <c r="A262" s="217">
        <v>5</v>
      </c>
      <c r="B262" s="55" t="s">
        <v>275</v>
      </c>
      <c r="C262" s="56" t="s">
        <v>276</v>
      </c>
      <c r="D262" s="143" t="s">
        <v>329</v>
      </c>
      <c r="E262" s="123">
        <v>1817766950.24</v>
      </c>
      <c r="F262" s="124">
        <f t="shared" si="237"/>
        <v>5.8007638955317624E-2</v>
      </c>
      <c r="G262" s="143" t="s">
        <v>329</v>
      </c>
      <c r="H262" s="117">
        <v>50000</v>
      </c>
      <c r="I262" s="143" t="s">
        <v>329</v>
      </c>
      <c r="J262" s="117">
        <v>54350</v>
      </c>
      <c r="K262" s="125">
        <v>1098</v>
      </c>
      <c r="L262" s="77">
        <v>-2.4E-2</v>
      </c>
      <c r="M262" s="77">
        <v>-0.13</v>
      </c>
      <c r="N262" s="143" t="s">
        <v>329</v>
      </c>
      <c r="O262" s="123">
        <v>1831691993.1199999</v>
      </c>
      <c r="P262" s="124">
        <f t="shared" si="238"/>
        <v>5.733840224761505E-2</v>
      </c>
      <c r="Q262" s="143" t="s">
        <v>329</v>
      </c>
      <c r="R262" s="117">
        <v>49890</v>
      </c>
      <c r="S262" s="143" t="s">
        <v>329</v>
      </c>
      <c r="T262" s="117">
        <v>55350</v>
      </c>
      <c r="U262" s="125">
        <v>1098</v>
      </c>
      <c r="V262" s="77">
        <v>8.0000000000000002E-3</v>
      </c>
      <c r="W262" s="77">
        <v>-0.12</v>
      </c>
      <c r="X262" s="156">
        <f t="shared" si="239"/>
        <v>7.6605215416428113E-3</v>
      </c>
      <c r="Y262" s="156">
        <f t="shared" si="240"/>
        <v>1.8399264029438821E-2</v>
      </c>
      <c r="Z262" s="156">
        <f t="shared" si="241"/>
        <v>0</v>
      </c>
      <c r="AA262" s="156">
        <f t="shared" si="242"/>
        <v>3.2000000000000001E-2</v>
      </c>
      <c r="AB262" s="157">
        <f t="shared" si="243"/>
        <v>1.0000000000000009E-2</v>
      </c>
    </row>
    <row r="263" spans="1:32">
      <c r="A263" s="217">
        <v>6</v>
      </c>
      <c r="B263" s="55" t="s">
        <v>277</v>
      </c>
      <c r="C263" s="56" t="s">
        <v>278</v>
      </c>
      <c r="D263" s="143" t="s">
        <v>329</v>
      </c>
      <c r="E263" s="123">
        <v>1745924526.8900001</v>
      </c>
      <c r="F263" s="124">
        <f t="shared" si="237"/>
        <v>5.5715040690830719E-2</v>
      </c>
      <c r="G263" s="143" t="s">
        <v>329</v>
      </c>
      <c r="H263" s="117">
        <v>2999.98</v>
      </c>
      <c r="I263" s="143" t="s">
        <v>329</v>
      </c>
      <c r="J263" s="117">
        <v>2999.98</v>
      </c>
      <c r="K263" s="125">
        <v>1756</v>
      </c>
      <c r="L263" s="77">
        <v>3.4500000000000003E-2</v>
      </c>
      <c r="M263" s="77">
        <v>0.64200000000000002</v>
      </c>
      <c r="N263" s="143" t="s">
        <v>329</v>
      </c>
      <c r="O263" s="123">
        <v>1803396493.4000001</v>
      </c>
      <c r="P263" s="124">
        <f t="shared" si="238"/>
        <v>5.6452653578714068E-2</v>
      </c>
      <c r="Q263" s="143" t="s">
        <v>329</v>
      </c>
      <c r="R263" s="117">
        <v>2980</v>
      </c>
      <c r="S263" s="143" t="s">
        <v>329</v>
      </c>
      <c r="T263" s="117">
        <v>2980</v>
      </c>
      <c r="U263" s="125">
        <v>1756</v>
      </c>
      <c r="V263" s="77">
        <v>3.2899999999999999E-2</v>
      </c>
      <c r="W263" s="77">
        <v>0.69610000000000005</v>
      </c>
      <c r="X263" s="156">
        <f t="shared" si="239"/>
        <v>3.2917784030661562E-2</v>
      </c>
      <c r="Y263" s="156">
        <f t="shared" si="240"/>
        <v>-6.6600444002960077E-3</v>
      </c>
      <c r="Z263" s="156">
        <f t="shared" si="241"/>
        <v>0</v>
      </c>
      <c r="AA263" s="156">
        <f t="shared" si="242"/>
        <v>-1.6000000000000042E-3</v>
      </c>
      <c r="AB263" s="157">
        <f t="shared" si="243"/>
        <v>5.4100000000000037E-2</v>
      </c>
    </row>
    <row r="264" spans="1:32">
      <c r="A264" s="217">
        <v>7</v>
      </c>
      <c r="B264" s="55" t="s">
        <v>279</v>
      </c>
      <c r="C264" s="56" t="s">
        <v>278</v>
      </c>
      <c r="D264" s="143" t="s">
        <v>329</v>
      </c>
      <c r="E264" s="123">
        <v>1866213856.53</v>
      </c>
      <c r="F264" s="124">
        <f t="shared" si="237"/>
        <v>5.9553651577123397E-2</v>
      </c>
      <c r="G264" s="143" t="s">
        <v>329</v>
      </c>
      <c r="H264" s="117">
        <v>2350</v>
      </c>
      <c r="I264" s="143" t="s">
        <v>329</v>
      </c>
      <c r="J264" s="117">
        <v>2350</v>
      </c>
      <c r="K264" s="125">
        <v>8838</v>
      </c>
      <c r="L264" s="77">
        <v>3.0999999999999999E-3</v>
      </c>
      <c r="M264" s="77">
        <v>0.55479999999999996</v>
      </c>
      <c r="N264" s="143" t="s">
        <v>329</v>
      </c>
      <c r="O264" s="123">
        <v>1903512354.24</v>
      </c>
      <c r="P264" s="124">
        <f t="shared" si="238"/>
        <v>5.9586632174336011E-2</v>
      </c>
      <c r="Q264" s="143" t="s">
        <v>329</v>
      </c>
      <c r="R264" s="117">
        <v>2957.99</v>
      </c>
      <c r="S264" s="143" t="s">
        <v>329</v>
      </c>
      <c r="T264" s="117">
        <v>2957.99</v>
      </c>
      <c r="U264" s="125">
        <v>8838</v>
      </c>
      <c r="V264" s="77">
        <v>0.02</v>
      </c>
      <c r="W264" s="77">
        <v>0.58579999999999999</v>
      </c>
      <c r="X264" s="156">
        <f t="shared" si="239"/>
        <v>1.9986186245209918E-2</v>
      </c>
      <c r="Y264" s="156">
        <f t="shared" si="240"/>
        <v>0.2587191489361701</v>
      </c>
      <c r="Z264" s="156">
        <f t="shared" si="241"/>
        <v>0</v>
      </c>
      <c r="AA264" s="156">
        <f t="shared" si="242"/>
        <v>1.6900000000000002E-2</v>
      </c>
      <c r="AB264" s="157">
        <f t="shared" si="243"/>
        <v>3.1000000000000028E-2</v>
      </c>
      <c r="AD264" s="117"/>
      <c r="AE264" s="171"/>
      <c r="AF264" s="171"/>
    </row>
    <row r="265" spans="1:32">
      <c r="A265" s="217">
        <v>8</v>
      </c>
      <c r="B265" s="55" t="s">
        <v>280</v>
      </c>
      <c r="C265" s="56" t="s">
        <v>281</v>
      </c>
      <c r="D265" s="143" t="s">
        <v>329</v>
      </c>
      <c r="E265" s="123">
        <v>713000464.65999997</v>
      </c>
      <c r="F265" s="124">
        <f t="shared" si="237"/>
        <v>2.275290213825831E-2</v>
      </c>
      <c r="G265" s="143" t="s">
        <v>329</v>
      </c>
      <c r="H265" s="117">
        <v>46.8</v>
      </c>
      <c r="I265" s="143" t="s">
        <v>329</v>
      </c>
      <c r="J265" s="117">
        <v>46.9</v>
      </c>
      <c r="K265" s="125">
        <v>4641</v>
      </c>
      <c r="L265" s="77">
        <v>8.2199999999999995E-2</v>
      </c>
      <c r="M265" s="77">
        <v>0.51229999999999998</v>
      </c>
      <c r="N265" s="143" t="s">
        <v>329</v>
      </c>
      <c r="O265" s="123">
        <v>685641340.50999999</v>
      </c>
      <c r="P265" s="124">
        <f t="shared" si="238"/>
        <v>2.1462985658845333E-2</v>
      </c>
      <c r="Q265" s="143" t="s">
        <v>329</v>
      </c>
      <c r="R265" s="117">
        <v>45.04</v>
      </c>
      <c r="S265" s="143" t="s">
        <v>329</v>
      </c>
      <c r="T265" s="117">
        <v>45.14</v>
      </c>
      <c r="U265" s="125">
        <v>4655</v>
      </c>
      <c r="V265" s="77">
        <v>2.9999999999999997E-4</v>
      </c>
      <c r="W265" s="77">
        <v>0.51280000000000003</v>
      </c>
      <c r="X265" s="156">
        <f t="shared" si="239"/>
        <v>-3.8371818120828849E-2</v>
      </c>
      <c r="Y265" s="156">
        <f t="shared" si="240"/>
        <v>-3.7526652452025543E-2</v>
      </c>
      <c r="Z265" s="156">
        <f t="shared" si="241"/>
        <v>3.0165912518853697E-3</v>
      </c>
      <c r="AA265" s="156">
        <f t="shared" si="242"/>
        <v>-8.1900000000000001E-2</v>
      </c>
      <c r="AB265" s="157">
        <f t="shared" si="243"/>
        <v>5.0000000000005596E-4</v>
      </c>
      <c r="AD265" s="187"/>
      <c r="AE265" s="188"/>
      <c r="AF265" s="171"/>
    </row>
    <row r="266" spans="1:32">
      <c r="A266" s="217">
        <v>9</v>
      </c>
      <c r="B266" s="55" t="s">
        <v>282</v>
      </c>
      <c r="C266" s="56" t="s">
        <v>281</v>
      </c>
      <c r="D266" s="143" t="s">
        <v>329</v>
      </c>
      <c r="E266" s="126">
        <v>2051223654.1700001</v>
      </c>
      <c r="F266" s="124">
        <f t="shared" si="237"/>
        <v>6.5457588571511238E-2</v>
      </c>
      <c r="G266" s="143" t="s">
        <v>329</v>
      </c>
      <c r="H266" s="117">
        <v>23.44</v>
      </c>
      <c r="I266" s="143" t="s">
        <v>329</v>
      </c>
      <c r="J266" s="117">
        <v>23.54</v>
      </c>
      <c r="K266" s="125">
        <v>5725</v>
      </c>
      <c r="L266" s="77">
        <v>8.0100000000000005E-2</v>
      </c>
      <c r="M266" s="77">
        <v>0.51290000000000002</v>
      </c>
      <c r="N266" s="143" t="s">
        <v>329</v>
      </c>
      <c r="O266" s="126">
        <v>2217023630.3899999</v>
      </c>
      <c r="P266" s="124">
        <f t="shared" si="238"/>
        <v>6.9400637874296581E-2</v>
      </c>
      <c r="Q266" s="143" t="s">
        <v>329</v>
      </c>
      <c r="R266" s="117">
        <v>25.4</v>
      </c>
      <c r="S266" s="143" t="s">
        <v>329</v>
      </c>
      <c r="T266" s="117">
        <v>25.5</v>
      </c>
      <c r="U266" s="125">
        <v>5842</v>
      </c>
      <c r="V266" s="77">
        <v>3.2300000000000002E-2</v>
      </c>
      <c r="W266" s="77">
        <v>0.63880000000000003</v>
      </c>
      <c r="X266" s="156">
        <f t="shared" si="239"/>
        <v>8.0829789517559217E-2</v>
      </c>
      <c r="Y266" s="156">
        <f t="shared" si="240"/>
        <v>8.3262531860662736E-2</v>
      </c>
      <c r="Z266" s="156">
        <f t="shared" si="241"/>
        <v>2.0436681222707424E-2</v>
      </c>
      <c r="AA266" s="156">
        <f t="shared" si="242"/>
        <v>-4.7800000000000002E-2</v>
      </c>
      <c r="AB266" s="157">
        <f t="shared" si="243"/>
        <v>0.12590000000000001</v>
      </c>
      <c r="AD266" s="238"/>
      <c r="AE266" s="198"/>
      <c r="AF266" s="185"/>
    </row>
    <row r="267" spans="1:32" ht="15" customHeight="1">
      <c r="A267" s="217">
        <v>10</v>
      </c>
      <c r="B267" s="55" t="s">
        <v>283</v>
      </c>
      <c r="C267" s="56" t="s">
        <v>281</v>
      </c>
      <c r="D267" s="143" t="s">
        <v>329</v>
      </c>
      <c r="E267" s="123">
        <v>422234699.80000001</v>
      </c>
      <c r="F267" s="124">
        <f t="shared" si="237"/>
        <v>1.3474135403975481E-2</v>
      </c>
      <c r="G267" s="143" t="s">
        <v>329</v>
      </c>
      <c r="H267" s="117">
        <v>140.99</v>
      </c>
      <c r="I267" s="143" t="s">
        <v>329</v>
      </c>
      <c r="J267" s="117">
        <v>142.99</v>
      </c>
      <c r="K267" s="125">
        <v>2523</v>
      </c>
      <c r="L267" s="77">
        <v>-6.1100000000000002E-2</v>
      </c>
      <c r="M267" s="77">
        <v>9.2399999999999996E-2</v>
      </c>
      <c r="N267" s="143" t="s">
        <v>329</v>
      </c>
      <c r="O267" s="123">
        <v>426948386.04000002</v>
      </c>
      <c r="P267" s="124">
        <f t="shared" si="238"/>
        <v>1.3364986247514681E-2</v>
      </c>
      <c r="Q267" s="143" t="s">
        <v>329</v>
      </c>
      <c r="R267" s="117">
        <v>142.58000000000001</v>
      </c>
      <c r="S267" s="143" t="s">
        <v>329</v>
      </c>
      <c r="T267" s="117">
        <v>144.58000000000001</v>
      </c>
      <c r="U267" s="125">
        <v>2523</v>
      </c>
      <c r="V267" s="77">
        <v>5.28E-2</v>
      </c>
      <c r="W267" s="77">
        <v>0.15010000000000001</v>
      </c>
      <c r="X267" s="156">
        <f t="shared" si="239"/>
        <v>1.1163663815960038E-2</v>
      </c>
      <c r="Y267" s="156">
        <f t="shared" si="240"/>
        <v>1.1119658717392848E-2</v>
      </c>
      <c r="Z267" s="156">
        <f t="shared" si="241"/>
        <v>0</v>
      </c>
      <c r="AA267" s="156">
        <f t="shared" si="242"/>
        <v>0.1139</v>
      </c>
      <c r="AB267" s="157">
        <f t="shared" si="243"/>
        <v>5.7700000000000015E-2</v>
      </c>
      <c r="AD267" s="238"/>
      <c r="AE267" s="197"/>
      <c r="AF267" s="186"/>
    </row>
    <row r="268" spans="1:32">
      <c r="A268" s="219">
        <v>11</v>
      </c>
      <c r="B268" s="55" t="s">
        <v>284</v>
      </c>
      <c r="C268" s="56" t="s">
        <v>281</v>
      </c>
      <c r="D268" s="143" t="s">
        <v>329</v>
      </c>
      <c r="E268" s="123">
        <v>13943305233.51</v>
      </c>
      <c r="F268" s="124">
        <f t="shared" si="237"/>
        <v>0.44495154657886721</v>
      </c>
      <c r="G268" s="143" t="s">
        <v>329</v>
      </c>
      <c r="H268" s="117">
        <v>89.23</v>
      </c>
      <c r="I268" s="143" t="s">
        <v>329</v>
      </c>
      <c r="J268" s="117">
        <v>89.43</v>
      </c>
      <c r="K268" s="125">
        <v>7945</v>
      </c>
      <c r="L268" s="77">
        <v>-5.0900000000000001E-2</v>
      </c>
      <c r="M268" s="77">
        <v>0.55640000000000001</v>
      </c>
      <c r="N268" s="143" t="s">
        <v>329</v>
      </c>
      <c r="O268" s="123">
        <v>14161245564.870001</v>
      </c>
      <c r="P268" s="124">
        <f t="shared" si="238"/>
        <v>0.44329679748323014</v>
      </c>
      <c r="Q268" s="143" t="s">
        <v>329</v>
      </c>
      <c r="R268" s="117">
        <v>90.7</v>
      </c>
      <c r="S268" s="143" t="s">
        <v>329</v>
      </c>
      <c r="T268" s="117">
        <v>90.9</v>
      </c>
      <c r="U268" s="125">
        <v>8028</v>
      </c>
      <c r="V268" s="77">
        <v>4.4999999999999998E-2</v>
      </c>
      <c r="W268" s="77">
        <v>0.58199999999999996</v>
      </c>
      <c r="X268" s="156">
        <f t="shared" si="239"/>
        <v>1.5630464062152478E-2</v>
      </c>
      <c r="Y268" s="156">
        <f t="shared" si="240"/>
        <v>1.6437437101643731E-2</v>
      </c>
      <c r="Z268" s="156">
        <f t="shared" si="241"/>
        <v>1.0446821900566394E-2</v>
      </c>
      <c r="AA268" s="156">
        <f t="shared" si="242"/>
        <v>9.5899999999999999E-2</v>
      </c>
      <c r="AB268" s="157">
        <f t="shared" si="243"/>
        <v>2.5599999999999956E-2</v>
      </c>
      <c r="AD268" s="238"/>
      <c r="AE268" s="197"/>
      <c r="AF268" s="185"/>
    </row>
    <row r="269" spans="1:32">
      <c r="A269" s="219">
        <v>12</v>
      </c>
      <c r="B269" s="55" t="s">
        <v>285</v>
      </c>
      <c r="C269" s="56" t="s">
        <v>281</v>
      </c>
      <c r="D269" s="143" t="s">
        <v>329</v>
      </c>
      <c r="E269" s="126">
        <v>583650176.33000004</v>
      </c>
      <c r="F269" s="124">
        <f t="shared" si="237"/>
        <v>1.8625142623639446E-2</v>
      </c>
      <c r="G269" s="143" t="s">
        <v>329</v>
      </c>
      <c r="H269" s="117">
        <v>100.32</v>
      </c>
      <c r="I269" s="143" t="s">
        <v>329</v>
      </c>
      <c r="J269" s="117">
        <v>100.52</v>
      </c>
      <c r="K269" s="125">
        <v>4090</v>
      </c>
      <c r="L269" s="77">
        <v>5.2699999999999997E-2</v>
      </c>
      <c r="M269" s="77">
        <v>0.76749999999999996</v>
      </c>
      <c r="N269" s="143" t="s">
        <v>329</v>
      </c>
      <c r="O269" s="126">
        <v>614599619.17999995</v>
      </c>
      <c r="P269" s="124">
        <f t="shared" si="238"/>
        <v>1.9239129896368539E-2</v>
      </c>
      <c r="Q269" s="143" t="s">
        <v>329</v>
      </c>
      <c r="R269" s="117">
        <v>105.36</v>
      </c>
      <c r="S269" s="143" t="s">
        <v>329</v>
      </c>
      <c r="T269" s="117">
        <v>105.56</v>
      </c>
      <c r="U269" s="125">
        <v>4121</v>
      </c>
      <c r="V269" s="77">
        <v>-1E-4</v>
      </c>
      <c r="W269" s="77">
        <v>0.85619999999999996</v>
      </c>
      <c r="X269" s="156">
        <f t="shared" si="239"/>
        <v>5.3027385418797278E-2</v>
      </c>
      <c r="Y269" s="156">
        <f t="shared" si="240"/>
        <v>5.0139275766016775E-2</v>
      </c>
      <c r="Z269" s="156">
        <f t="shared" si="241"/>
        <v>7.5794621026894866E-3</v>
      </c>
      <c r="AA269" s="156">
        <f t="shared" si="242"/>
        <v>-5.28E-2</v>
      </c>
      <c r="AB269" s="157">
        <f t="shared" si="243"/>
        <v>8.8700000000000001E-2</v>
      </c>
      <c r="AD269" s="238"/>
      <c r="AE269" s="198"/>
      <c r="AF269" s="186"/>
    </row>
    <row r="270" spans="1:32">
      <c r="A270" s="127"/>
      <c r="B270" s="127"/>
      <c r="C270" s="128" t="s">
        <v>286</v>
      </c>
      <c r="D270" s="149"/>
      <c r="E270" s="115">
        <f>SUM(E258:E269)</f>
        <v>31336682253.870003</v>
      </c>
      <c r="F270" s="118"/>
      <c r="G270" s="118"/>
      <c r="H270" s="118"/>
      <c r="I270" s="118"/>
      <c r="J270" s="119"/>
      <c r="K270" s="115">
        <f>SUM(K258:K269)</f>
        <v>45710</v>
      </c>
      <c r="L270" s="120"/>
      <c r="M270" s="120"/>
      <c r="N270" s="120"/>
      <c r="O270" s="115">
        <f>SUM(O258:O269)</f>
        <v>31945291834.43</v>
      </c>
      <c r="P270" s="118"/>
      <c r="Q270" s="118"/>
      <c r="R270" s="118"/>
      <c r="S270" s="118"/>
      <c r="T270" s="119"/>
      <c r="U270" s="115">
        <f>SUM(U258:U269)</f>
        <v>45943</v>
      </c>
      <c r="V270" s="120"/>
      <c r="W270" s="120"/>
      <c r="X270" s="156">
        <f t="shared" si="239"/>
        <v>1.9421634225009119E-2</v>
      </c>
      <c r="Y270" s="156" t="e">
        <f t="shared" si="240"/>
        <v>#DIV/0!</v>
      </c>
      <c r="Z270" s="156">
        <f t="shared" si="241"/>
        <v>5.0973528768322026E-3</v>
      </c>
      <c r="AA270" s="156">
        <f t="shared" si="242"/>
        <v>0</v>
      </c>
      <c r="AB270" s="157">
        <f t="shared" si="243"/>
        <v>0</v>
      </c>
      <c r="AF270" s="23"/>
    </row>
    <row r="271" spans="1:32">
      <c r="A271" s="129"/>
      <c r="B271" s="129"/>
      <c r="C271" s="130" t="s">
        <v>287</v>
      </c>
      <c r="D271" s="148"/>
      <c r="E271" s="131">
        <f>SUM(E241,E250,E255,E270)</f>
        <v>9556932573940.0313</v>
      </c>
      <c r="F271" s="132"/>
      <c r="G271" s="132"/>
      <c r="H271" s="132"/>
      <c r="I271" s="132"/>
      <c r="J271" s="133"/>
      <c r="K271" s="131">
        <f>SUM(K241,K250,K255,K270)</f>
        <v>1517014</v>
      </c>
      <c r="L271" s="134"/>
      <c r="M271" s="134"/>
      <c r="N271" s="134"/>
      <c r="O271" s="131">
        <f>SUM(O241,O250,O255,O270)</f>
        <v>9579885184783.5391</v>
      </c>
      <c r="P271" s="132"/>
      <c r="Q271" s="132"/>
      <c r="R271" s="132"/>
      <c r="S271" s="132"/>
      <c r="T271" s="131"/>
      <c r="U271" s="131">
        <f>SUM(U241,U250,U255,U270)</f>
        <v>1527967.89</v>
      </c>
      <c r="V271" s="135"/>
      <c r="W271" s="131"/>
      <c r="X271" s="136"/>
      <c r="Y271" s="137"/>
      <c r="Z271" s="137"/>
      <c r="AA271" s="138"/>
      <c r="AB271" s="138"/>
      <c r="AF271" s="23"/>
    </row>
    <row r="272" spans="1:32">
      <c r="A272" s="139"/>
      <c r="B272" s="139" t="s">
        <v>346</v>
      </c>
      <c r="C272" s="147">
        <v>1362.0866000000001</v>
      </c>
      <c r="D272" s="140"/>
      <c r="E272" s="140"/>
      <c r="F272" s="140"/>
      <c r="G272" s="140"/>
      <c r="H272" s="140"/>
      <c r="I272" s="140"/>
      <c r="J272" s="140"/>
      <c r="K272" s="140"/>
      <c r="L272" s="140"/>
      <c r="M272" s="140"/>
      <c r="N272" s="140"/>
      <c r="O272" s="140"/>
      <c r="P272" s="140"/>
      <c r="Q272" s="140"/>
      <c r="R272" s="140"/>
      <c r="S272" s="140"/>
      <c r="T272" s="140"/>
      <c r="U272" s="140"/>
      <c r="V272" s="140"/>
      <c r="W272" s="140"/>
      <c r="X272" s="140"/>
      <c r="Y272" s="140"/>
      <c r="Z272" s="140"/>
      <c r="AA272" s="140"/>
      <c r="AB272" s="140"/>
    </row>
    <row r="273" spans="2:15">
      <c r="B273" s="31"/>
    </row>
    <row r="274" spans="2:15">
      <c r="B274" s="31"/>
      <c r="D274" s="32"/>
      <c r="E274" s="33"/>
      <c r="O274" s="33"/>
    </row>
    <row r="275" spans="2:15" ht="15">
      <c r="B275" s="34"/>
      <c r="C275" s="35"/>
      <c r="D275" s="35"/>
      <c r="E275" s="36"/>
      <c r="H275" s="37"/>
      <c r="I275" s="37"/>
      <c r="J275" s="37"/>
      <c r="L275" s="38"/>
      <c r="M275" s="39"/>
      <c r="N275" s="39"/>
    </row>
    <row r="276" spans="2:15">
      <c r="C276" s="31"/>
      <c r="D276" s="31"/>
    </row>
    <row r="277" spans="2:15">
      <c r="O277" s="30"/>
    </row>
    <row r="278" spans="2:15">
      <c r="B278" s="32"/>
    </row>
    <row r="279" spans="2:15">
      <c r="O279" s="40"/>
    </row>
  </sheetData>
  <sheetProtection algorithmName="SHA-512" hashValue="2M+83AZRtgzeMjtBfLmRYjwFB9Qvyay5dfW+b2Iw4NuOdoY01V/ljoMqh5Tajto3/kAep1km/Ll9MisqKOgacg==" saltValue="YLxRmgy7++/cRrVQcgrm/g==" spinCount="100000" sheet="1" objects="1" scenarios="1"/>
  <mergeCells count="34">
    <mergeCell ref="A1:AB1"/>
    <mergeCell ref="D2:M2"/>
    <mergeCell ref="N2:W2"/>
    <mergeCell ref="X2:Z2"/>
    <mergeCell ref="AA2:AB2"/>
    <mergeCell ref="B4:AB4"/>
    <mergeCell ref="B5:AB5"/>
    <mergeCell ref="B28:AB28"/>
    <mergeCell ref="B29:AB29"/>
    <mergeCell ref="B79:AB79"/>
    <mergeCell ref="B80:AB80"/>
    <mergeCell ref="B120:AB120"/>
    <mergeCell ref="B121:AB121"/>
    <mergeCell ref="B122:AB122"/>
    <mergeCell ref="B141:AB141"/>
    <mergeCell ref="B142:AB142"/>
    <mergeCell ref="B164:AB164"/>
    <mergeCell ref="B165:AB165"/>
    <mergeCell ref="B173:AB173"/>
    <mergeCell ref="B174:AB174"/>
    <mergeCell ref="B207:AB207"/>
    <mergeCell ref="B208:AB208"/>
    <mergeCell ref="B213:AB213"/>
    <mergeCell ref="B214:AB214"/>
    <mergeCell ref="B215:AB215"/>
    <mergeCell ref="B243:AB243"/>
    <mergeCell ref="B252:AB252"/>
    <mergeCell ref="B256:AB256"/>
    <mergeCell ref="B257:AB257"/>
    <mergeCell ref="B218:AB218"/>
    <mergeCell ref="B219:AB219"/>
    <mergeCell ref="B234:AB234"/>
    <mergeCell ref="B235:AB235"/>
    <mergeCell ref="B242:AA242"/>
  </mergeCells>
  <pageMargins left="0.7" right="0.7" top="0.75" bottom="0.75" header="0.3" footer="0.3"/>
  <pageSetup paperSize="9" orientation="portrait" horizontalDpi="300" verticalDpi="300" r:id="rId1"/>
  <ignoredErrors>
    <ignoredError sqref="F105 F85 P55 P38 F38 P148 F148" formula="1"/>
    <ignoredError sqref="Y172 Y27 Y78 Y119 Y163 Y206 Y212 Y240 Y270 Z253:Z254 X56:Z56 X148 X135:Z135 X51:Z51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</sheetPr>
  <dimension ref="A1:H44"/>
  <sheetViews>
    <sheetView workbookViewId="0">
      <selection activeCell="A27" sqref="A27"/>
    </sheetView>
  </sheetViews>
  <sheetFormatPr defaultColWidth="9" defaultRowHeight="14.4"/>
  <cols>
    <col min="1" max="1" width="34" style="20" customWidth="1"/>
    <col min="2" max="2" width="15.6640625" style="20" customWidth="1"/>
    <col min="3" max="3" width="16.109375" style="20" customWidth="1"/>
    <col min="4" max="5" width="9" style="20"/>
  </cols>
  <sheetData>
    <row r="1" spans="1:8">
      <c r="A1" s="214"/>
      <c r="B1" s="214"/>
      <c r="C1" s="214"/>
      <c r="D1" s="214"/>
      <c r="E1" s="15"/>
      <c r="F1" s="15"/>
      <c r="G1" s="15"/>
      <c r="H1" s="20"/>
    </row>
    <row r="2" spans="1:8" ht="27.6">
      <c r="A2" s="175" t="s">
        <v>288</v>
      </c>
      <c r="B2" s="207" t="s">
        <v>350</v>
      </c>
      <c r="C2" s="207" t="s">
        <v>351</v>
      </c>
      <c r="D2" s="176"/>
      <c r="E2" s="15"/>
      <c r="F2" s="15"/>
      <c r="G2" s="15"/>
      <c r="H2" s="20"/>
    </row>
    <row r="3" spans="1:8">
      <c r="A3" s="177" t="s">
        <v>17</v>
      </c>
      <c r="B3" s="208">
        <f t="shared" ref="B3:C10" si="0">B13</f>
        <v>236.00000728703455</v>
      </c>
      <c r="C3" s="208">
        <f t="shared" si="0"/>
        <v>243.58419140627058</v>
      </c>
      <c r="D3" s="176"/>
      <c r="E3" s="15"/>
      <c r="F3" s="15"/>
      <c r="G3" s="15"/>
      <c r="H3" s="20"/>
    </row>
    <row r="4" spans="1:8" ht="15.6" customHeight="1">
      <c r="A4" s="175" t="s">
        <v>53</v>
      </c>
      <c r="B4" s="209">
        <f t="shared" si="0"/>
        <v>6207.5588050939514</v>
      </c>
      <c r="C4" s="209">
        <f t="shared" si="0"/>
        <v>6248.3578392132686</v>
      </c>
      <c r="D4" s="176"/>
      <c r="E4" s="15"/>
      <c r="F4" s="15"/>
      <c r="G4" s="15"/>
      <c r="H4" s="20"/>
    </row>
    <row r="5" spans="1:8" ht="16.2" customHeight="1">
      <c r="A5" s="175" t="s">
        <v>289</v>
      </c>
      <c r="B5" s="208">
        <f t="shared" si="0"/>
        <v>232.33435208752002</v>
      </c>
      <c r="C5" s="208">
        <f t="shared" si="0"/>
        <v>231.51953725732</v>
      </c>
      <c r="D5" s="176"/>
      <c r="E5" s="15"/>
      <c r="F5" s="15"/>
      <c r="G5" s="15"/>
      <c r="H5" s="20"/>
    </row>
    <row r="6" spans="1:8">
      <c r="A6" s="175" t="s">
        <v>164</v>
      </c>
      <c r="B6" s="209">
        <f t="shared" si="0"/>
        <v>1846.186820822388</v>
      </c>
      <c r="C6" s="209">
        <f t="shared" si="0"/>
        <v>1815.3324566069159</v>
      </c>
      <c r="D6" s="176"/>
      <c r="E6" s="15"/>
      <c r="F6" s="15"/>
      <c r="G6" s="15"/>
      <c r="H6" s="20"/>
    </row>
    <row r="7" spans="1:8">
      <c r="A7" s="175" t="s">
        <v>290</v>
      </c>
      <c r="B7" s="208">
        <f t="shared" si="0"/>
        <v>514.46315908196004</v>
      </c>
      <c r="C7" s="208">
        <f t="shared" si="0"/>
        <v>514.79954338495997</v>
      </c>
      <c r="D7" s="176"/>
      <c r="E7" s="15"/>
      <c r="F7" s="15"/>
      <c r="G7" s="15"/>
      <c r="H7" s="20"/>
    </row>
    <row r="8" spans="1:8">
      <c r="A8" s="175" t="s">
        <v>203</v>
      </c>
      <c r="B8" s="178">
        <f t="shared" si="0"/>
        <v>154.38891853328997</v>
      </c>
      <c r="C8" s="178">
        <f t="shared" si="0"/>
        <v>156.90609394163246</v>
      </c>
      <c r="D8" s="176"/>
      <c r="E8" s="15"/>
      <c r="F8" s="15"/>
      <c r="G8" s="15"/>
      <c r="H8" s="20"/>
    </row>
    <row r="9" spans="1:8">
      <c r="A9" s="175" t="s">
        <v>233</v>
      </c>
      <c r="B9" s="208">
        <f t="shared" si="0"/>
        <v>19.08649074549</v>
      </c>
      <c r="C9" s="208">
        <f t="shared" si="0"/>
        <v>19.528315351420002</v>
      </c>
      <c r="D9" s="176"/>
      <c r="E9" s="15"/>
      <c r="F9" s="15"/>
      <c r="G9" s="15"/>
      <c r="H9" s="20"/>
    </row>
    <row r="10" spans="1:8">
      <c r="A10" s="175" t="s">
        <v>291</v>
      </c>
      <c r="B10" s="208">
        <f t="shared" si="0"/>
        <v>139.83189824871999</v>
      </c>
      <c r="C10" s="208">
        <f t="shared" si="0"/>
        <v>141.92977587730996</v>
      </c>
      <c r="D10" s="176"/>
      <c r="E10" s="15"/>
      <c r="F10" s="15"/>
      <c r="G10" s="15"/>
      <c r="H10" s="20"/>
    </row>
    <row r="11" spans="1:8">
      <c r="A11" s="175" t="s">
        <v>262</v>
      </c>
      <c r="B11" s="208">
        <f>B21</f>
        <v>31.821746689049665</v>
      </c>
      <c r="C11" s="208">
        <f>C21</f>
        <v>32.01579300567083</v>
      </c>
      <c r="D11" s="176"/>
      <c r="E11" s="15"/>
      <c r="F11" s="15"/>
      <c r="G11" s="15"/>
      <c r="H11" s="20"/>
    </row>
    <row r="12" spans="1:8">
      <c r="A12" s="214"/>
      <c r="B12" s="214"/>
      <c r="C12" s="214"/>
      <c r="D12" s="214"/>
      <c r="E12" s="15"/>
      <c r="F12" s="15"/>
      <c r="G12" s="15"/>
      <c r="H12" s="20"/>
    </row>
    <row r="13" spans="1:8">
      <c r="A13" s="179" t="s">
        <v>17</v>
      </c>
      <c r="B13" s="180">
        <f>'Weekly Valuation'!E27/1000000000</f>
        <v>236.00000728703455</v>
      </c>
      <c r="C13" s="210">
        <f>'Weekly Valuation'!O27/1000000000</f>
        <v>243.58419140627058</v>
      </c>
      <c r="D13" s="214"/>
      <c r="E13" s="15"/>
      <c r="F13" s="15"/>
      <c r="G13" s="15"/>
      <c r="H13" s="20"/>
    </row>
    <row r="14" spans="1:8">
      <c r="A14" s="181" t="s">
        <v>53</v>
      </c>
      <c r="B14" s="180">
        <f>'Weekly Valuation'!E78/1000000000</f>
        <v>6207.5588050939514</v>
      </c>
      <c r="C14" s="211">
        <f>'Weekly Valuation'!O78/1000000000</f>
        <v>6248.3578392132686</v>
      </c>
      <c r="D14" s="214"/>
      <c r="E14" s="15"/>
      <c r="F14" s="15"/>
      <c r="G14" s="15"/>
      <c r="H14" s="20"/>
    </row>
    <row r="15" spans="1:8">
      <c r="A15" s="181" t="s">
        <v>289</v>
      </c>
      <c r="B15" s="180">
        <f>'Weekly Valuation'!E119/1000000000</f>
        <v>232.33435208752002</v>
      </c>
      <c r="C15" s="210">
        <f>'Weekly Valuation'!O119/1000000000</f>
        <v>231.51953725732</v>
      </c>
      <c r="D15" s="214"/>
      <c r="E15" s="15"/>
      <c r="F15" s="15"/>
      <c r="G15" s="15"/>
      <c r="H15" s="20"/>
    </row>
    <row r="16" spans="1:8">
      <c r="A16" s="181" t="s">
        <v>164</v>
      </c>
      <c r="B16" s="180">
        <f>'Weekly Valuation'!E163/1000000000</f>
        <v>1846.186820822388</v>
      </c>
      <c r="C16" s="211">
        <f>'Weekly Valuation'!O163/1000000000</f>
        <v>1815.3324566069159</v>
      </c>
      <c r="D16" s="214"/>
      <c r="E16" s="15"/>
      <c r="F16" s="15"/>
      <c r="G16" s="15"/>
      <c r="H16" s="20"/>
    </row>
    <row r="17" spans="1:8">
      <c r="A17" s="181" t="s">
        <v>290</v>
      </c>
      <c r="B17" s="180">
        <f>'Weekly Valuation'!E172/1000000000</f>
        <v>514.46315908196004</v>
      </c>
      <c r="C17" s="210">
        <f>'Weekly Valuation'!O172/1000000000</f>
        <v>514.79954338495997</v>
      </c>
      <c r="D17" s="214"/>
      <c r="E17" s="15"/>
      <c r="F17" s="15"/>
      <c r="G17" s="15"/>
      <c r="H17" s="20"/>
    </row>
    <row r="18" spans="1:8">
      <c r="A18" s="181" t="s">
        <v>203</v>
      </c>
      <c r="B18" s="180">
        <f>'Weekly Valuation'!E206/1000000000</f>
        <v>154.38891853328997</v>
      </c>
      <c r="C18" s="182">
        <f>'Weekly Valuation'!O206/1000000000</f>
        <v>156.90609394163246</v>
      </c>
      <c r="D18" s="214"/>
      <c r="E18" s="15"/>
      <c r="F18" s="15"/>
      <c r="G18" s="15"/>
      <c r="H18" s="20"/>
    </row>
    <row r="19" spans="1:8">
      <c r="A19" s="181" t="s">
        <v>233</v>
      </c>
      <c r="B19" s="180">
        <f>'Weekly Valuation'!E212/1000000000</f>
        <v>19.08649074549</v>
      </c>
      <c r="C19" s="210">
        <f>'Weekly Valuation'!O212/1000000000</f>
        <v>19.528315351420002</v>
      </c>
      <c r="D19" s="214"/>
      <c r="E19" s="15"/>
      <c r="F19" s="15"/>
      <c r="G19" s="15"/>
      <c r="H19" s="20"/>
    </row>
    <row r="20" spans="1:8">
      <c r="A20" s="181" t="s">
        <v>291</v>
      </c>
      <c r="B20" s="180">
        <f>'Weekly Valuation'!E240/1000000000</f>
        <v>139.83189824871999</v>
      </c>
      <c r="C20" s="210">
        <f>'Weekly Valuation'!O240/1000000000</f>
        <v>141.92977587730996</v>
      </c>
      <c r="D20" s="214"/>
      <c r="E20" s="15"/>
      <c r="F20" s="15"/>
      <c r="G20" s="15"/>
      <c r="H20" s="20"/>
    </row>
    <row r="21" spans="1:8">
      <c r="A21" s="181" t="s">
        <v>262</v>
      </c>
      <c r="B21" s="180">
        <f>'Weekly Valuation'!E250/1000000000</f>
        <v>31.821746689049665</v>
      </c>
      <c r="C21" s="210">
        <f>'Weekly Valuation'!O250/1000000000</f>
        <v>32.01579300567083</v>
      </c>
      <c r="D21" s="214"/>
      <c r="E21" s="15"/>
      <c r="F21" s="15"/>
      <c r="G21" s="15"/>
      <c r="H21" s="20"/>
    </row>
    <row r="22" spans="1:8">
      <c r="A22" s="215"/>
      <c r="B22" s="214"/>
      <c r="C22" s="205"/>
      <c r="D22" s="214"/>
      <c r="E22" s="15"/>
      <c r="F22" s="15"/>
      <c r="G22" s="15"/>
      <c r="H22" s="20"/>
    </row>
    <row r="23" spans="1:8">
      <c r="A23" s="206"/>
      <c r="B23" s="205"/>
      <c r="C23" s="173"/>
      <c r="E23" s="15"/>
      <c r="F23" s="15"/>
      <c r="G23" s="15"/>
      <c r="H23" s="20"/>
    </row>
    <row r="24" spans="1:8">
      <c r="A24" s="46"/>
      <c r="B24" s="172"/>
      <c r="C24" s="172"/>
      <c r="D24" s="15"/>
      <c r="E24" s="15"/>
      <c r="F24" s="15"/>
      <c r="G24" s="15"/>
      <c r="H24" s="20"/>
    </row>
    <row r="25" spans="1:8">
      <c r="A25" s="46"/>
      <c r="B25" s="172"/>
      <c r="C25" s="172"/>
      <c r="D25" s="15"/>
      <c r="E25" s="15"/>
      <c r="F25" s="15"/>
      <c r="G25" s="15"/>
      <c r="H25" s="20"/>
    </row>
    <row r="26" spans="1:8">
      <c r="A26" s="46"/>
      <c r="B26" s="172"/>
      <c r="C26" s="172"/>
      <c r="D26" s="15"/>
      <c r="E26" s="15"/>
      <c r="F26" s="15"/>
      <c r="G26" s="20"/>
      <c r="H26" s="20"/>
    </row>
    <row r="27" spans="1:8">
      <c r="A27" s="46"/>
      <c r="B27" s="172"/>
      <c r="C27" s="172"/>
      <c r="D27" s="15"/>
      <c r="E27" s="15"/>
      <c r="F27" s="15"/>
      <c r="G27" s="20"/>
      <c r="H27" s="20"/>
    </row>
    <row r="28" spans="1:8">
      <c r="A28" s="15"/>
      <c r="B28" s="15"/>
      <c r="C28" s="15"/>
      <c r="D28" s="15"/>
      <c r="E28" s="15"/>
      <c r="F28" s="15"/>
      <c r="G28" s="20"/>
      <c r="H28" s="20"/>
    </row>
    <row r="29" spans="1:8">
      <c r="A29" s="15"/>
      <c r="B29" s="15"/>
      <c r="C29" s="15"/>
      <c r="D29" s="15"/>
      <c r="E29" s="15"/>
      <c r="F29" s="15"/>
      <c r="G29" s="20"/>
      <c r="H29" s="20"/>
    </row>
    <row r="30" spans="1:8">
      <c r="A30" s="15"/>
      <c r="B30" s="15"/>
      <c r="C30" s="15"/>
      <c r="D30" s="15"/>
      <c r="E30" s="15"/>
      <c r="F30" s="15"/>
    </row>
    <row r="31" spans="1:8">
      <c r="A31" s="15"/>
      <c r="B31" s="15"/>
      <c r="C31" s="15"/>
      <c r="D31" s="15"/>
      <c r="E31" s="15"/>
      <c r="F31" s="15"/>
    </row>
    <row r="32" spans="1:8">
      <c r="A32" s="15"/>
      <c r="B32" s="15"/>
      <c r="C32" s="15"/>
      <c r="D32" s="15"/>
      <c r="E32" s="15"/>
      <c r="F32" s="15"/>
    </row>
    <row r="33" spans="1:6">
      <c r="A33" s="15"/>
      <c r="B33" s="15"/>
      <c r="C33" s="15"/>
      <c r="D33" s="15"/>
      <c r="E33" s="15"/>
      <c r="F33" s="15"/>
    </row>
    <row r="34" spans="1:6">
      <c r="A34" s="15"/>
      <c r="B34" s="15"/>
      <c r="C34" s="15"/>
      <c r="D34" s="15"/>
      <c r="E34" s="15"/>
      <c r="F34" s="15"/>
    </row>
    <row r="35" spans="1:6">
      <c r="A35" s="15"/>
      <c r="B35" s="15"/>
      <c r="C35" s="15"/>
      <c r="D35" s="15"/>
      <c r="E35" s="15"/>
      <c r="F35" s="15"/>
    </row>
    <row r="36" spans="1:6">
      <c r="A36" s="15"/>
      <c r="B36" s="15"/>
      <c r="C36" s="15"/>
      <c r="D36" s="15"/>
      <c r="E36" s="15"/>
      <c r="F36" s="15"/>
    </row>
    <row r="37" spans="1:6">
      <c r="A37" s="15"/>
      <c r="B37" s="15"/>
      <c r="C37" s="15"/>
      <c r="D37" s="15"/>
      <c r="E37" s="15"/>
      <c r="F37" s="15"/>
    </row>
    <row r="38" spans="1:6">
      <c r="A38" s="15"/>
      <c r="B38" s="15"/>
      <c r="C38" s="15"/>
      <c r="D38" s="15"/>
      <c r="E38" s="15"/>
      <c r="F38" s="15"/>
    </row>
    <row r="39" spans="1:6">
      <c r="F39" s="183"/>
    </row>
    <row r="40" spans="1:6">
      <c r="F40" s="183"/>
    </row>
    <row r="41" spans="1:6">
      <c r="F41" s="183"/>
    </row>
    <row r="42" spans="1:6">
      <c r="F42" s="183"/>
    </row>
    <row r="43" spans="1:6">
      <c r="F43" s="183"/>
    </row>
    <row r="44" spans="1:6">
      <c r="F44" s="183"/>
    </row>
  </sheetData>
  <sheetProtection algorithmName="SHA-512" hashValue="wXwBE1FzuRhSW8pVVxB44/IYV3w7S11BUg6tr/zS4rzEvbFX7GbpoHxHKeG7xiD7EUoYYEPyDgvLc5bRbjBymA==" saltValue="D+q2YznuAnBm36xv5S9uZA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F0"/>
  </sheetPr>
  <dimension ref="A1:Q38"/>
  <sheetViews>
    <sheetView zoomScale="85" zoomScaleNormal="85" workbookViewId="0">
      <selection activeCell="H13" sqref="H13"/>
    </sheetView>
  </sheetViews>
  <sheetFormatPr defaultColWidth="9" defaultRowHeight="14.4"/>
  <cols>
    <col min="1" max="1" width="31.33203125" customWidth="1"/>
    <col min="2" max="2" width="17.44140625" customWidth="1"/>
    <col min="16" max="16" width="7.5546875" customWidth="1"/>
  </cols>
  <sheetData>
    <row r="1" spans="1:16" ht="15.6">
      <c r="A1" s="212" t="s">
        <v>288</v>
      </c>
      <c r="B1" s="213">
        <v>46227</v>
      </c>
      <c r="C1" s="214"/>
      <c r="D1" s="20"/>
      <c r="E1" s="20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>
      <c r="A2" s="215" t="s">
        <v>233</v>
      </c>
      <c r="B2" s="205">
        <f>'Weekly Valuation'!O212</f>
        <v>19528315351.420002</v>
      </c>
      <c r="C2" s="214"/>
      <c r="D2" s="20"/>
      <c r="E2" s="20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>
      <c r="A3" s="215" t="s">
        <v>262</v>
      </c>
      <c r="B3" s="205">
        <f>'Weekly Valuation'!O250</f>
        <v>32015793005.67083</v>
      </c>
      <c r="C3" s="214"/>
      <c r="D3" s="20"/>
      <c r="E3" s="20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>
      <c r="A4" s="215" t="s">
        <v>291</v>
      </c>
      <c r="B4" s="205">
        <f>'Weekly Valuation'!O240</f>
        <v>141929775877.30997</v>
      </c>
      <c r="C4" s="214"/>
      <c r="D4" s="20"/>
      <c r="E4" s="20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>
      <c r="A5" s="215" t="s">
        <v>203</v>
      </c>
      <c r="B5" s="173">
        <f>'Weekly Valuation'!O206</f>
        <v>156906093941.63248</v>
      </c>
      <c r="C5" s="214"/>
      <c r="D5" s="20"/>
      <c r="E5" s="20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>
      <c r="A6" s="215" t="s">
        <v>17</v>
      </c>
      <c r="B6" s="205">
        <f>'Weekly Valuation'!O27</f>
        <v>243584191406.27057</v>
      </c>
      <c r="C6" s="214"/>
      <c r="D6" s="20"/>
      <c r="E6" s="20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>
      <c r="A7" s="215" t="s">
        <v>289</v>
      </c>
      <c r="B7" s="205">
        <f>'Weekly Valuation'!O119</f>
        <v>231519537257.32001</v>
      </c>
      <c r="C7" s="214"/>
      <c r="D7" s="20"/>
      <c r="E7" s="20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</row>
    <row r="8" spans="1:16">
      <c r="A8" s="215" t="s">
        <v>290</v>
      </c>
      <c r="B8" s="205">
        <f>'Weekly Valuation'!O172</f>
        <v>514799543384.96002</v>
      </c>
      <c r="C8" s="214"/>
      <c r="D8" s="20"/>
      <c r="E8" s="20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6">
      <c r="A9" s="215" t="s">
        <v>164</v>
      </c>
      <c r="B9" s="216">
        <f>'Weekly Valuation'!O163</f>
        <v>1815332456606.916</v>
      </c>
      <c r="C9" s="214"/>
      <c r="D9" s="20"/>
      <c r="E9" s="20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</row>
    <row r="10" spans="1:16">
      <c r="A10" s="215" t="s">
        <v>53</v>
      </c>
      <c r="B10" s="216">
        <f>'Weekly Valuation'!O78</f>
        <v>6248357839213.2686</v>
      </c>
      <c r="C10" s="214"/>
      <c r="D10" s="20"/>
      <c r="E10" s="20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>
      <c r="A11" s="214"/>
      <c r="B11" s="214"/>
      <c r="C11" s="214"/>
      <c r="D11" s="20"/>
      <c r="E11" s="20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6">
      <c r="A12" s="215"/>
      <c r="B12" s="174"/>
      <c r="C12" s="214"/>
      <c r="D12" s="20"/>
      <c r="E12" s="20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spans="1:16">
      <c r="A13" s="215"/>
      <c r="B13" s="214"/>
      <c r="C13" s="214"/>
      <c r="D13" s="20"/>
      <c r="E13" s="20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  <row r="14" spans="1:16">
      <c r="A14" s="205"/>
      <c r="B14" s="205"/>
      <c r="C14" s="214"/>
      <c r="D14" s="20"/>
      <c r="E14" s="20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</row>
    <row r="15" spans="1:16">
      <c r="A15" s="205"/>
      <c r="B15" s="205"/>
      <c r="C15" s="20"/>
      <c r="D15" s="20"/>
      <c r="E15" s="20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 ht="16.5" customHeight="1">
      <c r="A16" s="206"/>
      <c r="B16" s="173"/>
      <c r="C16" s="20"/>
      <c r="D16" s="20"/>
      <c r="E16" s="20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</row>
    <row r="17" spans="1:16">
      <c r="A17" s="205"/>
      <c r="B17" s="205"/>
      <c r="C17" s="20"/>
      <c r="D17" s="20"/>
      <c r="E17" s="20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>
      <c r="A18" s="205"/>
      <c r="B18" s="205"/>
      <c r="C18" s="20"/>
      <c r="D18" s="20"/>
      <c r="E18" s="20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>
      <c r="A19" s="216"/>
      <c r="B19" s="205"/>
      <c r="C19" s="20"/>
      <c r="D19" s="20"/>
      <c r="E19" s="20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>
      <c r="A20" s="216"/>
      <c r="B20" s="216"/>
      <c r="C20" s="20"/>
      <c r="D20" s="20"/>
      <c r="E20" s="20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1:16">
      <c r="A21" s="216"/>
      <c r="B21" s="216"/>
      <c r="C21" s="20"/>
      <c r="D21" s="20"/>
      <c r="E21" s="20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>
      <c r="A22" s="206"/>
      <c r="B22" s="216"/>
      <c r="C22" s="20"/>
      <c r="D22" s="20"/>
      <c r="E22" s="20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1:16">
      <c r="A23" s="20"/>
      <c r="B23" s="216"/>
      <c r="C23" s="20"/>
      <c r="D23" s="20"/>
      <c r="E23" s="20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1:16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6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</row>
    <row r="26" spans="1:16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</row>
    <row r="27" spans="1:16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</row>
    <row r="28" spans="1:16">
      <c r="A28" s="20"/>
      <c r="B28" s="20"/>
      <c r="C28" s="20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6">
      <c r="A29" s="20"/>
      <c r="B29" s="20"/>
      <c r="C29" s="20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</row>
    <row r="30" spans="1:16">
      <c r="A30" s="20"/>
      <c r="B30" s="20"/>
      <c r="C30" s="20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6">
      <c r="A31" s="20"/>
      <c r="B31" s="20"/>
      <c r="C31" s="20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  <row r="32" spans="1:16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ht="16.5" customHeight="1">
      <c r="A33" s="237"/>
      <c r="B33" s="237"/>
      <c r="C33" s="237"/>
      <c r="D33" s="237"/>
      <c r="E33" s="237"/>
      <c r="F33" s="237"/>
      <c r="G33" s="237"/>
      <c r="H33" s="237"/>
      <c r="I33" s="237"/>
      <c r="J33" s="237"/>
      <c r="K33" s="237"/>
      <c r="L33" s="237"/>
      <c r="M33" s="237"/>
      <c r="N33" s="237"/>
      <c r="O33" s="237"/>
      <c r="P33" s="237"/>
      <c r="Q33" s="21"/>
    </row>
    <row r="34" spans="1:17" ht="15" customHeight="1">
      <c r="A34" s="237"/>
      <c r="B34" s="237"/>
      <c r="C34" s="237"/>
      <c r="D34" s="237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  <c r="Q34" s="21"/>
    </row>
    <row r="35" spans="1:17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</row>
    <row r="36" spans="1:17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1:17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</sheetData>
  <sheetProtection algorithmName="SHA-512" hashValue="qcSefFCsW2PzEXplpO9llmOZ/qyL2jLdytdFvXWpwgYdzQyudf4kcVI3awOdLkrCQS3ArQjCCnMN765iLuE4Lw==" saltValue="N3M8MNfaRA4ccr9mB4hIUw==" spinCount="100000" sheet="1" selectLockedCells="1" selectUnlockedCells="1"/>
  <sortState ref="A2:B9">
    <sortCondition ref="B2:B9"/>
  </sortState>
  <mergeCells count="1">
    <mergeCell ref="A33:P34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O20"/>
  <sheetViews>
    <sheetView zoomScale="110" zoomScaleNormal="110" workbookViewId="0">
      <selection activeCell="E8" sqref="E8"/>
    </sheetView>
  </sheetViews>
  <sheetFormatPr defaultColWidth="9" defaultRowHeight="14.4"/>
  <cols>
    <col min="1" max="2" width="10.5546875" customWidth="1"/>
    <col min="3" max="3" width="11.109375" customWidth="1"/>
    <col min="4" max="4" width="10.5546875" customWidth="1"/>
    <col min="5" max="5" width="10.88671875" customWidth="1"/>
    <col min="6" max="6" width="11.109375" customWidth="1"/>
    <col min="7" max="7" width="12.109375" customWidth="1"/>
    <col min="8" max="8" width="11.6640625" customWidth="1"/>
    <col min="9" max="9" width="11.44140625" customWidth="1"/>
  </cols>
  <sheetData>
    <row r="1" spans="1:15">
      <c r="A1" s="20"/>
      <c r="B1" s="20"/>
      <c r="C1" s="20"/>
      <c r="D1" s="20"/>
      <c r="E1" s="20"/>
      <c r="F1" s="20"/>
      <c r="G1" s="20"/>
      <c r="H1" s="20"/>
      <c r="I1" s="20"/>
      <c r="J1" s="20"/>
      <c r="K1" s="15"/>
      <c r="L1" s="15"/>
      <c r="M1" s="15"/>
      <c r="N1" s="15"/>
      <c r="O1" s="45"/>
    </row>
    <row r="2" spans="1:15">
      <c r="A2" s="201" t="s">
        <v>292</v>
      </c>
      <c r="B2" s="202">
        <v>46178</v>
      </c>
      <c r="C2" s="202">
        <v>46184</v>
      </c>
      <c r="D2" s="202">
        <v>46192</v>
      </c>
      <c r="E2" s="202">
        <v>46199</v>
      </c>
      <c r="F2" s="202">
        <v>46206</v>
      </c>
      <c r="G2" s="202">
        <v>46213</v>
      </c>
      <c r="H2" s="202">
        <v>46220</v>
      </c>
      <c r="I2" s="202">
        <v>46227</v>
      </c>
      <c r="J2" s="20"/>
      <c r="K2" s="15"/>
      <c r="L2" s="15"/>
      <c r="M2" s="15"/>
      <c r="N2" s="15"/>
      <c r="O2" s="45"/>
    </row>
    <row r="3" spans="1:15">
      <c r="A3" s="201" t="s">
        <v>293</v>
      </c>
      <c r="B3" s="184">
        <f t="shared" ref="B3:I3" si="0">B4</f>
        <v>9065.8177533026028</v>
      </c>
      <c r="C3" s="184">
        <f t="shared" si="0"/>
        <v>9101.534190127175</v>
      </c>
      <c r="D3" s="184">
        <f t="shared" si="0"/>
        <v>9081.5117592714614</v>
      </c>
      <c r="E3" s="184">
        <f t="shared" si="0"/>
        <v>9114.5072349997172</v>
      </c>
      <c r="F3" s="184">
        <f t="shared" si="0"/>
        <v>9139.1100219539112</v>
      </c>
      <c r="G3" s="184">
        <f t="shared" si="0"/>
        <v>9291.4177567226161</v>
      </c>
      <c r="H3" s="184">
        <f t="shared" si="0"/>
        <v>9381.6721985894019</v>
      </c>
      <c r="I3" s="184">
        <f t="shared" si="0"/>
        <v>9403.97354604477</v>
      </c>
      <c r="J3" s="20"/>
      <c r="K3" s="15"/>
      <c r="L3" s="15"/>
      <c r="M3" s="15"/>
      <c r="N3" s="15"/>
      <c r="O3" s="45"/>
    </row>
    <row r="4" spans="1:15">
      <c r="A4" s="20"/>
      <c r="B4" s="203">
        <f>'NAV Trend'!C11/1000000000</f>
        <v>9065.8177533026028</v>
      </c>
      <c r="C4" s="203">
        <f>'NAV Trend'!D11/1000000000</f>
        <v>9101.534190127175</v>
      </c>
      <c r="D4" s="203">
        <f>'NAV Trend'!E11/1000000000</f>
        <v>9081.5117592714614</v>
      </c>
      <c r="E4" s="203">
        <f>'NAV Trend'!F11/1000000000</f>
        <v>9114.5072349997172</v>
      </c>
      <c r="F4" s="203">
        <f>'NAV Trend'!G11/1000000000</f>
        <v>9139.1100219539112</v>
      </c>
      <c r="G4" s="203">
        <f>'NAV Trend'!H11/1000000000</f>
        <v>9291.4177567226161</v>
      </c>
      <c r="H4" s="204">
        <f>'NAV Trend'!I11/1000000000</f>
        <v>9381.6721985894019</v>
      </c>
      <c r="I4" s="204">
        <f>'NAV Trend'!J11/1000000000</f>
        <v>9403.97354604477</v>
      </c>
      <c r="J4" s="20"/>
      <c r="K4" s="15"/>
      <c r="L4" s="15"/>
      <c r="M4" s="15"/>
      <c r="N4" s="15"/>
      <c r="O4" s="45"/>
    </row>
    <row r="5" spans="1:15">
      <c r="A5" s="20"/>
      <c r="B5" s="20"/>
      <c r="C5" s="20"/>
      <c r="D5" s="20"/>
      <c r="E5" s="20"/>
      <c r="F5" s="20"/>
      <c r="G5" s="20"/>
      <c r="H5" s="20"/>
      <c r="I5" s="20"/>
      <c r="J5" s="20"/>
      <c r="K5" s="15"/>
      <c r="L5" s="15"/>
      <c r="M5" s="15"/>
      <c r="N5" s="15"/>
      <c r="O5" s="45"/>
    </row>
    <row r="6" spans="1:15">
      <c r="A6" s="20"/>
      <c r="B6" s="20"/>
      <c r="C6" s="20"/>
      <c r="D6" s="20"/>
      <c r="E6" s="20"/>
      <c r="F6" s="20"/>
      <c r="G6" s="20"/>
      <c r="H6" s="20"/>
      <c r="I6" s="20"/>
      <c r="J6" s="20"/>
      <c r="K6" s="15"/>
      <c r="L6" s="15"/>
      <c r="M6" s="15"/>
      <c r="N6" s="15"/>
      <c r="O6" s="45"/>
    </row>
    <row r="7" spans="1:15">
      <c r="A7" s="20"/>
      <c r="B7" s="20"/>
      <c r="C7" s="20"/>
      <c r="D7" s="20"/>
      <c r="E7" s="20"/>
      <c r="F7" s="20"/>
      <c r="G7" s="20"/>
      <c r="H7" s="20"/>
      <c r="I7" s="20"/>
      <c r="J7" s="20"/>
      <c r="K7" s="15"/>
      <c r="L7" s="15"/>
      <c r="M7" s="15"/>
      <c r="N7" s="15"/>
      <c r="O7" s="45"/>
    </row>
    <row r="8" spans="1:15">
      <c r="A8" s="20"/>
      <c r="B8" s="20"/>
      <c r="C8" s="20"/>
      <c r="D8" s="20"/>
      <c r="E8" s="20"/>
      <c r="F8" s="20"/>
      <c r="G8" s="20"/>
      <c r="H8" s="20"/>
      <c r="I8" s="20"/>
      <c r="J8" s="20"/>
      <c r="K8" s="15"/>
      <c r="L8" s="15"/>
      <c r="M8" s="15"/>
      <c r="N8" s="15"/>
      <c r="O8" s="45"/>
    </row>
    <row r="9" spans="1:15">
      <c r="A9" s="20"/>
      <c r="B9" s="20"/>
      <c r="C9" s="20"/>
      <c r="D9" s="20"/>
      <c r="E9" s="20"/>
      <c r="F9" s="20"/>
      <c r="G9" s="20"/>
      <c r="H9" s="20"/>
      <c r="I9" s="20"/>
      <c r="J9" s="20"/>
      <c r="K9" s="15"/>
      <c r="L9" s="15"/>
      <c r="M9" s="15"/>
      <c r="N9" s="15"/>
      <c r="O9" s="45"/>
    </row>
    <row r="10" spans="1:15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15"/>
      <c r="L10" s="15"/>
      <c r="M10" s="15"/>
      <c r="N10" s="45"/>
      <c r="O10" s="45"/>
    </row>
    <row r="11" spans="1:15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15"/>
      <c r="L11" s="15"/>
      <c r="M11" s="15"/>
      <c r="N11" s="45"/>
      <c r="O11" s="45"/>
    </row>
    <row r="12" spans="1:1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15"/>
      <c r="L12" s="15"/>
      <c r="M12" s="15"/>
      <c r="N12" s="45"/>
      <c r="O12" s="45"/>
    </row>
    <row r="13" spans="1: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45"/>
      <c r="O13" s="45"/>
    </row>
    <row r="14" spans="1:1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45"/>
      <c r="O14" s="45"/>
    </row>
    <row r="15" spans="1: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45"/>
      <c r="O15" s="45"/>
    </row>
    <row r="16" spans="1: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45"/>
      <c r="N16" s="45"/>
      <c r="O16" s="45"/>
    </row>
    <row r="17" spans="1:1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45"/>
      <c r="N17" s="45"/>
      <c r="O17" s="45"/>
    </row>
    <row r="18" spans="1:15"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</row>
    <row r="19" spans="1:15"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</row>
    <row r="20" spans="1:15"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</row>
  </sheetData>
  <sheetProtection algorithmName="SHA-512" hashValue="lrixuGjc0lLDFI/iNJpvfvNgEwMHE5fHtmLRhNFa8drerzA/rUBaYSBZaCa3j7R6mMe70DEFgtKVX2phIfHCFA==" saltValue="H0vMCHN5HyZDW4xXBXexpA==" spinCount="100000" sheet="1" objects="1" scenarios="1"/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00"/>
  </sheetPr>
  <dimension ref="A1:P20"/>
  <sheetViews>
    <sheetView workbookViewId="0">
      <selection activeCell="C8" sqref="C8"/>
    </sheetView>
  </sheetViews>
  <sheetFormatPr defaultColWidth="9" defaultRowHeight="14.4"/>
  <cols>
    <col min="1" max="1" width="10.6640625" customWidth="1"/>
    <col min="2" max="2" width="11.109375" customWidth="1"/>
    <col min="3" max="3" width="11.44140625" customWidth="1"/>
    <col min="4" max="4" width="11.5546875" customWidth="1"/>
    <col min="5" max="5" width="11.109375" customWidth="1"/>
    <col min="6" max="7" width="11.33203125" customWidth="1"/>
    <col min="8" max="8" width="11.6640625" customWidth="1"/>
    <col min="9" max="9" width="11.109375" customWidth="1"/>
  </cols>
  <sheetData>
    <row r="1" spans="1:16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15"/>
      <c r="M1" s="15"/>
      <c r="N1" s="15"/>
      <c r="O1" s="20"/>
      <c r="P1" s="43"/>
    </row>
    <row r="2" spans="1:16">
      <c r="A2" s="201" t="s">
        <v>292</v>
      </c>
      <c r="B2" s="202">
        <v>46178</v>
      </c>
      <c r="C2" s="202">
        <v>46184</v>
      </c>
      <c r="D2" s="202">
        <v>46192</v>
      </c>
      <c r="E2" s="202">
        <v>46199</v>
      </c>
      <c r="F2" s="202">
        <v>46206</v>
      </c>
      <c r="G2" s="202">
        <v>46213</v>
      </c>
      <c r="H2" s="202">
        <v>46220</v>
      </c>
      <c r="I2" s="202">
        <v>46227</v>
      </c>
      <c r="J2" s="20"/>
      <c r="K2" s="20"/>
      <c r="L2" s="15"/>
      <c r="M2" s="15"/>
      <c r="N2" s="15"/>
      <c r="O2" s="20"/>
      <c r="P2" s="43"/>
    </row>
    <row r="3" spans="1:16">
      <c r="A3" s="201" t="s">
        <v>294</v>
      </c>
      <c r="B3" s="184">
        <f t="shared" ref="B3:I3" si="0">B4</f>
        <v>31.023458333940003</v>
      </c>
      <c r="C3" s="184">
        <f t="shared" si="0"/>
        <v>31.276624002919995</v>
      </c>
      <c r="D3" s="184">
        <f t="shared" si="0"/>
        <v>30.175205285199997</v>
      </c>
      <c r="E3" s="184">
        <f t="shared" si="0"/>
        <v>29.959038932529999</v>
      </c>
      <c r="F3" s="184">
        <f t="shared" si="0"/>
        <v>29.355227401120001</v>
      </c>
      <c r="G3" s="184">
        <f t="shared" si="0"/>
        <v>31.056126253639995</v>
      </c>
      <c r="H3" s="184">
        <f t="shared" si="0"/>
        <v>31.336682253870002</v>
      </c>
      <c r="I3" s="184">
        <f t="shared" si="0"/>
        <v>31.945291834430002</v>
      </c>
      <c r="J3" s="20"/>
      <c r="K3" s="20"/>
      <c r="L3" s="15"/>
      <c r="M3" s="15"/>
      <c r="N3" s="15"/>
      <c r="O3" s="20"/>
      <c r="P3" s="43"/>
    </row>
    <row r="4" spans="1:16">
      <c r="A4" s="20"/>
      <c r="B4" s="203">
        <f>'NAV Trend'!C17/1000000000</f>
        <v>31.023458333940003</v>
      </c>
      <c r="C4" s="203">
        <f>'NAV Trend'!D17/1000000000</f>
        <v>31.276624002919995</v>
      </c>
      <c r="D4" s="203">
        <f>'NAV Trend'!E17/1000000000</f>
        <v>30.175205285199997</v>
      </c>
      <c r="E4" s="203">
        <f>'NAV Trend'!F17/1000000000</f>
        <v>29.959038932529999</v>
      </c>
      <c r="F4" s="203">
        <f>'NAV Trend'!G17/1000000000</f>
        <v>29.355227401120001</v>
      </c>
      <c r="G4" s="203">
        <f>'NAV Trend'!H17/1000000000</f>
        <v>31.056126253639995</v>
      </c>
      <c r="H4" s="203">
        <f>'NAV Trend'!I17/1000000000</f>
        <v>31.336682253870002</v>
      </c>
      <c r="I4" s="204">
        <f>'NAV Trend'!J17/1000000000</f>
        <v>31.945291834430002</v>
      </c>
      <c r="J4" s="20"/>
      <c r="K4" s="20"/>
      <c r="L4" s="15"/>
      <c r="M4" s="15"/>
      <c r="N4" s="15"/>
      <c r="O4" s="20"/>
      <c r="P4" s="43"/>
    </row>
    <row r="5" spans="1:16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15"/>
      <c r="M5" s="15"/>
      <c r="N5" s="15"/>
      <c r="O5" s="20"/>
      <c r="P5" s="43"/>
    </row>
    <row r="6" spans="1:16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15"/>
      <c r="M6" s="15"/>
      <c r="N6" s="15"/>
      <c r="O6" s="20"/>
    </row>
    <row r="7" spans="1:16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15"/>
      <c r="M7" s="15"/>
      <c r="N7" s="15"/>
      <c r="O7" s="20"/>
    </row>
    <row r="8" spans="1:16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15"/>
      <c r="M8" s="15"/>
      <c r="N8" s="15"/>
      <c r="O8" s="20"/>
    </row>
    <row r="9" spans="1:16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15"/>
      <c r="M9" s="15"/>
      <c r="N9" s="15"/>
      <c r="O9" s="20"/>
    </row>
    <row r="10" spans="1:16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15"/>
      <c r="M10" s="15"/>
      <c r="N10" s="15"/>
      <c r="O10" s="42"/>
    </row>
    <row r="11" spans="1:16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42"/>
    </row>
    <row r="12" spans="1:16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42"/>
    </row>
    <row r="13" spans="1:16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42"/>
    </row>
    <row r="14" spans="1:16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42"/>
    </row>
    <row r="15" spans="1:16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42"/>
    </row>
    <row r="16" spans="1:16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42"/>
    </row>
    <row r="17" spans="1:1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42"/>
    </row>
    <row r="18" spans="1:1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</row>
    <row r="19" spans="1:1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</row>
    <row r="20" spans="1:1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</row>
  </sheetData>
  <sheetProtection algorithmName="SHA-512" hashValue="rlW384uhpUw0OpNyoGWg+iGNq4SSprcEOgrYLteE1hguujCffyNQ9+XIsnmlFdL25CpUqT50HuRVbnOpoTTF7Q==" saltValue="nJl+kPad/vXvPtGlbNyp2w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23"/>
  <sheetViews>
    <sheetView topLeftCell="F1" zoomScale="150" zoomScaleNormal="150" workbookViewId="0">
      <selection activeCell="K1" sqref="K1"/>
    </sheetView>
  </sheetViews>
  <sheetFormatPr defaultColWidth="9" defaultRowHeight="14.4"/>
  <cols>
    <col min="1" max="1" width="36.33203125" customWidth="1"/>
    <col min="2" max="2" width="23.5546875" customWidth="1"/>
    <col min="3" max="3" width="22.5546875" customWidth="1"/>
    <col min="4" max="4" width="20.88671875" customWidth="1"/>
    <col min="5" max="5" width="22.5546875" customWidth="1"/>
    <col min="6" max="6" width="24.6640625" customWidth="1"/>
    <col min="7" max="7" width="22.44140625" customWidth="1"/>
    <col min="8" max="8" width="24.33203125" customWidth="1"/>
    <col min="9" max="9" width="22.5546875" customWidth="1"/>
    <col min="10" max="10" width="21.6640625" customWidth="1"/>
    <col min="11" max="12" width="20.6640625" customWidth="1"/>
    <col min="13" max="13" width="20.5546875" customWidth="1"/>
  </cols>
  <sheetData>
    <row r="1" spans="1:11" ht="15.6">
      <c r="A1" s="1" t="s">
        <v>288</v>
      </c>
      <c r="B1" s="2">
        <v>46171</v>
      </c>
      <c r="C1" s="2">
        <v>46178</v>
      </c>
      <c r="D1" s="2">
        <v>46184</v>
      </c>
      <c r="E1" s="2">
        <v>46192</v>
      </c>
      <c r="F1" s="2">
        <v>46199</v>
      </c>
      <c r="G1" s="2">
        <v>46206</v>
      </c>
      <c r="H1" s="2">
        <v>46213</v>
      </c>
      <c r="I1" s="2">
        <v>46220</v>
      </c>
      <c r="J1" s="2">
        <v>46227</v>
      </c>
    </row>
    <row r="2" spans="1:11">
      <c r="A2" s="3" t="s">
        <v>17</v>
      </c>
      <c r="B2" s="4">
        <v>266819826208.66391</v>
      </c>
      <c r="C2" s="4">
        <v>261164527998.5798</v>
      </c>
      <c r="D2" s="4">
        <v>256764978197.62451</v>
      </c>
      <c r="E2" s="4">
        <v>242186700352.6647</v>
      </c>
      <c r="F2" s="4">
        <v>234859889140.22873</v>
      </c>
      <c r="G2" s="4">
        <v>219906762308.28189</v>
      </c>
      <c r="H2" s="4">
        <v>233624998694.32019</v>
      </c>
      <c r="I2" s="4">
        <v>236000007287.03455</v>
      </c>
      <c r="J2" s="4">
        <v>243584191406.27057</v>
      </c>
    </row>
    <row r="3" spans="1:11">
      <c r="A3" s="3" t="s">
        <v>53</v>
      </c>
      <c r="B3" s="4">
        <v>5839627786905.6484</v>
      </c>
      <c r="C3" s="4">
        <v>5902329950916.0596</v>
      </c>
      <c r="D3" s="4">
        <v>5945195246120.4697</v>
      </c>
      <c r="E3" s="4">
        <v>5946340110063.4297</v>
      </c>
      <c r="F3" s="4">
        <v>5971554584271.5498</v>
      </c>
      <c r="G3" s="4">
        <v>6078870736633.8916</v>
      </c>
      <c r="H3" s="4">
        <v>6164179726414.5693</v>
      </c>
      <c r="I3" s="4">
        <v>6207558805093.9512</v>
      </c>
      <c r="J3" s="4">
        <v>6248357839213.2686</v>
      </c>
    </row>
    <row r="4" spans="1:11">
      <c r="A4" s="3" t="s">
        <v>289</v>
      </c>
      <c r="B4" s="5">
        <v>234954745853.45001</v>
      </c>
      <c r="C4" s="5">
        <v>236159500980.94</v>
      </c>
      <c r="D4" s="5">
        <v>236916586622.81195</v>
      </c>
      <c r="E4" s="5">
        <v>237211374820.86002</v>
      </c>
      <c r="F4" s="5">
        <v>236966322006.69998</v>
      </c>
      <c r="G4" s="5">
        <v>224778205687.13</v>
      </c>
      <c r="H4" s="5">
        <v>235470566797.78436</v>
      </c>
      <c r="I4" s="5">
        <v>232334352087.52002</v>
      </c>
      <c r="J4" s="5">
        <v>231519537257.32001</v>
      </c>
    </row>
    <row r="5" spans="1:11">
      <c r="A5" s="3" t="s">
        <v>164</v>
      </c>
      <c r="B5" s="4">
        <v>1839533501218.4192</v>
      </c>
      <c r="C5" s="4">
        <v>1829416071688.4446</v>
      </c>
      <c r="D5" s="4">
        <v>1830631570207.8184</v>
      </c>
      <c r="E5" s="4">
        <v>1831543622192.5051</v>
      </c>
      <c r="F5" s="4">
        <v>1853028825644.45</v>
      </c>
      <c r="G5" s="4">
        <v>1809497759289.1062</v>
      </c>
      <c r="H5" s="4">
        <v>1840983211609.0078</v>
      </c>
      <c r="I5" s="4">
        <v>1846186820822.3879</v>
      </c>
      <c r="J5" s="4">
        <v>1815332456606.916</v>
      </c>
    </row>
    <row r="6" spans="1:11">
      <c r="A6" s="3" t="s">
        <v>290</v>
      </c>
      <c r="B6" s="5">
        <v>508142816542.39001</v>
      </c>
      <c r="C6" s="5">
        <v>509449760962.75995</v>
      </c>
      <c r="D6" s="5">
        <v>509810118982.62</v>
      </c>
      <c r="E6" s="5">
        <v>509105404218.04999</v>
      </c>
      <c r="F6" s="5">
        <v>509492410633.63</v>
      </c>
      <c r="G6" s="5">
        <v>510574823049.37</v>
      </c>
      <c r="H6" s="5">
        <v>510399385098.47247</v>
      </c>
      <c r="I6" s="5">
        <v>514463159081.96002</v>
      </c>
      <c r="J6" s="5">
        <v>514799543384.96002</v>
      </c>
    </row>
    <row r="7" spans="1:11">
      <c r="A7" s="3" t="s">
        <v>203</v>
      </c>
      <c r="B7" s="7">
        <v>158918035170.78</v>
      </c>
      <c r="C7" s="7">
        <v>157794604666.74005</v>
      </c>
      <c r="D7" s="7">
        <v>157283348047.30002</v>
      </c>
      <c r="E7" s="7">
        <v>153787085927.89999</v>
      </c>
      <c r="F7" s="7">
        <v>151120367802.87</v>
      </c>
      <c r="G7" s="7">
        <v>145960852012.67419</v>
      </c>
      <c r="H7" s="7">
        <v>151729930899.94</v>
      </c>
      <c r="I7" s="7">
        <v>154388918533.28998</v>
      </c>
      <c r="J7" s="7">
        <v>156906093941.63248</v>
      </c>
    </row>
    <row r="8" spans="1:11">
      <c r="A8" s="3" t="s">
        <v>233</v>
      </c>
      <c r="B8" s="6">
        <v>21792643850.099998</v>
      </c>
      <c r="C8" s="6">
        <v>21280346410.980003</v>
      </c>
      <c r="D8" s="6">
        <v>21268685643.470001</v>
      </c>
      <c r="E8" s="6">
        <v>19841788312.09</v>
      </c>
      <c r="F8" s="6">
        <v>19223983706.759998</v>
      </c>
      <c r="G8" s="6">
        <v>17599717633.849998</v>
      </c>
      <c r="H8" s="6">
        <v>18942985724.459999</v>
      </c>
      <c r="I8" s="6">
        <v>19086490745.490002</v>
      </c>
      <c r="J8" s="6">
        <v>19528315351.420002</v>
      </c>
    </row>
    <row r="9" spans="1:11">
      <c r="A9" s="3" t="s">
        <v>291</v>
      </c>
      <c r="B9" s="6">
        <v>148330897921.06546</v>
      </c>
      <c r="C9" s="6">
        <v>148222989678.10001</v>
      </c>
      <c r="D9" s="6">
        <v>143663656305.06003</v>
      </c>
      <c r="E9" s="6">
        <v>141495673383.96002</v>
      </c>
      <c r="F9" s="6">
        <v>138260851793.53003</v>
      </c>
      <c r="G9" s="6">
        <v>131921165339.61</v>
      </c>
      <c r="H9" s="6">
        <v>136086951484.06001</v>
      </c>
      <c r="I9" s="6">
        <v>139831898248.72</v>
      </c>
      <c r="J9" s="6">
        <v>141929775877.30997</v>
      </c>
    </row>
    <row r="10" spans="1:11">
      <c r="A10" s="3" t="s">
        <v>262</v>
      </c>
      <c r="B10" s="6">
        <v>31841806178.550476</v>
      </c>
      <c r="C10" s="6">
        <v>31850952331.097569</v>
      </c>
      <c r="D10" s="6">
        <v>30947010318.115276</v>
      </c>
      <c r="E10" s="6">
        <v>31106262396.983276</v>
      </c>
      <c r="F10" s="6">
        <v>31303744541.555901</v>
      </c>
      <c r="G10" s="6">
        <v>31376500637.018864</v>
      </c>
      <c r="H10" s="6">
        <v>31540075925.065651</v>
      </c>
      <c r="I10" s="6">
        <v>31821746689.049664</v>
      </c>
      <c r="J10" s="6">
        <v>32015793005.67083</v>
      </c>
    </row>
    <row r="11" spans="1:11" ht="15.6">
      <c r="A11" s="8" t="s">
        <v>295</v>
      </c>
      <c r="B11" s="9">
        <f t="shared" ref="B11:H11" si="0">SUM(B2:B9)</f>
        <v>9018120253670.5176</v>
      </c>
      <c r="C11" s="9">
        <f t="shared" si="0"/>
        <v>9065817753302.6035</v>
      </c>
      <c r="D11" s="9">
        <f t="shared" si="0"/>
        <v>9101534190127.1758</v>
      </c>
      <c r="E11" s="9">
        <f t="shared" si="0"/>
        <v>9081511759271.4609</v>
      </c>
      <c r="F11" s="9">
        <f t="shared" si="0"/>
        <v>9114507234999.7168</v>
      </c>
      <c r="G11" s="9">
        <f t="shared" si="0"/>
        <v>9139110021953.9121</v>
      </c>
      <c r="H11" s="9">
        <f t="shared" si="0"/>
        <v>9291417756722.6152</v>
      </c>
      <c r="I11" s="9">
        <f>SUM(I2:I10)</f>
        <v>9381672198589.4023</v>
      </c>
      <c r="J11" s="9">
        <f>SUM(J2:J10)</f>
        <v>9403973546044.7695</v>
      </c>
    </row>
    <row r="12" spans="1:11">
      <c r="A12" s="10"/>
      <c r="B12" s="11"/>
      <c r="C12" s="11"/>
      <c r="D12" s="11"/>
      <c r="E12" s="11"/>
      <c r="F12" s="11"/>
      <c r="G12" s="11"/>
      <c r="H12" s="11"/>
      <c r="I12" s="10"/>
      <c r="J12" s="10"/>
    </row>
    <row r="13" spans="1:11" ht="15.6">
      <c r="A13" s="12" t="s">
        <v>296</v>
      </c>
      <c r="B13" s="41" t="s">
        <v>297</v>
      </c>
      <c r="C13" s="13">
        <f>(B11+C11)/2</f>
        <v>9041969003486.5605</v>
      </c>
      <c r="D13" s="14">
        <f t="shared" ref="D13:J13" si="1">(C11+D11)/2</f>
        <v>9083675971714.8906</v>
      </c>
      <c r="E13" s="14">
        <f t="shared" si="1"/>
        <v>9091522974699.3184</v>
      </c>
      <c r="F13" s="14">
        <f t="shared" si="1"/>
        <v>9098009497135.5898</v>
      </c>
      <c r="G13" s="14">
        <f t="shared" si="1"/>
        <v>9126808628476.8145</v>
      </c>
      <c r="H13" s="14">
        <f t="shared" si="1"/>
        <v>9215263889338.2637</v>
      </c>
      <c r="I13" s="14">
        <f t="shared" si="1"/>
        <v>9336544977656.0078</v>
      </c>
      <c r="J13" s="14">
        <f t="shared" si="1"/>
        <v>9392822872317.0859</v>
      </c>
    </row>
    <row r="14" spans="1:11">
      <c r="C14" s="15"/>
      <c r="D14" s="15"/>
      <c r="E14" s="15"/>
      <c r="F14" s="15"/>
      <c r="G14" s="15"/>
      <c r="H14" s="15"/>
      <c r="I14" s="15"/>
      <c r="J14" s="15"/>
      <c r="K14" s="15"/>
    </row>
    <row r="15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spans="1:11" ht="15.6">
      <c r="A16" s="1" t="s">
        <v>3</v>
      </c>
      <c r="B16" s="2">
        <v>46171</v>
      </c>
      <c r="C16" s="2">
        <v>46178</v>
      </c>
      <c r="D16" s="2">
        <v>46184</v>
      </c>
      <c r="E16" s="2">
        <v>46192</v>
      </c>
      <c r="F16" s="2">
        <v>46199</v>
      </c>
      <c r="G16" s="2">
        <v>46206</v>
      </c>
      <c r="H16" s="2">
        <v>46213</v>
      </c>
      <c r="I16" s="2">
        <v>46220</v>
      </c>
      <c r="J16" s="2">
        <v>46227</v>
      </c>
      <c r="K16" s="15"/>
    </row>
    <row r="17" spans="1:11">
      <c r="A17" s="16" t="s">
        <v>298</v>
      </c>
      <c r="B17" s="17">
        <v>31957060014.499996</v>
      </c>
      <c r="C17" s="17">
        <v>31023458333.940002</v>
      </c>
      <c r="D17" s="17">
        <v>31276624002.919994</v>
      </c>
      <c r="E17" s="17">
        <v>30175205285.199997</v>
      </c>
      <c r="F17" s="17">
        <v>29959038932.529999</v>
      </c>
      <c r="G17" s="17">
        <v>29355227401.119999</v>
      </c>
      <c r="H17" s="17">
        <v>31056126253.639996</v>
      </c>
      <c r="I17" s="17">
        <v>31336682253.870003</v>
      </c>
      <c r="J17" s="17">
        <v>31945291834.43</v>
      </c>
      <c r="K17" s="15"/>
    </row>
    <row r="18" spans="1:1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>
      <c r="A19" s="15"/>
      <c r="B19" s="15"/>
      <c r="C19" s="18"/>
      <c r="D19" s="18"/>
      <c r="E19" s="18"/>
      <c r="F19" s="18"/>
      <c r="G19" s="18"/>
      <c r="H19" s="18"/>
      <c r="I19" s="18"/>
      <c r="J19" s="18"/>
      <c r="K19" s="15"/>
    </row>
    <row r="20" spans="1:1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1">
      <c r="B22" s="15"/>
      <c r="C22" s="15"/>
      <c r="D22" s="15"/>
      <c r="E22" s="15"/>
      <c r="F22" s="15"/>
      <c r="G22" s="15"/>
      <c r="H22" s="15"/>
      <c r="I22" s="15"/>
      <c r="J22" s="19"/>
      <c r="K22" s="15"/>
    </row>
    <row r="23" spans="1:11">
      <c r="B23" s="15"/>
      <c r="C23" s="15"/>
      <c r="D23" s="15"/>
      <c r="E23" s="15"/>
      <c r="F23" s="15"/>
      <c r="G23" s="15"/>
      <c r="H23" s="15"/>
      <c r="I23" s="15"/>
      <c r="J23" s="6"/>
      <c r="K23" s="20"/>
    </row>
  </sheetData>
  <sheetProtection algorithmName="SHA-512" hashValue="ytpP45G+ev3IY5dIO4Bu12uCJjiMFInzdGcAH0LxC85A5lVCXJbyVkajLefDadoldJDddvzzzMzLqhlxl+AFkQ==" saltValue="882P22W8YdLS/0jkG6gQ5g==" spinCount="100000" sheet="1" objects="1" scenarios="1"/>
  <pageMargins left="0.7" right="0.7" top="0.75" bottom="0.75" header="0.3" footer="0.3"/>
  <pageSetup paperSize="9" orientation="portrait" horizontalDpi="300" verticalDpi="300"/>
  <ignoredErrors>
    <ignoredError sqref="B11:I11 J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Weekly Valuation</vt:lpstr>
      <vt:lpstr>NAV Comparison</vt:lpstr>
      <vt:lpstr>Market Share</vt:lpstr>
      <vt:lpstr>8-Week Movement in NAV</vt:lpstr>
      <vt:lpstr>8-Week Movement in ETFs</vt:lpstr>
      <vt:lpstr>NAV Trend</vt:lpstr>
      <vt:lpstr>FX_RATE</vt:lpstr>
      <vt:lpstr>'Weekly Valuation'!NFEM_RATE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RV</dc:creator>
  <cp:lastModifiedBy>Isaac, Tunde</cp:lastModifiedBy>
  <dcterms:created xsi:type="dcterms:W3CDTF">2023-10-09T09:40:00Z</dcterms:created>
  <dcterms:modified xsi:type="dcterms:W3CDTF">2026-08-09T11:45:39Z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A438AA3AB3D54FD3925988ED903466DD_13</vt:lpwstr>
  </property>
  <property fmtid="{D5CDD505-2E9C-101B-9397-08002B2CF9AE}" pid="3" name="KSOProductBuildVer">
    <vt:lpwstr>1033-12.2.0.13266</vt:lpwstr>
  </property>
</Properties>
</file>