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 Update 2026\"/>
    </mc:Choice>
  </mc:AlternateContent>
  <bookViews>
    <workbookView xWindow="1524" yWindow="1524" windowWidth="19200" windowHeight="9972"/>
  </bookViews>
  <sheets>
    <sheet name="March" sheetId="7" r:id="rId1"/>
    <sheet name="NAV Comparison" sheetId="2" r:id="rId2"/>
    <sheet name="Market Share" sheetId="3" r:id="rId3"/>
    <sheet name="Unitholders" sheetId="6" r:id="rId4"/>
  </sheets>
  <externalReferences>
    <externalReference r:id="rId5"/>
  </externalReferences>
  <definedNames>
    <definedName name="_Hlk34300669" localSheetId="0">March!$K$68</definedName>
    <definedName name="Component">"Group"</definedName>
    <definedName name="FX_RATE">March!$C$245</definedName>
    <definedName name="pbCountingPages">FALSE</definedName>
  </definedNames>
  <calcPr calcId="162913"/>
</workbook>
</file>

<file path=xl/calcChain.xml><?xml version="1.0" encoding="utf-8"?>
<calcChain xmlns="http://schemas.openxmlformats.org/spreadsheetml/2006/main">
  <c r="L238" i="7" l="1"/>
  <c r="M238" i="7"/>
  <c r="N238" i="7"/>
  <c r="O238" i="7"/>
  <c r="P238" i="7"/>
  <c r="Q238" i="7"/>
  <c r="L239" i="7"/>
  <c r="M239" i="7"/>
  <c r="N239" i="7"/>
  <c r="O239" i="7"/>
  <c r="P239" i="7"/>
  <c r="Q239" i="7"/>
  <c r="L240" i="7"/>
  <c r="M240" i="7"/>
  <c r="N240" i="7"/>
  <c r="O240" i="7"/>
  <c r="P240" i="7"/>
  <c r="Q240" i="7"/>
  <c r="L241" i="7"/>
  <c r="M241" i="7"/>
  <c r="N241" i="7"/>
  <c r="O241" i="7"/>
  <c r="P241" i="7"/>
  <c r="Q241" i="7"/>
  <c r="J238" i="7"/>
  <c r="J239" i="7"/>
  <c r="J240" i="7"/>
  <c r="J241" i="7"/>
  <c r="L230" i="7"/>
  <c r="M230" i="7"/>
  <c r="N230" i="7"/>
  <c r="O230" i="7"/>
  <c r="P230" i="7"/>
  <c r="Q230" i="7"/>
  <c r="L231" i="7"/>
  <c r="M231" i="7"/>
  <c r="N231" i="7"/>
  <c r="O231" i="7"/>
  <c r="P231" i="7"/>
  <c r="Q231" i="7"/>
  <c r="L232" i="7"/>
  <c r="M232" i="7"/>
  <c r="N232" i="7"/>
  <c r="O232" i="7"/>
  <c r="P232" i="7"/>
  <c r="Q232" i="7"/>
  <c r="J230" i="7"/>
  <c r="J231" i="7"/>
  <c r="J232" i="7"/>
  <c r="L214" i="7"/>
  <c r="M214" i="7"/>
  <c r="N214" i="7"/>
  <c r="O214" i="7"/>
  <c r="P214" i="7"/>
  <c r="Q214" i="7"/>
  <c r="L215" i="7"/>
  <c r="M215" i="7"/>
  <c r="N215" i="7"/>
  <c r="O215" i="7"/>
  <c r="P215" i="7"/>
  <c r="Q215" i="7"/>
  <c r="L216" i="7"/>
  <c r="M216" i="7"/>
  <c r="N216" i="7"/>
  <c r="O216" i="7"/>
  <c r="P216" i="7"/>
  <c r="Q216" i="7"/>
  <c r="L217" i="7"/>
  <c r="M217" i="7"/>
  <c r="N217" i="7"/>
  <c r="O217" i="7"/>
  <c r="P217" i="7"/>
  <c r="Q217" i="7"/>
  <c r="L218" i="7"/>
  <c r="M218" i="7"/>
  <c r="N218" i="7"/>
  <c r="O218" i="7"/>
  <c r="P218" i="7"/>
  <c r="Q218" i="7"/>
  <c r="L219" i="7"/>
  <c r="M219" i="7"/>
  <c r="N219" i="7"/>
  <c r="O219" i="7"/>
  <c r="P219" i="7"/>
  <c r="Q219" i="7"/>
  <c r="L220" i="7"/>
  <c r="M220" i="7"/>
  <c r="N220" i="7"/>
  <c r="O220" i="7"/>
  <c r="P220" i="7"/>
  <c r="Q220" i="7"/>
  <c r="L221" i="7"/>
  <c r="M221" i="7"/>
  <c r="N221" i="7"/>
  <c r="O221" i="7"/>
  <c r="P221" i="7"/>
  <c r="Q221" i="7"/>
  <c r="L222" i="7"/>
  <c r="M222" i="7"/>
  <c r="N222" i="7"/>
  <c r="O222" i="7"/>
  <c r="P222" i="7"/>
  <c r="Q222" i="7"/>
  <c r="L223" i="7"/>
  <c r="M223" i="7"/>
  <c r="N223" i="7"/>
  <c r="O223" i="7"/>
  <c r="P223" i="7"/>
  <c r="Q223" i="7"/>
  <c r="L224" i="7"/>
  <c r="M224" i="7"/>
  <c r="N224" i="7"/>
  <c r="O224" i="7"/>
  <c r="P224" i="7"/>
  <c r="Q224" i="7"/>
  <c r="L225" i="7"/>
  <c r="M225" i="7"/>
  <c r="N225" i="7"/>
  <c r="O225" i="7"/>
  <c r="P225" i="7"/>
  <c r="Q225" i="7"/>
  <c r="L226" i="7"/>
  <c r="M226" i="7"/>
  <c r="N226" i="7"/>
  <c r="O226" i="7"/>
  <c r="P226" i="7"/>
  <c r="Q226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L210" i="7"/>
  <c r="M210" i="7"/>
  <c r="N210" i="7"/>
  <c r="O210" i="7"/>
  <c r="P210" i="7"/>
  <c r="Q210" i="7"/>
  <c r="J210" i="7"/>
  <c r="L203" i="7"/>
  <c r="M203" i="7"/>
  <c r="N203" i="7"/>
  <c r="O203" i="7"/>
  <c r="P203" i="7"/>
  <c r="Q203" i="7"/>
  <c r="L204" i="7"/>
  <c r="M204" i="7"/>
  <c r="N204" i="7"/>
  <c r="O204" i="7"/>
  <c r="P204" i="7"/>
  <c r="Q204" i="7"/>
  <c r="J203" i="7"/>
  <c r="J204" i="7"/>
  <c r="L171" i="7"/>
  <c r="M171" i="7"/>
  <c r="N171" i="7"/>
  <c r="O171" i="7"/>
  <c r="P171" i="7"/>
  <c r="Q171" i="7"/>
  <c r="L172" i="7"/>
  <c r="M172" i="7"/>
  <c r="N172" i="7"/>
  <c r="O172" i="7"/>
  <c r="P172" i="7"/>
  <c r="Q172" i="7"/>
  <c r="L173" i="7"/>
  <c r="M173" i="7"/>
  <c r="N173" i="7"/>
  <c r="O173" i="7"/>
  <c r="P173" i="7"/>
  <c r="Q173" i="7"/>
  <c r="L174" i="7"/>
  <c r="M174" i="7"/>
  <c r="N174" i="7"/>
  <c r="O174" i="7"/>
  <c r="P174" i="7"/>
  <c r="Q174" i="7"/>
  <c r="L175" i="7"/>
  <c r="M175" i="7"/>
  <c r="N175" i="7"/>
  <c r="O175" i="7"/>
  <c r="P175" i="7"/>
  <c r="Q175" i="7"/>
  <c r="L176" i="7"/>
  <c r="M176" i="7"/>
  <c r="N176" i="7"/>
  <c r="O176" i="7"/>
  <c r="P176" i="7"/>
  <c r="Q176" i="7"/>
  <c r="L177" i="7"/>
  <c r="M177" i="7"/>
  <c r="N177" i="7"/>
  <c r="O177" i="7"/>
  <c r="P177" i="7"/>
  <c r="Q177" i="7"/>
  <c r="L178" i="7"/>
  <c r="M178" i="7"/>
  <c r="N178" i="7"/>
  <c r="O178" i="7"/>
  <c r="P178" i="7"/>
  <c r="Q178" i="7"/>
  <c r="L179" i="7"/>
  <c r="M179" i="7"/>
  <c r="N179" i="7"/>
  <c r="O179" i="7"/>
  <c r="P179" i="7"/>
  <c r="Q179" i="7"/>
  <c r="L180" i="7"/>
  <c r="M180" i="7"/>
  <c r="N180" i="7"/>
  <c r="O180" i="7"/>
  <c r="P180" i="7"/>
  <c r="Q180" i="7"/>
  <c r="L181" i="7"/>
  <c r="M181" i="7"/>
  <c r="N181" i="7"/>
  <c r="O181" i="7"/>
  <c r="P181" i="7"/>
  <c r="Q181" i="7"/>
  <c r="L182" i="7"/>
  <c r="M182" i="7"/>
  <c r="N182" i="7"/>
  <c r="O182" i="7"/>
  <c r="P182" i="7"/>
  <c r="Q182" i="7"/>
  <c r="L183" i="7"/>
  <c r="M183" i="7"/>
  <c r="N183" i="7"/>
  <c r="O183" i="7"/>
  <c r="P183" i="7"/>
  <c r="Q183" i="7"/>
  <c r="L184" i="7"/>
  <c r="M184" i="7"/>
  <c r="N184" i="7"/>
  <c r="O184" i="7"/>
  <c r="P184" i="7"/>
  <c r="Q184" i="7"/>
  <c r="L185" i="7"/>
  <c r="M185" i="7"/>
  <c r="N185" i="7"/>
  <c r="O185" i="7"/>
  <c r="P185" i="7"/>
  <c r="Q185" i="7"/>
  <c r="L186" i="7"/>
  <c r="M186" i="7"/>
  <c r="N186" i="7"/>
  <c r="O186" i="7"/>
  <c r="P186" i="7"/>
  <c r="Q186" i="7"/>
  <c r="L187" i="7"/>
  <c r="M187" i="7"/>
  <c r="N187" i="7"/>
  <c r="O187" i="7"/>
  <c r="P187" i="7"/>
  <c r="Q187" i="7"/>
  <c r="L188" i="7"/>
  <c r="M188" i="7"/>
  <c r="N188" i="7"/>
  <c r="O188" i="7"/>
  <c r="P188" i="7"/>
  <c r="Q188" i="7"/>
  <c r="L189" i="7"/>
  <c r="M189" i="7"/>
  <c r="N189" i="7"/>
  <c r="O189" i="7"/>
  <c r="P189" i="7"/>
  <c r="Q189" i="7"/>
  <c r="L190" i="7"/>
  <c r="M190" i="7"/>
  <c r="N190" i="7"/>
  <c r="O190" i="7"/>
  <c r="P190" i="7"/>
  <c r="Q190" i="7"/>
  <c r="L191" i="7"/>
  <c r="M191" i="7"/>
  <c r="N191" i="7"/>
  <c r="O191" i="7"/>
  <c r="P191" i="7"/>
  <c r="Q191" i="7"/>
  <c r="L192" i="7"/>
  <c r="M192" i="7"/>
  <c r="N192" i="7"/>
  <c r="O192" i="7"/>
  <c r="P192" i="7"/>
  <c r="Q192" i="7"/>
  <c r="L193" i="7"/>
  <c r="M193" i="7"/>
  <c r="N193" i="7"/>
  <c r="O193" i="7"/>
  <c r="P193" i="7"/>
  <c r="Q193" i="7"/>
  <c r="L194" i="7"/>
  <c r="M194" i="7"/>
  <c r="N194" i="7"/>
  <c r="O194" i="7"/>
  <c r="P194" i="7"/>
  <c r="Q194" i="7"/>
  <c r="L195" i="7"/>
  <c r="M195" i="7"/>
  <c r="N195" i="7"/>
  <c r="O195" i="7"/>
  <c r="P195" i="7"/>
  <c r="Q195" i="7"/>
  <c r="L196" i="7"/>
  <c r="M196" i="7"/>
  <c r="N196" i="7"/>
  <c r="O196" i="7"/>
  <c r="P196" i="7"/>
  <c r="Q196" i="7"/>
  <c r="L197" i="7"/>
  <c r="M197" i="7"/>
  <c r="N197" i="7"/>
  <c r="O197" i="7"/>
  <c r="P197" i="7"/>
  <c r="Q197" i="7"/>
  <c r="L198" i="7"/>
  <c r="M198" i="7"/>
  <c r="N198" i="7"/>
  <c r="O198" i="7"/>
  <c r="P198" i="7"/>
  <c r="Q198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L162" i="7"/>
  <c r="M162" i="7"/>
  <c r="N162" i="7"/>
  <c r="O162" i="7"/>
  <c r="P162" i="7"/>
  <c r="Q162" i="7"/>
  <c r="L163" i="7"/>
  <c r="M163" i="7"/>
  <c r="N163" i="7"/>
  <c r="O163" i="7"/>
  <c r="P163" i="7"/>
  <c r="Q163" i="7"/>
  <c r="L164" i="7"/>
  <c r="M164" i="7"/>
  <c r="N164" i="7"/>
  <c r="O164" i="7"/>
  <c r="P164" i="7"/>
  <c r="Q164" i="7"/>
  <c r="L165" i="7"/>
  <c r="M165" i="7"/>
  <c r="N165" i="7"/>
  <c r="O165" i="7"/>
  <c r="P165" i="7"/>
  <c r="Q165" i="7"/>
  <c r="L166" i="7"/>
  <c r="M166" i="7"/>
  <c r="N166" i="7"/>
  <c r="O166" i="7"/>
  <c r="P166" i="7"/>
  <c r="Q166" i="7"/>
  <c r="J162" i="7"/>
  <c r="J163" i="7"/>
  <c r="J164" i="7"/>
  <c r="J165" i="7"/>
  <c r="J166" i="7"/>
  <c r="L139" i="7"/>
  <c r="M139" i="7"/>
  <c r="N139" i="7"/>
  <c r="O139" i="7"/>
  <c r="P139" i="7"/>
  <c r="Q139" i="7"/>
  <c r="L140" i="7"/>
  <c r="M140" i="7"/>
  <c r="N140" i="7"/>
  <c r="O140" i="7"/>
  <c r="P140" i="7"/>
  <c r="Q140" i="7"/>
  <c r="L141" i="7"/>
  <c r="M141" i="7"/>
  <c r="N141" i="7"/>
  <c r="O141" i="7"/>
  <c r="P141" i="7"/>
  <c r="Q141" i="7"/>
  <c r="L142" i="7"/>
  <c r="M142" i="7"/>
  <c r="N142" i="7"/>
  <c r="O142" i="7"/>
  <c r="P142" i="7"/>
  <c r="Q142" i="7"/>
  <c r="L143" i="7"/>
  <c r="M143" i="7"/>
  <c r="N143" i="7"/>
  <c r="O143" i="7"/>
  <c r="P143" i="7"/>
  <c r="Q143" i="7"/>
  <c r="L144" i="7"/>
  <c r="M144" i="7"/>
  <c r="N144" i="7"/>
  <c r="O144" i="7"/>
  <c r="P144" i="7"/>
  <c r="Q144" i="7"/>
  <c r="L145" i="7"/>
  <c r="M145" i="7"/>
  <c r="N145" i="7"/>
  <c r="O145" i="7"/>
  <c r="P145" i="7"/>
  <c r="Q145" i="7"/>
  <c r="L146" i="7"/>
  <c r="M146" i="7"/>
  <c r="N146" i="7"/>
  <c r="O146" i="7"/>
  <c r="P146" i="7"/>
  <c r="Q146" i="7"/>
  <c r="L147" i="7"/>
  <c r="M147" i="7"/>
  <c r="N147" i="7"/>
  <c r="O147" i="7"/>
  <c r="P147" i="7"/>
  <c r="Q147" i="7"/>
  <c r="L148" i="7"/>
  <c r="M148" i="7"/>
  <c r="N148" i="7"/>
  <c r="O148" i="7"/>
  <c r="P148" i="7"/>
  <c r="Q148" i="7"/>
  <c r="L149" i="7"/>
  <c r="M149" i="7"/>
  <c r="N149" i="7"/>
  <c r="O149" i="7"/>
  <c r="P149" i="7"/>
  <c r="Q149" i="7"/>
  <c r="L150" i="7"/>
  <c r="M150" i="7"/>
  <c r="N150" i="7"/>
  <c r="O150" i="7"/>
  <c r="P150" i="7"/>
  <c r="Q150" i="7"/>
  <c r="L151" i="7"/>
  <c r="M151" i="7"/>
  <c r="N151" i="7"/>
  <c r="O151" i="7"/>
  <c r="P151" i="7"/>
  <c r="Q151" i="7"/>
  <c r="L152" i="7"/>
  <c r="M152" i="7"/>
  <c r="N152" i="7"/>
  <c r="O152" i="7"/>
  <c r="P152" i="7"/>
  <c r="Q152" i="7"/>
  <c r="L153" i="7"/>
  <c r="M153" i="7"/>
  <c r="N153" i="7"/>
  <c r="O153" i="7"/>
  <c r="P153" i="7"/>
  <c r="Q153" i="7"/>
  <c r="L154" i="7"/>
  <c r="M154" i="7"/>
  <c r="N154" i="7"/>
  <c r="O154" i="7"/>
  <c r="P154" i="7"/>
  <c r="Q154" i="7"/>
  <c r="L155" i="7"/>
  <c r="M155" i="7"/>
  <c r="N155" i="7"/>
  <c r="O155" i="7"/>
  <c r="P155" i="7"/>
  <c r="Q155" i="7"/>
  <c r="L156" i="7"/>
  <c r="M156" i="7"/>
  <c r="N156" i="7"/>
  <c r="O156" i="7"/>
  <c r="P156" i="7"/>
  <c r="Q156" i="7"/>
  <c r="L157" i="7"/>
  <c r="M157" i="7"/>
  <c r="N157" i="7"/>
  <c r="O157" i="7"/>
  <c r="P157" i="7"/>
  <c r="Q157" i="7"/>
  <c r="M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L120" i="7"/>
  <c r="M120" i="7"/>
  <c r="N120" i="7"/>
  <c r="O120" i="7"/>
  <c r="P120" i="7"/>
  <c r="Q120" i="7"/>
  <c r="L121" i="7"/>
  <c r="M121" i="7"/>
  <c r="N121" i="7"/>
  <c r="O121" i="7"/>
  <c r="P121" i="7"/>
  <c r="Q121" i="7"/>
  <c r="L122" i="7"/>
  <c r="M122" i="7"/>
  <c r="N122" i="7"/>
  <c r="O122" i="7"/>
  <c r="P122" i="7"/>
  <c r="Q122" i="7"/>
  <c r="L123" i="7"/>
  <c r="M123" i="7"/>
  <c r="N123" i="7"/>
  <c r="O123" i="7"/>
  <c r="P123" i="7"/>
  <c r="Q123" i="7"/>
  <c r="L124" i="7"/>
  <c r="M124" i="7"/>
  <c r="N124" i="7"/>
  <c r="O124" i="7"/>
  <c r="P124" i="7"/>
  <c r="Q124" i="7"/>
  <c r="L125" i="7"/>
  <c r="M125" i="7"/>
  <c r="N125" i="7"/>
  <c r="O125" i="7"/>
  <c r="P125" i="7"/>
  <c r="Q125" i="7"/>
  <c r="L126" i="7"/>
  <c r="M126" i="7"/>
  <c r="N126" i="7"/>
  <c r="O126" i="7"/>
  <c r="P126" i="7"/>
  <c r="Q126" i="7"/>
  <c r="L127" i="7"/>
  <c r="M127" i="7"/>
  <c r="N127" i="7"/>
  <c r="O127" i="7"/>
  <c r="P127" i="7"/>
  <c r="Q127" i="7"/>
  <c r="L128" i="7"/>
  <c r="M128" i="7"/>
  <c r="N128" i="7"/>
  <c r="O128" i="7"/>
  <c r="P128" i="7"/>
  <c r="Q128" i="7"/>
  <c r="L129" i="7"/>
  <c r="M129" i="7"/>
  <c r="N129" i="7"/>
  <c r="O129" i="7"/>
  <c r="P129" i="7"/>
  <c r="Q129" i="7"/>
  <c r="L130" i="7"/>
  <c r="M130" i="7"/>
  <c r="N130" i="7"/>
  <c r="O130" i="7"/>
  <c r="P130" i="7"/>
  <c r="Q130" i="7"/>
  <c r="L131" i="7"/>
  <c r="M131" i="7"/>
  <c r="N131" i="7"/>
  <c r="O131" i="7"/>
  <c r="P131" i="7"/>
  <c r="Q131" i="7"/>
  <c r="L132" i="7"/>
  <c r="M132" i="7"/>
  <c r="N132" i="7"/>
  <c r="O132" i="7"/>
  <c r="P132" i="7"/>
  <c r="Q132" i="7"/>
  <c r="L133" i="7"/>
  <c r="M133" i="7"/>
  <c r="N133" i="7"/>
  <c r="O133" i="7"/>
  <c r="P133" i="7"/>
  <c r="Q133" i="7"/>
  <c r="L134" i="7"/>
  <c r="M134" i="7"/>
  <c r="N134" i="7"/>
  <c r="O134" i="7"/>
  <c r="P134" i="7"/>
  <c r="Q134" i="7"/>
  <c r="L135" i="7"/>
  <c r="M135" i="7"/>
  <c r="N135" i="7"/>
  <c r="O135" i="7"/>
  <c r="P135" i="7"/>
  <c r="Q135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L78" i="7"/>
  <c r="M78" i="7"/>
  <c r="N78" i="7"/>
  <c r="O78" i="7"/>
  <c r="P78" i="7"/>
  <c r="Q78" i="7"/>
  <c r="L79" i="7"/>
  <c r="M79" i="7"/>
  <c r="N79" i="7"/>
  <c r="O79" i="7"/>
  <c r="P79" i="7"/>
  <c r="Q79" i="7"/>
  <c r="L80" i="7"/>
  <c r="M80" i="7"/>
  <c r="N80" i="7"/>
  <c r="O80" i="7"/>
  <c r="P80" i="7"/>
  <c r="Q80" i="7"/>
  <c r="L81" i="7"/>
  <c r="M81" i="7"/>
  <c r="N81" i="7"/>
  <c r="O81" i="7"/>
  <c r="P81" i="7"/>
  <c r="Q81" i="7"/>
  <c r="L82" i="7"/>
  <c r="M82" i="7"/>
  <c r="N82" i="7"/>
  <c r="O82" i="7"/>
  <c r="P82" i="7"/>
  <c r="Q82" i="7"/>
  <c r="L83" i="7"/>
  <c r="M83" i="7"/>
  <c r="N83" i="7"/>
  <c r="O83" i="7"/>
  <c r="P83" i="7"/>
  <c r="Q83" i="7"/>
  <c r="L84" i="7"/>
  <c r="M84" i="7"/>
  <c r="N84" i="7"/>
  <c r="O84" i="7"/>
  <c r="P84" i="7"/>
  <c r="Q84" i="7"/>
  <c r="L85" i="7"/>
  <c r="M85" i="7"/>
  <c r="N85" i="7"/>
  <c r="O85" i="7"/>
  <c r="P85" i="7"/>
  <c r="Q85" i="7"/>
  <c r="L86" i="7"/>
  <c r="M86" i="7"/>
  <c r="N86" i="7"/>
  <c r="O86" i="7"/>
  <c r="P86" i="7"/>
  <c r="Q86" i="7"/>
  <c r="L87" i="7"/>
  <c r="M87" i="7"/>
  <c r="N87" i="7"/>
  <c r="O87" i="7"/>
  <c r="P87" i="7"/>
  <c r="Q87" i="7"/>
  <c r="L88" i="7"/>
  <c r="M88" i="7"/>
  <c r="N88" i="7"/>
  <c r="O88" i="7"/>
  <c r="P88" i="7"/>
  <c r="Q88" i="7"/>
  <c r="L89" i="7"/>
  <c r="M89" i="7"/>
  <c r="N89" i="7"/>
  <c r="O89" i="7"/>
  <c r="P89" i="7"/>
  <c r="Q89" i="7"/>
  <c r="L90" i="7"/>
  <c r="M90" i="7"/>
  <c r="N90" i="7"/>
  <c r="O90" i="7"/>
  <c r="P90" i="7"/>
  <c r="Q90" i="7"/>
  <c r="L91" i="7"/>
  <c r="M91" i="7"/>
  <c r="N91" i="7"/>
  <c r="O91" i="7"/>
  <c r="P91" i="7"/>
  <c r="Q91" i="7"/>
  <c r="L92" i="7"/>
  <c r="M92" i="7"/>
  <c r="N92" i="7"/>
  <c r="O92" i="7"/>
  <c r="P92" i="7"/>
  <c r="Q92" i="7"/>
  <c r="L93" i="7"/>
  <c r="M93" i="7"/>
  <c r="N93" i="7"/>
  <c r="O93" i="7"/>
  <c r="P93" i="7"/>
  <c r="Q93" i="7"/>
  <c r="L94" i="7"/>
  <c r="M94" i="7"/>
  <c r="N94" i="7"/>
  <c r="O94" i="7"/>
  <c r="P94" i="7"/>
  <c r="Q94" i="7"/>
  <c r="L95" i="7"/>
  <c r="M95" i="7"/>
  <c r="N95" i="7"/>
  <c r="O95" i="7"/>
  <c r="P95" i="7"/>
  <c r="Q95" i="7"/>
  <c r="L96" i="7"/>
  <c r="M96" i="7"/>
  <c r="N96" i="7"/>
  <c r="O96" i="7"/>
  <c r="P96" i="7"/>
  <c r="Q96" i="7"/>
  <c r="L97" i="7"/>
  <c r="M97" i="7"/>
  <c r="N97" i="7"/>
  <c r="O97" i="7"/>
  <c r="P97" i="7"/>
  <c r="Q97" i="7"/>
  <c r="L98" i="7"/>
  <c r="M98" i="7"/>
  <c r="N98" i="7"/>
  <c r="O98" i="7"/>
  <c r="P98" i="7"/>
  <c r="Q98" i="7"/>
  <c r="L99" i="7"/>
  <c r="M99" i="7"/>
  <c r="N99" i="7"/>
  <c r="O99" i="7"/>
  <c r="P99" i="7"/>
  <c r="Q99" i="7"/>
  <c r="L100" i="7"/>
  <c r="M100" i="7"/>
  <c r="N100" i="7"/>
  <c r="O100" i="7"/>
  <c r="P100" i="7"/>
  <c r="Q100" i="7"/>
  <c r="L101" i="7"/>
  <c r="M101" i="7"/>
  <c r="N101" i="7"/>
  <c r="O101" i="7"/>
  <c r="P101" i="7"/>
  <c r="Q101" i="7"/>
  <c r="L102" i="7"/>
  <c r="M102" i="7"/>
  <c r="N102" i="7"/>
  <c r="O102" i="7"/>
  <c r="P102" i="7"/>
  <c r="Q102" i="7"/>
  <c r="L103" i="7"/>
  <c r="M103" i="7"/>
  <c r="N103" i="7"/>
  <c r="O103" i="7"/>
  <c r="P103" i="7"/>
  <c r="Q103" i="7"/>
  <c r="L104" i="7"/>
  <c r="M104" i="7"/>
  <c r="N104" i="7"/>
  <c r="O104" i="7"/>
  <c r="P104" i="7"/>
  <c r="Q104" i="7"/>
  <c r="L105" i="7"/>
  <c r="M105" i="7"/>
  <c r="N105" i="7"/>
  <c r="O105" i="7"/>
  <c r="P105" i="7"/>
  <c r="Q105" i="7"/>
  <c r="L106" i="7"/>
  <c r="M106" i="7"/>
  <c r="N106" i="7"/>
  <c r="O106" i="7"/>
  <c r="P106" i="7"/>
  <c r="Q106" i="7"/>
  <c r="L107" i="7"/>
  <c r="M107" i="7"/>
  <c r="N107" i="7"/>
  <c r="O107" i="7"/>
  <c r="P107" i="7"/>
  <c r="Q107" i="7"/>
  <c r="L108" i="7"/>
  <c r="M108" i="7"/>
  <c r="N108" i="7"/>
  <c r="O108" i="7"/>
  <c r="P108" i="7"/>
  <c r="Q108" i="7"/>
  <c r="L109" i="7"/>
  <c r="M109" i="7"/>
  <c r="N109" i="7"/>
  <c r="O109" i="7"/>
  <c r="P109" i="7"/>
  <c r="Q109" i="7"/>
  <c r="L110" i="7"/>
  <c r="M110" i="7"/>
  <c r="N110" i="7"/>
  <c r="O110" i="7"/>
  <c r="P110" i="7"/>
  <c r="Q110" i="7"/>
  <c r="L111" i="7"/>
  <c r="M111" i="7"/>
  <c r="N111" i="7"/>
  <c r="O111" i="7"/>
  <c r="P111" i="7"/>
  <c r="Q111" i="7"/>
  <c r="L112" i="7"/>
  <c r="M112" i="7"/>
  <c r="N112" i="7"/>
  <c r="O112" i="7"/>
  <c r="P112" i="7"/>
  <c r="Q112" i="7"/>
  <c r="L113" i="7"/>
  <c r="M113" i="7"/>
  <c r="N113" i="7"/>
  <c r="O113" i="7"/>
  <c r="P113" i="7"/>
  <c r="Q113" i="7"/>
  <c r="L114" i="7"/>
  <c r="M114" i="7"/>
  <c r="N114" i="7"/>
  <c r="O114" i="7"/>
  <c r="P114" i="7"/>
  <c r="Q114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L29" i="7"/>
  <c r="M29" i="7"/>
  <c r="N29" i="7"/>
  <c r="O29" i="7"/>
  <c r="P29" i="7"/>
  <c r="Q29" i="7"/>
  <c r="L30" i="7"/>
  <c r="M30" i="7"/>
  <c r="N30" i="7"/>
  <c r="O30" i="7"/>
  <c r="P30" i="7"/>
  <c r="Q30" i="7"/>
  <c r="L31" i="7"/>
  <c r="M31" i="7"/>
  <c r="N31" i="7"/>
  <c r="O31" i="7"/>
  <c r="P31" i="7"/>
  <c r="Q31" i="7"/>
  <c r="L32" i="7"/>
  <c r="M32" i="7"/>
  <c r="N32" i="7"/>
  <c r="O32" i="7"/>
  <c r="P32" i="7"/>
  <c r="Q32" i="7"/>
  <c r="L33" i="7"/>
  <c r="M33" i="7"/>
  <c r="N33" i="7"/>
  <c r="O33" i="7"/>
  <c r="P33" i="7"/>
  <c r="Q33" i="7"/>
  <c r="L34" i="7"/>
  <c r="M34" i="7"/>
  <c r="N34" i="7"/>
  <c r="O34" i="7"/>
  <c r="P34" i="7"/>
  <c r="Q34" i="7"/>
  <c r="L35" i="7"/>
  <c r="M35" i="7"/>
  <c r="N35" i="7"/>
  <c r="O35" i="7"/>
  <c r="P35" i="7"/>
  <c r="Q35" i="7"/>
  <c r="L36" i="7"/>
  <c r="M36" i="7"/>
  <c r="N36" i="7"/>
  <c r="O36" i="7"/>
  <c r="P36" i="7"/>
  <c r="Q36" i="7"/>
  <c r="L37" i="7"/>
  <c r="M37" i="7"/>
  <c r="N37" i="7"/>
  <c r="O37" i="7"/>
  <c r="P37" i="7"/>
  <c r="Q37" i="7"/>
  <c r="L38" i="7"/>
  <c r="M38" i="7"/>
  <c r="N38" i="7"/>
  <c r="O38" i="7"/>
  <c r="P38" i="7"/>
  <c r="Q38" i="7"/>
  <c r="L39" i="7"/>
  <c r="M39" i="7"/>
  <c r="N39" i="7"/>
  <c r="O39" i="7"/>
  <c r="P39" i="7"/>
  <c r="Q39" i="7"/>
  <c r="L40" i="7"/>
  <c r="M40" i="7"/>
  <c r="N40" i="7"/>
  <c r="O40" i="7"/>
  <c r="P40" i="7"/>
  <c r="Q40" i="7"/>
  <c r="L41" i="7"/>
  <c r="M41" i="7"/>
  <c r="N41" i="7"/>
  <c r="O41" i="7"/>
  <c r="P41" i="7"/>
  <c r="Q41" i="7"/>
  <c r="L42" i="7"/>
  <c r="M42" i="7"/>
  <c r="N42" i="7"/>
  <c r="O42" i="7"/>
  <c r="P42" i="7"/>
  <c r="Q42" i="7"/>
  <c r="L43" i="7"/>
  <c r="M43" i="7"/>
  <c r="N43" i="7"/>
  <c r="O43" i="7"/>
  <c r="P43" i="7"/>
  <c r="Q43" i="7"/>
  <c r="L44" i="7"/>
  <c r="M44" i="7"/>
  <c r="N44" i="7"/>
  <c r="O44" i="7"/>
  <c r="P44" i="7"/>
  <c r="Q44" i="7"/>
  <c r="L45" i="7"/>
  <c r="M45" i="7"/>
  <c r="N45" i="7"/>
  <c r="O45" i="7"/>
  <c r="P45" i="7"/>
  <c r="Q45" i="7"/>
  <c r="L46" i="7"/>
  <c r="M46" i="7"/>
  <c r="N46" i="7"/>
  <c r="O46" i="7"/>
  <c r="P46" i="7"/>
  <c r="Q46" i="7"/>
  <c r="L47" i="7"/>
  <c r="M47" i="7"/>
  <c r="N47" i="7"/>
  <c r="O47" i="7"/>
  <c r="P47" i="7"/>
  <c r="Q47" i="7"/>
  <c r="L48" i="7"/>
  <c r="M48" i="7"/>
  <c r="N48" i="7"/>
  <c r="O48" i="7"/>
  <c r="P48" i="7"/>
  <c r="Q48" i="7"/>
  <c r="L49" i="7"/>
  <c r="M49" i="7"/>
  <c r="N49" i="7"/>
  <c r="O49" i="7"/>
  <c r="P49" i="7"/>
  <c r="Q49" i="7"/>
  <c r="L50" i="7"/>
  <c r="M50" i="7"/>
  <c r="N50" i="7"/>
  <c r="O50" i="7"/>
  <c r="P50" i="7"/>
  <c r="Q50" i="7"/>
  <c r="L51" i="7"/>
  <c r="M51" i="7"/>
  <c r="N51" i="7"/>
  <c r="O51" i="7"/>
  <c r="P51" i="7"/>
  <c r="Q51" i="7"/>
  <c r="L52" i="7"/>
  <c r="M52" i="7"/>
  <c r="N52" i="7"/>
  <c r="O52" i="7"/>
  <c r="P52" i="7"/>
  <c r="Q52" i="7"/>
  <c r="L53" i="7"/>
  <c r="M53" i="7"/>
  <c r="N53" i="7"/>
  <c r="O53" i="7"/>
  <c r="P53" i="7"/>
  <c r="Q53" i="7"/>
  <c r="L54" i="7"/>
  <c r="M54" i="7"/>
  <c r="N54" i="7"/>
  <c r="O54" i="7"/>
  <c r="P54" i="7"/>
  <c r="Q54" i="7"/>
  <c r="L55" i="7"/>
  <c r="M55" i="7"/>
  <c r="N55" i="7"/>
  <c r="O55" i="7"/>
  <c r="P55" i="7"/>
  <c r="Q55" i="7"/>
  <c r="L56" i="7"/>
  <c r="M56" i="7"/>
  <c r="N56" i="7"/>
  <c r="O56" i="7"/>
  <c r="P56" i="7"/>
  <c r="Q56" i="7"/>
  <c r="L57" i="7"/>
  <c r="M57" i="7"/>
  <c r="N57" i="7"/>
  <c r="O57" i="7"/>
  <c r="P57" i="7"/>
  <c r="Q57" i="7"/>
  <c r="L58" i="7"/>
  <c r="M58" i="7"/>
  <c r="N58" i="7"/>
  <c r="O58" i="7"/>
  <c r="P58" i="7"/>
  <c r="Q58" i="7"/>
  <c r="L59" i="7"/>
  <c r="M59" i="7"/>
  <c r="N59" i="7"/>
  <c r="O59" i="7"/>
  <c r="P59" i="7"/>
  <c r="Q59" i="7"/>
  <c r="L60" i="7"/>
  <c r="M60" i="7"/>
  <c r="N60" i="7"/>
  <c r="O60" i="7"/>
  <c r="P60" i="7"/>
  <c r="Q60" i="7"/>
  <c r="L61" i="7"/>
  <c r="M61" i="7"/>
  <c r="N61" i="7"/>
  <c r="O61" i="7"/>
  <c r="P61" i="7"/>
  <c r="Q61" i="7"/>
  <c r="L62" i="7"/>
  <c r="M62" i="7"/>
  <c r="N62" i="7"/>
  <c r="O62" i="7"/>
  <c r="P62" i="7"/>
  <c r="Q62" i="7"/>
  <c r="L63" i="7"/>
  <c r="M63" i="7"/>
  <c r="N63" i="7"/>
  <c r="O63" i="7"/>
  <c r="P63" i="7"/>
  <c r="Q63" i="7"/>
  <c r="L64" i="7"/>
  <c r="M64" i="7"/>
  <c r="N64" i="7"/>
  <c r="O64" i="7"/>
  <c r="P64" i="7"/>
  <c r="Q64" i="7"/>
  <c r="L65" i="7"/>
  <c r="M65" i="7"/>
  <c r="N65" i="7"/>
  <c r="O65" i="7"/>
  <c r="P65" i="7"/>
  <c r="Q65" i="7"/>
  <c r="L66" i="7"/>
  <c r="M66" i="7"/>
  <c r="N66" i="7"/>
  <c r="O66" i="7"/>
  <c r="P66" i="7"/>
  <c r="Q66" i="7"/>
  <c r="L67" i="7"/>
  <c r="M67" i="7"/>
  <c r="N67" i="7"/>
  <c r="O67" i="7"/>
  <c r="P67" i="7"/>
  <c r="Q67" i="7"/>
  <c r="L68" i="7"/>
  <c r="M68" i="7"/>
  <c r="N68" i="7"/>
  <c r="O68" i="7"/>
  <c r="P68" i="7"/>
  <c r="Q68" i="7"/>
  <c r="L69" i="7"/>
  <c r="M69" i="7"/>
  <c r="N69" i="7"/>
  <c r="O69" i="7"/>
  <c r="P69" i="7"/>
  <c r="Q69" i="7"/>
  <c r="L70" i="7"/>
  <c r="M70" i="7"/>
  <c r="N70" i="7"/>
  <c r="O70" i="7"/>
  <c r="P70" i="7"/>
  <c r="Q70" i="7"/>
  <c r="L71" i="7"/>
  <c r="M71" i="7"/>
  <c r="N71" i="7"/>
  <c r="O71" i="7"/>
  <c r="P71" i="7"/>
  <c r="Q71" i="7"/>
  <c r="L72" i="7"/>
  <c r="M72" i="7"/>
  <c r="N72" i="7"/>
  <c r="O72" i="7"/>
  <c r="P72" i="7"/>
  <c r="Q72" i="7"/>
  <c r="L73" i="7"/>
  <c r="M73" i="7"/>
  <c r="N73" i="7"/>
  <c r="O73" i="7"/>
  <c r="P73" i="7"/>
  <c r="Q73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L6" i="7"/>
  <c r="M6" i="7"/>
  <c r="N6" i="7"/>
  <c r="O6" i="7"/>
  <c r="P6" i="7"/>
  <c r="Q6" i="7"/>
  <c r="L7" i="7"/>
  <c r="M7" i="7"/>
  <c r="N7" i="7"/>
  <c r="O7" i="7"/>
  <c r="P7" i="7"/>
  <c r="Q7" i="7"/>
  <c r="L8" i="7"/>
  <c r="M8" i="7"/>
  <c r="N8" i="7"/>
  <c r="O8" i="7"/>
  <c r="P8" i="7"/>
  <c r="Q8" i="7"/>
  <c r="L9" i="7"/>
  <c r="M9" i="7"/>
  <c r="N9" i="7"/>
  <c r="O9" i="7"/>
  <c r="P9" i="7"/>
  <c r="Q9" i="7"/>
  <c r="L10" i="7"/>
  <c r="M10" i="7"/>
  <c r="N10" i="7"/>
  <c r="O10" i="7"/>
  <c r="P10" i="7"/>
  <c r="Q10" i="7"/>
  <c r="L11" i="7"/>
  <c r="M11" i="7"/>
  <c r="N11" i="7"/>
  <c r="O11" i="7"/>
  <c r="P11" i="7"/>
  <c r="Q11" i="7"/>
  <c r="L12" i="7"/>
  <c r="M12" i="7"/>
  <c r="N12" i="7"/>
  <c r="O12" i="7"/>
  <c r="P12" i="7"/>
  <c r="Q12" i="7"/>
  <c r="L13" i="7"/>
  <c r="M13" i="7"/>
  <c r="N13" i="7"/>
  <c r="O13" i="7"/>
  <c r="P13" i="7"/>
  <c r="Q13" i="7"/>
  <c r="L14" i="7"/>
  <c r="M14" i="7"/>
  <c r="N14" i="7"/>
  <c r="O14" i="7"/>
  <c r="P14" i="7"/>
  <c r="Q14" i="7"/>
  <c r="L15" i="7"/>
  <c r="M15" i="7"/>
  <c r="N15" i="7"/>
  <c r="O15" i="7"/>
  <c r="P15" i="7"/>
  <c r="Q15" i="7"/>
  <c r="L16" i="7"/>
  <c r="M16" i="7"/>
  <c r="N16" i="7"/>
  <c r="O16" i="7"/>
  <c r="P16" i="7"/>
  <c r="Q16" i="7"/>
  <c r="L17" i="7"/>
  <c r="M17" i="7"/>
  <c r="N17" i="7"/>
  <c r="O17" i="7"/>
  <c r="P17" i="7"/>
  <c r="Q17" i="7"/>
  <c r="L18" i="7"/>
  <c r="M18" i="7"/>
  <c r="N18" i="7"/>
  <c r="O18" i="7"/>
  <c r="P18" i="7"/>
  <c r="Q18" i="7"/>
  <c r="L19" i="7"/>
  <c r="M19" i="7"/>
  <c r="N19" i="7"/>
  <c r="O19" i="7"/>
  <c r="P19" i="7"/>
  <c r="Q19" i="7"/>
  <c r="L20" i="7"/>
  <c r="M20" i="7"/>
  <c r="N20" i="7"/>
  <c r="O20" i="7"/>
  <c r="P20" i="7"/>
  <c r="Q20" i="7"/>
  <c r="L21" i="7"/>
  <c r="M21" i="7"/>
  <c r="N21" i="7"/>
  <c r="O21" i="7"/>
  <c r="P21" i="7"/>
  <c r="Q21" i="7"/>
  <c r="L22" i="7"/>
  <c r="M22" i="7"/>
  <c r="N22" i="7"/>
  <c r="O22" i="7"/>
  <c r="P22" i="7"/>
  <c r="Q22" i="7"/>
  <c r="L23" i="7"/>
  <c r="M23" i="7"/>
  <c r="N23" i="7"/>
  <c r="O23" i="7"/>
  <c r="P23" i="7"/>
  <c r="Q23" i="7"/>
  <c r="L24" i="7"/>
  <c r="M24" i="7"/>
  <c r="N24" i="7"/>
  <c r="O24" i="7"/>
  <c r="P24" i="7"/>
  <c r="Q24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C6" i="2" l="1"/>
  <c r="C13" i="2"/>
  <c r="C12" i="2"/>
  <c r="C11" i="2"/>
  <c r="C10" i="2"/>
  <c r="C9" i="2"/>
  <c r="C8" i="2"/>
  <c r="C7" i="2"/>
  <c r="C5" i="2"/>
  <c r="D202" i="7" l="1"/>
  <c r="H203" i="7"/>
  <c r="S138" i="7" l="1"/>
  <c r="R138" i="7"/>
  <c r="K138" i="7"/>
  <c r="G138" i="7"/>
  <c r="E138" i="7"/>
  <c r="D138" i="7"/>
  <c r="S139" i="7"/>
  <c r="R139" i="7"/>
  <c r="K139" i="7"/>
  <c r="G139" i="7"/>
  <c r="E139" i="7"/>
  <c r="D139" i="7"/>
  <c r="S134" i="7"/>
  <c r="R134" i="7"/>
  <c r="K134" i="7"/>
  <c r="G134" i="7"/>
  <c r="E134" i="7"/>
  <c r="D134" i="7"/>
  <c r="H65" i="7"/>
  <c r="H30" i="7"/>
  <c r="H139" i="7" l="1"/>
  <c r="H134" i="7"/>
  <c r="K149" i="7"/>
  <c r="I115" i="7"/>
  <c r="R155" i="7" l="1"/>
  <c r="S155" i="7"/>
  <c r="K155" i="7"/>
  <c r="G155" i="7"/>
  <c r="E155" i="7"/>
  <c r="D155" i="7"/>
  <c r="S157" i="7" l="1"/>
  <c r="R157" i="7"/>
  <c r="K157" i="7"/>
  <c r="G157" i="7"/>
  <c r="E157" i="7"/>
  <c r="D157" i="7"/>
  <c r="S151" i="7"/>
  <c r="R151" i="7"/>
  <c r="K151" i="7"/>
  <c r="G151" i="7"/>
  <c r="E151" i="7"/>
  <c r="D151" i="7"/>
  <c r="S144" i="7"/>
  <c r="R144" i="7"/>
  <c r="K144" i="7"/>
  <c r="G144" i="7"/>
  <c r="E144" i="7"/>
  <c r="D144" i="7"/>
  <c r="S127" i="7"/>
  <c r="R127" i="7"/>
  <c r="K127" i="7"/>
  <c r="G127" i="7"/>
  <c r="E127" i="7"/>
  <c r="D127" i="7"/>
  <c r="K141" i="7"/>
  <c r="G141" i="7"/>
  <c r="E141" i="7"/>
  <c r="D141" i="7"/>
  <c r="S124" i="7"/>
  <c r="R124" i="7"/>
  <c r="K124" i="7"/>
  <c r="E124" i="7"/>
  <c r="D124" i="7"/>
  <c r="S122" i="7"/>
  <c r="R122" i="7"/>
  <c r="K122" i="7"/>
  <c r="G122" i="7"/>
  <c r="F122" i="7"/>
  <c r="E122" i="7"/>
  <c r="D122" i="7"/>
  <c r="S237" i="7"/>
  <c r="R237" i="7"/>
  <c r="K237" i="7"/>
  <c r="G237" i="7"/>
  <c r="F237" i="7"/>
  <c r="E237" i="7"/>
  <c r="D237" i="7"/>
  <c r="S121" i="7"/>
  <c r="R121" i="7"/>
  <c r="K121" i="7"/>
  <c r="G121" i="7"/>
  <c r="F121" i="7"/>
  <c r="E121" i="7"/>
  <c r="D121" i="7"/>
  <c r="S135" i="7"/>
  <c r="R135" i="7"/>
  <c r="K135" i="7"/>
  <c r="G135" i="7"/>
  <c r="E135" i="7"/>
  <c r="D135" i="7"/>
  <c r="S154" i="7"/>
  <c r="R154" i="7"/>
  <c r="K154" i="7"/>
  <c r="G154" i="7"/>
  <c r="E154" i="7"/>
  <c r="D154" i="7"/>
  <c r="S150" i="7"/>
  <c r="R150" i="7"/>
  <c r="K150" i="7"/>
  <c r="G150" i="7"/>
  <c r="E150" i="7"/>
  <c r="D150" i="7"/>
  <c r="S148" i="7"/>
  <c r="R148" i="7"/>
  <c r="K148" i="7"/>
  <c r="G148" i="7"/>
  <c r="F148" i="7"/>
  <c r="E148" i="7"/>
  <c r="D148" i="7"/>
  <c r="S147" i="7"/>
  <c r="R147" i="7"/>
  <c r="K147" i="7"/>
  <c r="G147" i="7"/>
  <c r="E147" i="7"/>
  <c r="D147" i="7"/>
  <c r="K156" i="7"/>
  <c r="G156" i="7"/>
  <c r="F156" i="7"/>
  <c r="E156" i="7"/>
  <c r="D156" i="7"/>
  <c r="S152" i="7"/>
  <c r="R152" i="7"/>
  <c r="K152" i="7"/>
  <c r="G152" i="7"/>
  <c r="E152" i="7"/>
  <c r="D152" i="7"/>
  <c r="R140" i="7"/>
  <c r="S140" i="7"/>
  <c r="K140" i="7"/>
  <c r="G140" i="7"/>
  <c r="E140" i="7"/>
  <c r="D140" i="7"/>
  <c r="K130" i="7"/>
  <c r="G130" i="7"/>
  <c r="E130" i="7"/>
  <c r="D130" i="7"/>
  <c r="S131" i="7"/>
  <c r="R131" i="7"/>
  <c r="K131" i="7"/>
  <c r="G131" i="7"/>
  <c r="E131" i="7"/>
  <c r="D131" i="7"/>
  <c r="R149" i="7"/>
  <c r="G149" i="7"/>
  <c r="F149" i="7"/>
  <c r="E149" i="7"/>
  <c r="D149" i="7"/>
  <c r="S145" i="7"/>
  <c r="R145" i="7"/>
  <c r="K145" i="7"/>
  <c r="G145" i="7"/>
  <c r="E145" i="7"/>
  <c r="S143" i="7"/>
  <c r="R143" i="7"/>
  <c r="S125" i="7"/>
  <c r="R125" i="7"/>
  <c r="K125" i="7"/>
  <c r="G125" i="7"/>
  <c r="E125" i="7"/>
  <c r="D125" i="7"/>
  <c r="K146" i="7"/>
  <c r="G146" i="7"/>
  <c r="E146" i="7"/>
  <c r="D146" i="7"/>
  <c r="S142" i="7"/>
  <c r="R142" i="7"/>
  <c r="K142" i="7"/>
  <c r="G142" i="7"/>
  <c r="E142" i="7"/>
  <c r="D142" i="7"/>
  <c r="K120" i="7"/>
  <c r="G120" i="7"/>
  <c r="E120" i="7"/>
  <c r="D120" i="7"/>
  <c r="S119" i="7"/>
  <c r="R119" i="7"/>
  <c r="K132" i="7"/>
  <c r="G132" i="7"/>
  <c r="E132" i="7"/>
  <c r="D132" i="7"/>
  <c r="S239" i="7"/>
  <c r="R239" i="7"/>
  <c r="S123" i="7"/>
  <c r="R123" i="7"/>
  <c r="K123" i="7"/>
  <c r="G123" i="7"/>
  <c r="E123" i="7"/>
  <c r="D123" i="7"/>
  <c r="S129" i="7"/>
  <c r="R129" i="7"/>
  <c r="R128" i="7"/>
  <c r="S128" i="7"/>
  <c r="K126" i="7"/>
  <c r="G126" i="7"/>
  <c r="E126" i="7"/>
  <c r="D126" i="7"/>
  <c r="H32" i="7" l="1"/>
  <c r="H49" i="7" l="1"/>
  <c r="H23" i="7" l="1"/>
  <c r="H222" i="7" l="1"/>
  <c r="H94" i="7" l="1"/>
  <c r="H223" i="7"/>
  <c r="S132" i="7"/>
  <c r="R132" i="7"/>
  <c r="H181" i="7"/>
  <c r="H182" i="7"/>
  <c r="S126" i="7"/>
  <c r="R126" i="7"/>
  <c r="H112" i="7"/>
  <c r="S156" i="7"/>
  <c r="R156" i="7"/>
  <c r="H224" i="7"/>
  <c r="H145" i="7" l="1"/>
  <c r="S149" i="7"/>
  <c r="H47" i="7" l="1"/>
  <c r="H56" i="7" l="1"/>
  <c r="H83" i="7" l="1"/>
  <c r="S141" i="7"/>
  <c r="R141" i="7"/>
  <c r="H141" i="7"/>
  <c r="H109" i="7"/>
  <c r="H191" i="7"/>
  <c r="H216" i="7"/>
  <c r="H156" i="7" l="1"/>
  <c r="H31" i="7" l="1"/>
  <c r="H77" i="7"/>
  <c r="H50" i="7"/>
  <c r="H42" i="7" l="1"/>
  <c r="H178" i="7"/>
  <c r="H179" i="7"/>
  <c r="H171" i="7"/>
  <c r="H172" i="7"/>
  <c r="P229" i="7" l="1"/>
  <c r="N229" i="7"/>
  <c r="M229" i="7"/>
  <c r="H229" i="7"/>
  <c r="Q229" i="7" s="1"/>
  <c r="O229" i="7" l="1"/>
  <c r="H170" i="7" l="1"/>
  <c r="I242" i="7" l="1"/>
  <c r="H151" i="7"/>
  <c r="H62" i="7"/>
  <c r="J237" i="7" l="1"/>
  <c r="T233" i="7"/>
  <c r="K233" i="7"/>
  <c r="I233" i="7"/>
  <c r="B4" i="3" l="1"/>
  <c r="D12" i="2"/>
  <c r="J229" i="7"/>
  <c r="L229" i="7"/>
  <c r="H193" i="7"/>
  <c r="H153" i="7"/>
  <c r="H67" i="7" l="1"/>
  <c r="T242" i="7"/>
  <c r="B14" i="6" s="1"/>
  <c r="B13" i="6"/>
  <c r="H10" i="7" l="1"/>
  <c r="H72" i="7" l="1"/>
  <c r="H113" i="7" l="1"/>
  <c r="H155" i="7" l="1"/>
  <c r="H119" i="7"/>
  <c r="H241" i="7" l="1"/>
  <c r="H240" i="7"/>
  <c r="H239" i="7"/>
  <c r="H238" i="7"/>
  <c r="H162" i="7" l="1"/>
  <c r="K242" i="7" l="1"/>
  <c r="P237" i="7"/>
  <c r="M237" i="7"/>
  <c r="N237" i="7"/>
  <c r="H237" i="7"/>
  <c r="B3" i="3" l="1"/>
  <c r="D13" i="2"/>
  <c r="L237" i="7"/>
  <c r="Q237" i="7"/>
  <c r="O237" i="7"/>
  <c r="H5" i="7"/>
  <c r="H48" i="7" l="1"/>
  <c r="S130" i="7"/>
  <c r="R130" i="7"/>
  <c r="H130" i="7" l="1"/>
  <c r="H18" i="7"/>
  <c r="H174" i="7" l="1"/>
  <c r="H232" i="7" l="1"/>
  <c r="H230" i="7"/>
  <c r="H231" i="7"/>
  <c r="H226" i="7"/>
  <c r="H20" i="7" l="1"/>
  <c r="H142" i="7" l="1"/>
  <c r="H126" i="7"/>
  <c r="S120" i="7"/>
  <c r="R120" i="7"/>
  <c r="S146" i="7"/>
  <c r="R146" i="7"/>
  <c r="M202" i="7" l="1"/>
  <c r="N202" i="7"/>
  <c r="P202" i="7"/>
  <c r="H214" i="7" l="1"/>
  <c r="H122" i="7"/>
  <c r="H36" i="7" l="1"/>
  <c r="H34" i="7" l="1"/>
  <c r="H146" i="7" l="1"/>
  <c r="H53" i="7" l="1"/>
  <c r="H46" i="7" l="1"/>
  <c r="H161" i="7" l="1"/>
  <c r="H103" i="7" l="1"/>
  <c r="H111" i="7" l="1"/>
  <c r="T167" i="7" l="1"/>
  <c r="B10" i="6" s="1"/>
  <c r="K167" i="7"/>
  <c r="P213" i="7"/>
  <c r="N213" i="7"/>
  <c r="M213" i="7"/>
  <c r="I167" i="7"/>
  <c r="D9" i="2" l="1"/>
  <c r="B8" i="3"/>
  <c r="M167" i="7"/>
  <c r="H218" i="7"/>
  <c r="H15" i="7" l="1"/>
  <c r="H143" i="7" l="1"/>
  <c r="H88" i="7"/>
  <c r="H186" i="7"/>
  <c r="H22" i="7"/>
  <c r="H173" i="7" l="1"/>
  <c r="H175" i="7"/>
  <c r="H176" i="7"/>
  <c r="H177" i="7"/>
  <c r="H180" i="7"/>
  <c r="H183" i="7"/>
  <c r="H185" i="7"/>
  <c r="H184" i="7"/>
  <c r="H187" i="7"/>
  <c r="H188" i="7"/>
  <c r="H189" i="7"/>
  <c r="H190" i="7"/>
  <c r="H192" i="7"/>
  <c r="H194" i="7"/>
  <c r="H195" i="7"/>
  <c r="H197" i="7"/>
  <c r="H196" i="7"/>
  <c r="H198" i="7"/>
  <c r="P161" i="7" l="1"/>
  <c r="N161" i="7"/>
  <c r="M161" i="7"/>
  <c r="H215" i="7" l="1"/>
  <c r="H217" i="7"/>
  <c r="H219" i="7"/>
  <c r="H220" i="7"/>
  <c r="H221" i="7"/>
  <c r="H225" i="7"/>
  <c r="H213" i="7" l="1"/>
  <c r="H210" i="7"/>
  <c r="H209" i="7"/>
  <c r="H202" i="7"/>
  <c r="H204" i="7"/>
  <c r="H163" i="7"/>
  <c r="H164" i="7"/>
  <c r="H165" i="7"/>
  <c r="H166" i="7"/>
  <c r="H140" i="7"/>
  <c r="H144" i="7"/>
  <c r="H147" i="7"/>
  <c r="H148" i="7"/>
  <c r="H149" i="7"/>
  <c r="H150" i="7"/>
  <c r="H152" i="7"/>
  <c r="H154" i="7"/>
  <c r="H157" i="7"/>
  <c r="H138" i="7"/>
  <c r="H120" i="7"/>
  <c r="H121" i="7"/>
  <c r="H123" i="7"/>
  <c r="H124" i="7"/>
  <c r="H125" i="7"/>
  <c r="H127" i="7"/>
  <c r="H128" i="7"/>
  <c r="H129" i="7"/>
  <c r="H131" i="7"/>
  <c r="H132" i="7"/>
  <c r="H135" i="7"/>
  <c r="H133" i="7"/>
  <c r="O202" i="7" l="1"/>
  <c r="Q202" i="7"/>
  <c r="Q213" i="7"/>
  <c r="O213" i="7"/>
  <c r="Q161" i="7"/>
  <c r="O161" i="7"/>
  <c r="H78" i="7"/>
  <c r="H79" i="7"/>
  <c r="H80" i="7"/>
  <c r="H81" i="7"/>
  <c r="H82" i="7"/>
  <c r="H84" i="7"/>
  <c r="H85" i="7"/>
  <c r="H86" i="7"/>
  <c r="H87" i="7"/>
  <c r="H89" i="7"/>
  <c r="H90" i="7"/>
  <c r="H91" i="7"/>
  <c r="H92" i="7"/>
  <c r="H93" i="7"/>
  <c r="H95" i="7"/>
  <c r="H96" i="7"/>
  <c r="H97" i="7"/>
  <c r="H98" i="7"/>
  <c r="H99" i="7"/>
  <c r="H100" i="7"/>
  <c r="H101" i="7"/>
  <c r="H102" i="7"/>
  <c r="H104" i="7"/>
  <c r="H105" i="7"/>
  <c r="H106" i="7"/>
  <c r="H107" i="7"/>
  <c r="H108" i="7"/>
  <c r="H110" i="7"/>
  <c r="H114" i="7"/>
  <c r="H8" i="7"/>
  <c r="H9" i="7"/>
  <c r="H11" i="7"/>
  <c r="H12" i="7"/>
  <c r="H13" i="7"/>
  <c r="H14" i="7"/>
  <c r="H16" i="7"/>
  <c r="H17" i="7"/>
  <c r="H19" i="7"/>
  <c r="H21" i="7"/>
  <c r="H24" i="7"/>
  <c r="H6" i="7"/>
  <c r="H7" i="7"/>
  <c r="H29" i="7" l="1"/>
  <c r="H33" i="7"/>
  <c r="H35" i="7"/>
  <c r="H37" i="7"/>
  <c r="H38" i="7"/>
  <c r="H39" i="7"/>
  <c r="H40" i="7"/>
  <c r="H41" i="7"/>
  <c r="H43" i="7"/>
  <c r="H44" i="7"/>
  <c r="H45" i="7"/>
  <c r="H51" i="7"/>
  <c r="H52" i="7"/>
  <c r="H54" i="7"/>
  <c r="H55" i="7"/>
  <c r="H57" i="7"/>
  <c r="H58" i="7"/>
  <c r="H59" i="7"/>
  <c r="H60" i="7"/>
  <c r="H61" i="7"/>
  <c r="H63" i="7"/>
  <c r="H64" i="7"/>
  <c r="H66" i="7"/>
  <c r="H68" i="7"/>
  <c r="H69" i="7"/>
  <c r="H70" i="7"/>
  <c r="H71" i="7"/>
  <c r="H73" i="7"/>
  <c r="Q209" i="7" l="1"/>
  <c r="P209" i="7"/>
  <c r="O209" i="7"/>
  <c r="N209" i="7"/>
  <c r="M209" i="7"/>
  <c r="T205" i="7"/>
  <c r="B12" i="6" s="1"/>
  <c r="K205" i="7"/>
  <c r="I205" i="7"/>
  <c r="K199" i="7"/>
  <c r="I199" i="7"/>
  <c r="T199" i="7"/>
  <c r="B11" i="6" s="1"/>
  <c r="P170" i="7"/>
  <c r="N170" i="7"/>
  <c r="M170" i="7"/>
  <c r="Q170" i="7"/>
  <c r="L161" i="7"/>
  <c r="T158" i="7"/>
  <c r="B9" i="6" s="1"/>
  <c r="P119" i="7"/>
  <c r="N119" i="7"/>
  <c r="M119" i="7"/>
  <c r="Q119" i="7"/>
  <c r="T115" i="7"/>
  <c r="B8" i="6" s="1"/>
  <c r="K115" i="7"/>
  <c r="P77" i="7"/>
  <c r="N77" i="7"/>
  <c r="M77" i="7"/>
  <c r="T74" i="7"/>
  <c r="B7" i="6" s="1"/>
  <c r="K74" i="7"/>
  <c r="I74" i="7"/>
  <c r="P28" i="7"/>
  <c r="N28" i="7"/>
  <c r="M28" i="7"/>
  <c r="H28" i="7"/>
  <c r="Q28" i="7" s="1"/>
  <c r="T25" i="7"/>
  <c r="B6" i="6" s="1"/>
  <c r="K25" i="7"/>
  <c r="I25" i="7"/>
  <c r="P5" i="7"/>
  <c r="N5" i="7"/>
  <c r="M5" i="7"/>
  <c r="Q5" i="7"/>
  <c r="D11" i="2" l="1"/>
  <c r="D10" i="2"/>
  <c r="D7" i="2"/>
  <c r="D6" i="2"/>
  <c r="B5" i="3"/>
  <c r="D5" i="2"/>
  <c r="B2" i="3"/>
  <c r="B7" i="3"/>
  <c r="B10" i="3"/>
  <c r="L202" i="7"/>
  <c r="J202" i="7"/>
  <c r="B6" i="3"/>
  <c r="M205" i="7"/>
  <c r="L213" i="7"/>
  <c r="J213" i="7"/>
  <c r="M25" i="7"/>
  <c r="M74" i="7"/>
  <c r="M115" i="7"/>
  <c r="M199" i="7"/>
  <c r="J161" i="7"/>
  <c r="Q138" i="7"/>
  <c r="N138" i="7"/>
  <c r="J77" i="7"/>
  <c r="L209" i="7"/>
  <c r="O119" i="7"/>
  <c r="J170" i="7"/>
  <c r="L28" i="7"/>
  <c r="J209" i="7"/>
  <c r="M233" i="7"/>
  <c r="T234" i="7"/>
  <c r="T243" i="7" s="1"/>
  <c r="L77" i="7"/>
  <c r="P138" i="7"/>
  <c r="O170" i="7"/>
  <c r="L5" i="7"/>
  <c r="Q77" i="7"/>
  <c r="O77" i="7"/>
  <c r="K158" i="7"/>
  <c r="J5" i="7"/>
  <c r="O5" i="7"/>
  <c r="J28" i="7"/>
  <c r="O28" i="7"/>
  <c r="I158" i="7"/>
  <c r="L170" i="7"/>
  <c r="D8" i="2" l="1"/>
  <c r="B9" i="3"/>
  <c r="J138" i="7"/>
  <c r="M158" i="7"/>
  <c r="O138" i="7"/>
  <c r="K234" i="7"/>
  <c r="J119" i="7"/>
  <c r="L119" i="7"/>
  <c r="L138" i="7"/>
  <c r="I234" i="7"/>
  <c r="I243" i="7" l="1"/>
  <c r="K243" i="7"/>
  <c r="J242" i="7" l="1"/>
  <c r="J205" i="7"/>
  <c r="J167" i="7"/>
  <c r="J115" i="7"/>
  <c r="J25" i="7"/>
  <c r="J233" i="7"/>
  <c r="J158" i="7"/>
  <c r="J74" i="7"/>
  <c r="J199" i="7"/>
  <c r="L233" i="7"/>
  <c r="L205" i="7"/>
  <c r="L25" i="7"/>
  <c r="L199" i="7"/>
  <c r="L167" i="7"/>
  <c r="L115" i="7"/>
  <c r="L74" i="7"/>
  <c r="L242" i="7"/>
  <c r="L158" i="7"/>
</calcChain>
</file>

<file path=xl/sharedStrings.xml><?xml version="1.0" encoding="utf-8"?>
<sst xmlns="http://schemas.openxmlformats.org/spreadsheetml/2006/main" count="494" uniqueCount="332">
  <si>
    <t>S/N</t>
  </si>
  <si>
    <t>FUND</t>
  </si>
  <si>
    <t>FUND MANAGER</t>
  </si>
  <si>
    <t>TOTAL VALUE OF INVESTMENT (N)</t>
  </si>
  <si>
    <t>TOTAL INCOME (N)</t>
  </si>
  <si>
    <t>UNREALIZED CAPITAL GAIN/LOSS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</si>
  <si>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</si>
  <si>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</si>
  <si>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</si>
  <si>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</si>
  <si>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</si>
  <si>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</si>
  <si>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</si>
  <si>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</si>
  <si>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</si>
  <si>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</si>
  <si>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</si>
  <si>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</si>
  <si>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</si>
  <si>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</si>
  <si>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</si>
  <si>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</si>
  <si>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</si>
  <si>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</si>
  <si>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</si>
  <si>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</si>
  <si>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</si>
  <si>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</si>
  <si>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</si>
  <si>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</si>
  <si>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</si>
  <si>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</si>
  <si>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</si>
  <si>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</si>
  <si>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</si>
  <si>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</si>
  <si>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</si>
  <si>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</si>
  <si>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</si>
  <si>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</si>
  <si>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</si>
  <si>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</si>
  <si>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</si>
  <si>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</si>
  <si>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</si>
  <si>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</si>
  <si>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</si>
  <si>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</si>
  <si>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</si>
  <si>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</si>
  <si>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</si>
  <si>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</si>
  <si>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</si>
  <si>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</si>
  <si>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</si>
  <si>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</si>
  <si>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</si>
  <si>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</si>
  <si>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</si>
  <si>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</si>
  <si>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</si>
  <si>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</si>
  <si>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</si>
  <si>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</si>
  <si>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</si>
  <si>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</si>
  <si>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</si>
  <si>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</si>
  <si>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</si>
  <si>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</si>
  <si>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</si>
  <si>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</si>
  <si>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</si>
  <si>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</si>
  <si>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</si>
  <si>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</si>
  <si>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</si>
  <si>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</si>
  <si>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</si>
  <si>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</si>
  <si>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</si>
  <si>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</si>
  <si>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</si>
  <si>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</si>
  <si>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</si>
  <si>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</si>
  <si>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</si>
  <si>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</si>
  <si>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</si>
  <si>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</si>
  <si>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</si>
  <si>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</si>
  <si>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</si>
  <si>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</si>
  <si>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</si>
  <si>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</si>
  <si>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</si>
  <si>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</si>
  <si>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</si>
  <si>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</si>
  <si>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</si>
  <si>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</si>
  <si>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</si>
  <si>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</si>
  <si>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</si>
  <si>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</si>
  <si>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</si>
  <si>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</si>
  <si>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</si>
  <si>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</si>
  <si>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</si>
  <si>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</si>
  <si>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</si>
  <si>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</si>
  <si>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</si>
  <si>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</si>
  <si>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</si>
  <si>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</si>
  <si>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</si>
  <si>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</si>
  <si>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</si>
  <si>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</si>
  <si>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</si>
  <si>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</si>
  <si>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</si>
  <si>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</si>
  <si>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</si>
  <si>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</si>
  <si>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EUROBONDS</t>
  </si>
  <si>
    <t>Afrinvest Dollar Fund</t>
  </si>
  <si>
    <t>ARM Eurobond Fund</t>
  </si>
  <si>
    <t>Emerging Africa Eurobond Fund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</si>
  <si>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</si>
  <si>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</si>
  <si>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</si>
  <si>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</si>
  <si>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</si>
  <si>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</si>
  <si>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</si>
  <si>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</si>
  <si>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</si>
  <si>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</si>
  <si>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</si>
  <si>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</si>
  <si>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</si>
  <si>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</si>
  <si>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</si>
  <si>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</si>
  <si>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</si>
  <si>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</si>
  <si>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</si>
  <si>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</si>
  <si>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</si>
  <si>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</si>
  <si>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</si>
  <si>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</si>
  <si>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</si>
  <si>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</si>
  <si>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</si>
  <si>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</si>
  <si>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</si>
  <si>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</si>
  <si>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</si>
  <si>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</si>
  <si>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</si>
  <si>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</si>
  <si>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</si>
  <si>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</si>
  <si>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</si>
  <si>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</si>
  <si>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</si>
  <si>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</si>
  <si>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</si>
  <si>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</si>
  <si>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</si>
  <si>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</si>
  <si>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Zenith Balanced Strategy Fund</t>
  </si>
  <si>
    <t>ETHICAL FUNDS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</si>
  <si>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</si>
  <si>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</si>
  <si>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</si>
  <si>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</si>
  <si>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</si>
  <si>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</si>
  <si>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</si>
  <si>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</si>
  <si>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</si>
  <si>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</si>
  <si>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</si>
  <si>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</si>
  <si>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</si>
  <si>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</si>
  <si>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</si>
  <si>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</si>
  <si>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</si>
  <si>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</si>
  <si>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</si>
  <si>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</si>
  <si>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</si>
  <si>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</si>
  <si>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Cowry Equity Fund</t>
  </si>
  <si>
    <t>CardinalStone Equity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</si>
  <si>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</si>
  <si>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</si>
  <si>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</si>
  <si>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</si>
  <si>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</si>
  <si>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Comercio Partners Money Market Fund</t>
  </si>
  <si>
    <t>Comercio Partners Asset Management Limited</t>
  </si>
  <si>
    <t>BALANCED</t>
  </si>
  <si>
    <t>Lotus Waqf (Endowment) Fund</t>
  </si>
  <si>
    <t>Marble Halal Commodities Fund</t>
  </si>
  <si>
    <t xml:space="preserve">Marble Capital Limited </t>
  </si>
  <si>
    <t>Marble Halal Fixed Income Fund</t>
  </si>
  <si>
    <t>FSDH Halal Fund</t>
  </si>
  <si>
    <t>Alpha Morgan Balanced Fund</t>
  </si>
  <si>
    <t>Alpha Morgan Capital Managers Limited</t>
  </si>
  <si>
    <t>Cowry Balanced Fund</t>
  </si>
  <si>
    <t>The Nigeria Football Fund</t>
  </si>
  <si>
    <t>GTI Asset Management &amp; Trust Limited</t>
  </si>
  <si>
    <t>GTI Balanced Fund</t>
  </si>
  <si>
    <t>Housing Solution Fund</t>
  </si>
  <si>
    <t>FUNDCO Capital Managers Limited</t>
  </si>
  <si>
    <t>Coral Money Market Fund</t>
  </si>
  <si>
    <t>AIICO Eurobond Fund</t>
  </si>
  <si>
    <t>RMBN Dollar Fixed Income Fund</t>
  </si>
  <si>
    <t>Lead Dollar Fixed Income Fund</t>
  </si>
  <si>
    <t>Lead Asset Management Limited</t>
  </si>
  <si>
    <t>Meristem Dollar Fund</t>
  </si>
  <si>
    <t>CardinalStone Dollar Fund</t>
  </si>
  <si>
    <t>Comercio Partners Dollar Fund</t>
  </si>
  <si>
    <t>Cowry Eurobond Fund</t>
  </si>
  <si>
    <t>EDC Dollar Fund</t>
  </si>
  <si>
    <t>Cowry Fixed Income Fund</t>
  </si>
  <si>
    <t>Guaranty Trust Fixed Income Fund</t>
  </si>
  <si>
    <t>Utica Custodian Assured Fixed Income Fund</t>
  </si>
  <si>
    <t>Utica Capital Limited</t>
  </si>
  <si>
    <t>Nigeria Bond Fund</t>
  </si>
  <si>
    <t>Meristem Fixed Income Fund</t>
  </si>
  <si>
    <t>Comercio Partners Fixed Income Fund</t>
  </si>
  <si>
    <t>FBN Bond Fund</t>
  </si>
  <si>
    <t>Norrenberger Turbo Fixed Income Fund</t>
  </si>
  <si>
    <t>Norrenberger Investment &amp; Capital Mgt. Ltd.</t>
  </si>
  <si>
    <t>GTI  Money Market Fund</t>
  </si>
  <si>
    <t>Growth and Development Asset Management Limited</t>
  </si>
  <si>
    <t>Halo Equity Fund</t>
  </si>
  <si>
    <t>Zrosk Magna Equity Fund</t>
  </si>
  <si>
    <t>Zrosk Investment Management Limited</t>
  </si>
  <si>
    <t>Hillcrest Balanced Fund</t>
  </si>
  <si>
    <t>Hillcrest Capital Management Limited</t>
  </si>
  <si>
    <t>Coronation Dollar Fund</t>
  </si>
  <si>
    <t>Coronation Premium Fixed Income Fund</t>
  </si>
  <si>
    <t>Emerging Africa Halal Fund</t>
  </si>
  <si>
    <t>Chapel Hill Denham Money Market Fund</t>
  </si>
  <si>
    <t>Norrenberger Investment and Capital Mgt Limited</t>
  </si>
  <si>
    <t>United Capital Stable Fixed Income Fund</t>
  </si>
  <si>
    <t>Radix Horizon Fund</t>
  </si>
  <si>
    <t>Radix Capital Partners Limited</t>
  </si>
  <si>
    <t>CardinalStone Money Market Fund</t>
  </si>
  <si>
    <t>FSL Money Market Fund</t>
  </si>
  <si>
    <t>FSL  Asset Management Limited</t>
  </si>
  <si>
    <t>Guaranty Trust Investment Fund 724</t>
  </si>
  <si>
    <t>Guaranty Trust Dollar Fund</t>
  </si>
  <si>
    <t>AVA GAM Money Market Fund</t>
  </si>
  <si>
    <t>ARM Short-Term Eurobond Fund</t>
  </si>
  <si>
    <t>ARM Sharia Compliant Fixed Income Fund</t>
  </si>
  <si>
    <t>FSL Eurobond Fund</t>
  </si>
  <si>
    <t>FSL Asset Management Limited</t>
  </si>
  <si>
    <t>Halo Nigeria Capital Management Limited</t>
  </si>
  <si>
    <t>Mango Naira Money Maket Fund</t>
  </si>
  <si>
    <t>Mango Asset Management Limited</t>
  </si>
  <si>
    <t>CardinalStone Balanced Fund</t>
  </si>
  <si>
    <t>One17 Halal Fund</t>
  </si>
  <si>
    <t>One17 Capital Limited</t>
  </si>
  <si>
    <t>ARM Halal Balanced Fund</t>
  </si>
  <si>
    <t>MOFI Real Estate Investment Fund</t>
  </si>
  <si>
    <t>SPECIALISED FUNDS</t>
  </si>
  <si>
    <t>ARM Specialized Dollar Fund</t>
  </si>
  <si>
    <t>Clean Energy Fund</t>
  </si>
  <si>
    <t>Fundco Capital Managers Limited</t>
  </si>
  <si>
    <t>FBN Blended Dollar Fund</t>
  </si>
  <si>
    <t>FCMB-TLG Private Debt Fund</t>
  </si>
  <si>
    <t>FCMB Asset Management Limited</t>
  </si>
  <si>
    <t>United Capital Children Investment Fund</t>
  </si>
  <si>
    <t>Zedcrest Dollar Fund</t>
  </si>
  <si>
    <t>Zedcrest Investment Managers Limited</t>
  </si>
  <si>
    <t>Zedcrest Fixed Income Fund</t>
  </si>
  <si>
    <t>Zedcrest Money Market Fund</t>
  </si>
  <si>
    <t>Mutual Fund Total</t>
  </si>
  <si>
    <t>Parthian Money Market Fund</t>
  </si>
  <si>
    <t>Parthian Capital Ltd.</t>
  </si>
  <si>
    <t>STL Money Market Fund</t>
  </si>
  <si>
    <t>STL Asset Mgt. Limited</t>
  </si>
  <si>
    <t>STL Dollar Fund</t>
  </si>
  <si>
    <t>STL Balanced Fund</t>
  </si>
  <si>
    <t>Parthian Dollar Fixed Income Fund</t>
  </si>
  <si>
    <t>Afrinvest Halal Fund</t>
  </si>
  <si>
    <t>Afrinvest Asset Mgt Ltd.</t>
  </si>
  <si>
    <t>DLM Money Market Fund</t>
  </si>
  <si>
    <t>Samtl Fund Managers Limited</t>
  </si>
  <si>
    <t>CFG AM Fixed Income Naira Fund</t>
  </si>
  <si>
    <t>CFG Assset Management Limited</t>
  </si>
  <si>
    <t>Trustbanc Fixed Income Fund</t>
  </si>
  <si>
    <t>Trustbanc Aset Management Limited</t>
  </si>
  <si>
    <t>CFG AM Fixed Income Dollar Fund</t>
  </si>
  <si>
    <t>Greenwich Fixed Income Dollar Fund</t>
  </si>
  <si>
    <t>Vetiva USD Fixed Income Fund</t>
  </si>
  <si>
    <t>D'Namaz Halal Fixed Income Fund</t>
  </si>
  <si>
    <t>D'Namaz Capital Limited</t>
  </si>
  <si>
    <t>FBN Dollar Fund</t>
  </si>
  <si>
    <t xml:space="preserve"> </t>
  </si>
  <si>
    <t>Samtl Mixed Income Fund</t>
  </si>
  <si>
    <t>Zedcrest Equity Fund</t>
  </si>
  <si>
    <t>Fundvine Money Market Fund</t>
  </si>
  <si>
    <t>Fundvine Berkshire Asset Management Limited</t>
  </si>
  <si>
    <t>Apel Wealth Money Market Fund</t>
  </si>
  <si>
    <t>Apel Wealth Management Limited</t>
  </si>
  <si>
    <t>Jan 2026</t>
  </si>
  <si>
    <t>NET ASSET VALUE (N) PREVIOUS - FEBRUARY</t>
  </si>
  <si>
    <r>
      <t>US$/NG</t>
    </r>
    <r>
      <rPr>
        <strike/>
        <sz val="8"/>
        <color theme="0"/>
        <rFont val="Times New Roman"/>
        <family val="1"/>
      </rPr>
      <t>N</t>
    </r>
    <r>
      <rPr>
        <sz val="8"/>
        <color theme="0"/>
        <rFont val="Times New Roman"/>
        <family val="1"/>
      </rPr>
      <t xml:space="preserve"> I&amp;E as at 31st March, 2026 = N1386.7156</t>
    </r>
  </si>
  <si>
    <t>Alpha10 Money Market Fund</t>
  </si>
  <si>
    <t>Alpha10 Fund Management Limited</t>
  </si>
  <si>
    <t>SCM Capital Money Market Fund</t>
  </si>
  <si>
    <t>First Ally Money Market Fund</t>
  </si>
  <si>
    <t>United Capital Nigerian Eurobond Fund</t>
  </si>
  <si>
    <t>Alpha10 Dollar Fund</t>
  </si>
  <si>
    <t>United Capital Wealth For Women Fund</t>
  </si>
  <si>
    <t>CFG Ethical Fund</t>
  </si>
  <si>
    <t>CFG Asset Management Limited</t>
  </si>
  <si>
    <t>MONTHLY UPDATE ON REGISTERED MUTUAL FUNDS AS AT 31ST MARCH, 2026</t>
  </si>
  <si>
    <t>Mar 2026</t>
  </si>
  <si>
    <t>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</si>
</sst>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  <numFmt numFmtId="175" formatCode="&quot; &quot;* #,##0.00&quot; &quot;;&quot; &quot;* \(#,##0.00\);&quot; &quot;* &quot;-&quot;??&quot; &quot;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family val="2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8"/>
      <name val="Century Gothic"/>
      <family val="2"/>
    </font>
    <font>
      <b/>
      <sz val="8"/>
      <name val="Century Gothic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b/>
      <sz val="28"/>
      <color theme="0"/>
      <name val="Segoe UI Black"/>
      <family val="2"/>
    </font>
    <font>
      <sz val="10"/>
      <color theme="0"/>
      <name val="Arial Narrow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b/>
      <sz val="9"/>
      <name val="Century Gothic"/>
      <family val="2"/>
    </font>
    <font>
      <sz val="10"/>
      <name val="Century Gothic"/>
      <family val="2"/>
    </font>
    <font>
      <sz val="8"/>
      <color rgb="FF424242"/>
      <name val="Arial"/>
      <family val="2"/>
    </font>
    <font>
      <sz val="8"/>
      <name val="Arial Narrow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8"/>
      <color theme="0"/>
      <name val="Arial Narrow"/>
      <family val="2"/>
    </font>
    <font>
      <b/>
      <sz val="8"/>
      <color theme="0"/>
      <name val="Times New Roman"/>
      <family val="1"/>
    </font>
    <font>
      <sz val="8"/>
      <color theme="0"/>
      <name val="Times New Roman"/>
      <family val="1"/>
    </font>
    <font>
      <strike/>
      <sz val="8"/>
      <color theme="0"/>
      <name val="Times New Roman"/>
      <family val="1"/>
    </font>
    <font>
      <sz val="11"/>
      <color theme="0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7985778374584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</borders>
  <cellStyleXfs count="465">
    <xf numFmtId="0" fontId="0" fillId="0" borderId="0"/>
    <xf numFmtId="164" fontId="10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165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3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3" fillId="27" borderId="0" applyNumberFormat="0" applyBorder="0" applyAlignment="0" applyProtection="0"/>
    <xf numFmtId="17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9" fontId="6" fillId="0" borderId="0"/>
    <xf numFmtId="49" fontId="6" fillId="0" borderId="0"/>
    <xf numFmtId="49" fontId="6" fillId="0" borderId="0"/>
    <xf numFmtId="49" fontId="6" fillId="0" borderId="0"/>
    <xf numFmtId="0" fontId="6" fillId="0" borderId="0"/>
    <xf numFmtId="37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9" fontId="27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0" applyFont="1" applyFill="1" applyAlignment="1">
      <alignment wrapText="1"/>
    </xf>
    <xf numFmtId="0" fontId="4" fillId="0" borderId="0" xfId="0" applyFont="1"/>
    <xf numFmtId="0" fontId="5" fillId="3" borderId="0" xfId="0" applyFont="1" applyFill="1"/>
    <xf numFmtId="0" fontId="5" fillId="0" borderId="0" xfId="0" applyFont="1"/>
    <xf numFmtId="0" fontId="9" fillId="0" borderId="0" xfId="0" applyFont="1"/>
    <xf numFmtId="0" fontId="5" fillId="2" borderId="0" xfId="0" applyFont="1" applyFill="1"/>
    <xf numFmtId="164" fontId="5" fillId="2" borderId="0" xfId="1" applyFont="1" applyFill="1" applyBorder="1" applyAlignment="1"/>
    <xf numFmtId="172" fontId="8" fillId="2" borderId="0" xfId="0" applyNumberFormat="1" applyFont="1" applyFill="1"/>
    <xf numFmtId="175" fontId="8" fillId="2" borderId="0" xfId="0" applyNumberFormat="1" applyFont="1" applyFill="1"/>
    <xf numFmtId="164" fontId="18" fillId="2" borderId="2" xfId="1" applyFont="1" applyFill="1" applyBorder="1"/>
    <xf numFmtId="172" fontId="18" fillId="2" borderId="2" xfId="0" applyNumberFormat="1" applyFont="1" applyFill="1" applyBorder="1" applyAlignment="1">
      <alignment horizontal="right"/>
    </xf>
    <xf numFmtId="164" fontId="18" fillId="2" borderId="2" xfId="1" applyFont="1" applyFill="1" applyBorder="1" applyAlignment="1"/>
    <xf numFmtId="10" fontId="18" fillId="2" borderId="2" xfId="0" applyNumberFormat="1" applyFont="1" applyFill="1" applyBorder="1" applyAlignment="1">
      <alignment horizontal="center"/>
    </xf>
    <xf numFmtId="0" fontId="20" fillId="2" borderId="0" xfId="0" applyFont="1" applyFill="1"/>
    <xf numFmtId="0" fontId="21" fillId="0" borderId="0" xfId="0" applyFont="1"/>
    <xf numFmtId="164" fontId="18" fillId="2" borderId="2" xfId="1" applyFont="1" applyFill="1" applyBorder="1" applyAlignment="1">
      <alignment horizontal="right"/>
    </xf>
    <xf numFmtId="164" fontId="18" fillId="0" borderId="2" xfId="1" applyFont="1" applyBorder="1"/>
    <xf numFmtId="164" fontId="18" fillId="0" borderId="2" xfId="1" applyFont="1" applyFill="1" applyBorder="1"/>
    <xf numFmtId="49" fontId="18" fillId="2" borderId="2" xfId="0" applyNumberFormat="1" applyFont="1" applyFill="1" applyBorder="1" applyAlignment="1">
      <alignment wrapText="1"/>
    </xf>
    <xf numFmtId="10" fontId="19" fillId="6" borderId="2" xfId="0" applyNumberFormat="1" applyFont="1" applyFill="1" applyBorder="1" applyAlignment="1">
      <alignment horizontal="center" vertical="center"/>
    </xf>
    <xf numFmtId="10" fontId="18" fillId="6" borderId="2" xfId="0" applyNumberFormat="1" applyFont="1" applyFill="1" applyBorder="1" applyAlignment="1">
      <alignment horizontal="center" vertical="center"/>
    </xf>
    <xf numFmtId="172" fontId="18" fillId="6" borderId="2" xfId="0" applyNumberFormat="1" applyFont="1" applyFill="1" applyBorder="1" applyAlignment="1">
      <alignment horizontal="right" vertical="center"/>
    </xf>
    <xf numFmtId="172" fontId="18" fillId="2" borderId="2" xfId="0" applyNumberFormat="1" applyFont="1" applyFill="1" applyBorder="1"/>
    <xf numFmtId="172" fontId="18" fillId="6" borderId="2" xfId="0" applyNumberFormat="1" applyFont="1" applyFill="1" applyBorder="1" applyAlignment="1">
      <alignment horizontal="center" vertical="center"/>
    </xf>
    <xf numFmtId="164" fontId="18" fillId="2" borderId="2" xfId="1" applyFont="1" applyFill="1" applyBorder="1" applyAlignment="1">
      <alignment wrapText="1"/>
    </xf>
    <xf numFmtId="172" fontId="19" fillId="2" borderId="2" xfId="0" applyNumberFormat="1" applyFont="1" applyFill="1" applyBorder="1"/>
    <xf numFmtId="164" fontId="18" fillId="2" borderId="2" xfId="1" applyFont="1" applyFill="1" applyBorder="1" applyAlignment="1">
      <alignment horizontal="right" vertical="top" wrapText="1"/>
    </xf>
    <xf numFmtId="164" fontId="18" fillId="2" borderId="2" xfId="1" applyFont="1" applyFill="1" applyBorder="1" applyAlignment="1">
      <alignment horizontal="center" vertical="top" wrapText="1"/>
    </xf>
    <xf numFmtId="164" fontId="18" fillId="2" borderId="2" xfId="1" applyFont="1" applyFill="1" applyBorder="1" applyAlignment="1">
      <alignment horizontal="left"/>
    </xf>
    <xf numFmtId="49" fontId="7" fillId="5" borderId="2" xfId="0" applyNumberFormat="1" applyFont="1" applyFill="1" applyBorder="1" applyAlignment="1">
      <alignment horizontal="center" vertical="top" wrapText="1"/>
    </xf>
    <xf numFmtId="171" fontId="18" fillId="0" borderId="2" xfId="0" applyNumberFormat="1" applyFont="1" applyBorder="1"/>
    <xf numFmtId="174" fontId="18" fillId="0" borderId="2" xfId="0" applyNumberFormat="1" applyFont="1" applyBorder="1"/>
    <xf numFmtId="164" fontId="7" fillId="5" borderId="2" xfId="1" applyFont="1" applyFill="1" applyBorder="1" applyAlignment="1">
      <alignment horizontal="center" vertical="top" wrapText="1"/>
    </xf>
    <xf numFmtId="10" fontId="19" fillId="2" borderId="2" xfId="0" applyNumberFormat="1" applyFont="1" applyFill="1" applyBorder="1" applyAlignment="1">
      <alignment horizontal="center"/>
    </xf>
    <xf numFmtId="172" fontId="19" fillId="6" borderId="2" xfId="0" applyNumberFormat="1" applyFont="1" applyFill="1" applyBorder="1" applyAlignment="1">
      <alignment horizontal="right" vertical="center"/>
    </xf>
    <xf numFmtId="164" fontId="19" fillId="2" borderId="2" xfId="1" applyFont="1" applyFill="1" applyBorder="1"/>
    <xf numFmtId="172" fontId="19" fillId="6" borderId="2" xfId="0" applyNumberFormat="1" applyFont="1" applyFill="1" applyBorder="1" applyAlignment="1">
      <alignment horizontal="center" vertical="center"/>
    </xf>
    <xf numFmtId="164" fontId="19" fillId="2" borderId="2" xfId="1" applyFont="1" applyFill="1" applyBorder="1" applyAlignment="1"/>
    <xf numFmtId="164" fontId="19" fillId="2" borderId="2" xfId="1" applyFont="1" applyFill="1" applyBorder="1" applyAlignment="1">
      <alignment wrapText="1"/>
    </xf>
    <xf numFmtId="10" fontId="19" fillId="6" borderId="2" xfId="0" applyNumberFormat="1" applyFont="1" applyFill="1" applyBorder="1" applyAlignment="1">
      <alignment horizontal="right" vertical="center"/>
    </xf>
    <xf numFmtId="173" fontId="18" fillId="2" borderId="2" xfId="0" applyNumberFormat="1" applyFont="1" applyFill="1" applyBorder="1"/>
    <xf numFmtId="164" fontId="18" fillId="0" borderId="2" xfId="1" applyFont="1" applyBorder="1" applyAlignment="1"/>
    <xf numFmtId="164" fontId="18" fillId="7" borderId="2" xfId="1" applyFont="1" applyFill="1" applyBorder="1"/>
    <xf numFmtId="164" fontId="18" fillId="0" borderId="2" xfId="1" applyFont="1" applyFill="1" applyBorder="1" applyAlignment="1">
      <alignment horizontal="right"/>
    </xf>
    <xf numFmtId="4" fontId="23" fillId="2" borderId="0" xfId="0" applyNumberFormat="1" applyFont="1" applyFill="1"/>
    <xf numFmtId="4" fontId="23" fillId="2" borderId="0" xfId="0" applyNumberFormat="1" applyFont="1" applyFill="1" applyAlignment="1">
      <alignment horizontal="right"/>
    </xf>
    <xf numFmtId="0" fontId="22" fillId="0" borderId="0" xfId="0" applyFont="1" applyAlignment="1">
      <alignment horizontal="right"/>
    </xf>
    <xf numFmtId="164" fontId="23" fillId="2" borderId="0" xfId="1" applyFont="1" applyFill="1" applyBorder="1" applyAlignment="1">
      <alignment horizontal="right" vertical="top" wrapText="1"/>
    </xf>
    <xf numFmtId="164" fontId="19" fillId="2" borderId="2" xfId="1" applyFont="1" applyFill="1" applyBorder="1" applyAlignment="1">
      <alignment horizontal="left"/>
    </xf>
    <xf numFmtId="164" fontId="18" fillId="0" borderId="2" xfId="1" applyFont="1" applyFill="1" applyBorder="1" applyAlignment="1" applyProtection="1"/>
    <xf numFmtId="0" fontId="26" fillId="2" borderId="0" xfId="0" applyFont="1" applyFill="1"/>
    <xf numFmtId="164" fontId="18" fillId="2" borderId="2" xfId="1" applyFont="1" applyFill="1" applyBorder="1" applyAlignment="1">
      <alignment horizontal="center" wrapText="1"/>
    </xf>
    <xf numFmtId="10" fontId="18" fillId="2" borderId="2" xfId="464" applyNumberFormat="1" applyFont="1" applyFill="1" applyBorder="1" applyAlignment="1">
      <alignment horizontal="center" wrapText="1"/>
    </xf>
    <xf numFmtId="0" fontId="25" fillId="2" borderId="0" xfId="0" applyFont="1" applyFill="1" applyAlignment="1">
      <alignment horizontal="left"/>
    </xf>
    <xf numFmtId="10" fontId="19" fillId="2" borderId="2" xfId="0" applyNumberFormat="1" applyFont="1" applyFill="1" applyBorder="1"/>
    <xf numFmtId="10" fontId="19" fillId="2" borderId="2" xfId="0" applyNumberFormat="1" applyFont="1" applyFill="1" applyBorder="1" applyAlignment="1">
      <alignment horizontal="right" vertical="center"/>
    </xf>
    <xf numFmtId="172" fontId="19" fillId="2" borderId="2" xfId="0" applyNumberFormat="1" applyFont="1" applyFill="1" applyBorder="1" applyAlignment="1">
      <alignment horizontal="right" vertical="center"/>
    </xf>
    <xf numFmtId="164" fontId="18" fillId="2" borderId="6" xfId="1" applyFont="1" applyFill="1" applyBorder="1" applyAlignment="1">
      <alignment horizontal="right"/>
    </xf>
    <xf numFmtId="49" fontId="19" fillId="2" borderId="2" xfId="0" applyNumberFormat="1" applyFont="1" applyFill="1" applyBorder="1" applyAlignment="1">
      <alignment horizontal="right"/>
    </xf>
    <xf numFmtId="173" fontId="18" fillId="2" borderId="2" xfId="0" applyNumberFormat="1" applyFont="1" applyFill="1" applyBorder="1" applyAlignment="1">
      <alignment horizontal="center" wrapText="1"/>
    </xf>
    <xf numFmtId="0" fontId="29" fillId="29" borderId="0" xfId="0" applyFont="1" applyFill="1"/>
    <xf numFmtId="164" fontId="7" fillId="29" borderId="0" xfId="1" applyFont="1" applyFill="1"/>
    <xf numFmtId="164" fontId="29" fillId="29" borderId="0" xfId="1" applyFont="1" applyFill="1"/>
    <xf numFmtId="164" fontId="28" fillId="5" borderId="2" xfId="1" applyFont="1" applyFill="1" applyBorder="1"/>
    <xf numFmtId="10" fontId="28" fillId="5" borderId="2" xfId="0" applyNumberFormat="1" applyFont="1" applyFill="1" applyBorder="1"/>
    <xf numFmtId="10" fontId="28" fillId="5" borderId="2" xfId="0" applyNumberFormat="1" applyFont="1" applyFill="1" applyBorder="1" applyAlignment="1">
      <alignment horizontal="right" vertical="center"/>
    </xf>
    <xf numFmtId="172" fontId="28" fillId="5" borderId="2" xfId="0" applyNumberFormat="1" applyFont="1" applyFill="1" applyBorder="1" applyAlignment="1">
      <alignment horizontal="right" vertical="center"/>
    </xf>
    <xf numFmtId="164" fontId="18" fillId="2" borderId="2" xfId="1" applyFont="1" applyFill="1" applyBorder="1" applyAlignment="1">
      <alignment horizontal="right" wrapText="1"/>
    </xf>
    <xf numFmtId="164" fontId="28" fillId="2" borderId="2" xfId="1" applyFont="1" applyFill="1" applyBorder="1"/>
    <xf numFmtId="0" fontId="30" fillId="0" borderId="0" xfId="0" applyFont="1"/>
    <xf numFmtId="4" fontId="18" fillId="2" borderId="2" xfId="0" applyNumberFormat="1" applyFont="1" applyFill="1" applyBorder="1" applyAlignment="1">
      <alignment wrapText="1"/>
    </xf>
    <xf numFmtId="0" fontId="18" fillId="2" borderId="2" xfId="0" applyFont="1" applyFill="1" applyBorder="1" applyAlignment="1">
      <alignment wrapText="1"/>
    </xf>
    <xf numFmtId="164" fontId="18" fillId="2" borderId="0" xfId="1" applyFont="1" applyFill="1" applyBorder="1" applyAlignment="1">
      <alignment wrapText="1"/>
    </xf>
    <xf numFmtId="2" fontId="18" fillId="2" borderId="2" xfId="0" applyNumberFormat="1" applyFont="1" applyFill="1" applyBorder="1"/>
    <xf numFmtId="2" fontId="18" fillId="2" borderId="2" xfId="0" applyNumberFormat="1" applyFont="1" applyFill="1" applyBorder="1" applyAlignment="1">
      <alignment wrapText="1"/>
    </xf>
    <xf numFmtId="49" fontId="18" fillId="2" borderId="2" xfId="0" applyNumberFormat="1" applyFont="1" applyFill="1" applyBorder="1"/>
    <xf numFmtId="2" fontId="18" fillId="2" borderId="2" xfId="463" applyNumberFormat="1" applyFont="1" applyFill="1" applyBorder="1" applyAlignment="1">
      <alignment wrapText="1"/>
    </xf>
    <xf numFmtId="164" fontId="18" fillId="2" borderId="8" xfId="1" applyFont="1" applyFill="1" applyBorder="1" applyAlignment="1">
      <alignment wrapText="1"/>
    </xf>
    <xf numFmtId="164" fontId="18" fillId="2" borderId="2" xfId="1" applyFont="1" applyFill="1" applyBorder="1" applyAlignment="1">
      <alignment horizontal="left" vertical="top" wrapText="1"/>
    </xf>
    <xf numFmtId="49" fontId="18" fillId="2" borderId="2" xfId="0" applyNumberFormat="1" applyFont="1" applyFill="1" applyBorder="1" applyAlignment="1">
      <alignment vertical="center" wrapText="1"/>
    </xf>
    <xf numFmtId="43" fontId="4" fillId="0" borderId="0" xfId="200" applyFont="1" applyBorder="1"/>
    <xf numFmtId="4" fontId="31" fillId="2" borderId="0" xfId="0" applyNumberFormat="1" applyFont="1" applyFill="1"/>
    <xf numFmtId="4" fontId="31" fillId="2" borderId="0" xfId="0" applyNumberFormat="1" applyFont="1" applyFill="1" applyAlignment="1">
      <alignment horizontal="right"/>
    </xf>
    <xf numFmtId="172" fontId="18" fillId="2" borderId="0" xfId="0" applyNumberFormat="1" applyFont="1" applyFill="1"/>
    <xf numFmtId="0" fontId="23" fillId="0" borderId="0" xfId="0" applyFont="1" applyAlignment="1">
      <alignment horizontal="right"/>
    </xf>
    <xf numFmtId="164" fontId="19" fillId="2" borderId="2" xfId="1" applyFont="1" applyFill="1" applyBorder="1" applyAlignment="1">
      <alignment horizontal="right"/>
    </xf>
    <xf numFmtId="0" fontId="33" fillId="0" borderId="0" xfId="0" applyFont="1"/>
    <xf numFmtId="0" fontId="34" fillId="0" borderId="1" xfId="0" applyFont="1" applyBorder="1" applyAlignment="1">
      <alignment horizontal="right"/>
    </xf>
    <xf numFmtId="0" fontId="32" fillId="0" borderId="0" xfId="0" applyFont="1" applyAlignment="1">
      <alignment horizontal="right"/>
    </xf>
    <xf numFmtId="0" fontId="35" fillId="0" borderId="1" xfId="0" applyFont="1" applyBorder="1" applyAlignment="1">
      <alignment horizontal="right"/>
    </xf>
    <xf numFmtId="171" fontId="33" fillId="0" borderId="0" xfId="200" applyNumberFormat="1" applyFont="1"/>
    <xf numFmtId="0" fontId="35" fillId="0" borderId="0" xfId="0" applyFont="1" applyAlignment="1">
      <alignment horizontal="right"/>
    </xf>
    <xf numFmtId="174" fontId="33" fillId="0" borderId="0" xfId="1" applyNumberFormat="1" applyFont="1"/>
    <xf numFmtId="0" fontId="36" fillId="0" borderId="2" xfId="0" applyFont="1" applyBorder="1" applyAlignment="1">
      <alignment horizontal="right"/>
    </xf>
    <xf numFmtId="16" fontId="36" fillId="2" borderId="2" xfId="0" quotePrefix="1" applyNumberFormat="1" applyFont="1" applyFill="1" applyBorder="1" applyAlignment="1">
      <alignment horizontal="right"/>
    </xf>
    <xf numFmtId="164" fontId="25" fillId="2" borderId="2" xfId="1" applyFont="1" applyFill="1" applyBorder="1" applyAlignment="1">
      <alignment horizontal="right" vertical="top" wrapText="1"/>
    </xf>
    <xf numFmtId="164" fontId="25" fillId="2" borderId="2" xfId="1" applyFont="1" applyFill="1" applyBorder="1"/>
    <xf numFmtId="4" fontId="25" fillId="2" borderId="2" xfId="0" applyNumberFormat="1" applyFont="1" applyFill="1" applyBorder="1"/>
    <xf numFmtId="4" fontId="25" fillId="2" borderId="2" xfId="0" applyNumberFormat="1" applyFont="1" applyFill="1" applyBorder="1" applyAlignment="1">
      <alignment horizontal="right"/>
    </xf>
    <xf numFmtId="164" fontId="37" fillId="2" borderId="0" xfId="1" applyFont="1" applyFill="1" applyBorder="1"/>
    <xf numFmtId="174" fontId="18" fillId="2" borderId="2" xfId="1" applyNumberFormat="1" applyFont="1" applyFill="1" applyBorder="1" applyAlignment="1">
      <alignment horizontal="right"/>
    </xf>
    <xf numFmtId="174" fontId="18" fillId="2" borderId="2" xfId="1" applyNumberFormat="1" applyFont="1" applyFill="1" applyBorder="1" applyAlignment="1">
      <alignment horizontal="center" wrapText="1"/>
    </xf>
    <xf numFmtId="173" fontId="18" fillId="2" borderId="2" xfId="0" applyNumberFormat="1" applyFont="1" applyFill="1" applyBorder="1" applyAlignment="1">
      <alignment horizontal="right" wrapText="1"/>
    </xf>
    <xf numFmtId="0" fontId="18" fillId="2" borderId="2" xfId="0" applyFont="1" applyFill="1" applyBorder="1" applyAlignment="1">
      <alignment horizontal="right" wrapText="1"/>
    </xf>
    <xf numFmtId="174" fontId="18" fillId="2" borderId="2" xfId="1" applyNumberFormat="1" applyFont="1" applyFill="1" applyBorder="1" applyAlignment="1">
      <alignment horizontal="right" vertical="center" wrapText="1"/>
    </xf>
    <xf numFmtId="174" fontId="18" fillId="2" borderId="4" xfId="1" applyNumberFormat="1" applyFont="1" applyFill="1" applyBorder="1" applyAlignment="1">
      <alignment horizontal="right" wrapText="1"/>
    </xf>
    <xf numFmtId="164" fontId="18" fillId="2" borderId="2" xfId="1" applyFont="1" applyFill="1" applyBorder="1" applyAlignment="1">
      <alignment vertical="top" wrapText="1"/>
    </xf>
    <xf numFmtId="174" fontId="18" fillId="2" borderId="2" xfId="1" applyNumberFormat="1" applyFont="1" applyFill="1" applyBorder="1" applyAlignment="1">
      <alignment horizontal="right" wrapText="1"/>
    </xf>
    <xf numFmtId="164" fontId="18" fillId="2" borderId="8" xfId="1" applyFont="1" applyFill="1" applyBorder="1"/>
    <xf numFmtId="49" fontId="18" fillId="2" borderId="2" xfId="0" applyNumberFormat="1" applyFont="1" applyFill="1" applyBorder="1" applyAlignment="1">
      <alignment vertical="top" wrapText="1"/>
    </xf>
    <xf numFmtId="0" fontId="38" fillId="9" borderId="0" xfId="0" applyFont="1" applyFill="1" applyAlignment="1">
      <alignment horizontal="right" vertical="center"/>
    </xf>
    <xf numFmtId="0" fontId="39" fillId="9" borderId="0" xfId="0" applyFont="1" applyFill="1" applyAlignment="1">
      <alignment horizontal="left"/>
    </xf>
    <xf numFmtId="4" fontId="9" fillId="0" borderId="0" xfId="0" applyNumberFormat="1" applyFont="1"/>
    <xf numFmtId="164" fontId="9" fillId="0" borderId="0" xfId="1" applyFont="1"/>
    <xf numFmtId="173" fontId="18" fillId="2" borderId="2" xfId="0" applyNumberFormat="1" applyFont="1" applyFill="1" applyBorder="1" applyAlignment="1">
      <alignment horizontal="center" wrapText="1"/>
    </xf>
    <xf numFmtId="173" fontId="18" fillId="2" borderId="2" xfId="0" applyNumberFormat="1" applyFont="1" applyFill="1" applyBorder="1" applyAlignment="1">
      <alignment horizontal="center" wrapText="1"/>
    </xf>
    <xf numFmtId="49" fontId="7" fillId="2" borderId="2" xfId="0" applyNumberFormat="1" applyFont="1" applyFill="1" applyBorder="1" applyAlignment="1">
      <alignment horizontal="center" vertical="top" wrapText="1"/>
    </xf>
    <xf numFmtId="164" fontId="19" fillId="2" borderId="2" xfId="1" applyFont="1" applyFill="1" applyBorder="1" applyAlignment="1">
      <alignment horizontal="right"/>
    </xf>
    <xf numFmtId="49" fontId="28" fillId="5" borderId="2" xfId="0" applyNumberFormat="1" applyFont="1" applyFill="1" applyBorder="1" applyAlignment="1">
      <alignment horizontal="right"/>
    </xf>
    <xf numFmtId="173" fontId="18" fillId="2" borderId="2" xfId="0" applyNumberFormat="1" applyFont="1" applyFill="1" applyBorder="1" applyAlignment="1">
      <alignment horizontal="center" wrapText="1"/>
    </xf>
    <xf numFmtId="0" fontId="28" fillId="2" borderId="2" xfId="0" applyFont="1" applyFill="1" applyBorder="1" applyAlignment="1">
      <alignment horizontal="center" wrapText="1"/>
    </xf>
    <xf numFmtId="2" fontId="28" fillId="2" borderId="2" xfId="0" applyNumberFormat="1" applyFont="1" applyFill="1" applyBorder="1" applyAlignment="1">
      <alignment horizontal="center" wrapText="1"/>
    </xf>
    <xf numFmtId="0" fontId="28" fillId="2" borderId="7" xfId="0" applyFont="1" applyFill="1" applyBorder="1" applyAlignment="1">
      <alignment horizontal="center" wrapText="1"/>
    </xf>
    <xf numFmtId="173" fontId="19" fillId="2" borderId="2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 vertical="top" wrapText="1"/>
    </xf>
    <xf numFmtId="49" fontId="7" fillId="2" borderId="6" xfId="0" applyNumberFormat="1" applyFont="1" applyFill="1" applyBorder="1" applyAlignment="1">
      <alignment horizontal="center" vertical="top" wrapText="1"/>
    </xf>
    <xf numFmtId="172" fontId="28" fillId="2" borderId="4" xfId="0" applyNumberFormat="1" applyFont="1" applyFill="1" applyBorder="1" applyAlignment="1">
      <alignment horizontal="center" wrapText="1"/>
    </xf>
    <xf numFmtId="172" fontId="28" fillId="2" borderId="5" xfId="0" applyNumberFormat="1" applyFont="1" applyFill="1" applyBorder="1" applyAlignment="1">
      <alignment horizontal="center" wrapText="1"/>
    </xf>
    <xf numFmtId="172" fontId="28" fillId="2" borderId="6" xfId="0" applyNumberFormat="1" applyFont="1" applyFill="1" applyBorder="1" applyAlignment="1">
      <alignment horizontal="center" wrapText="1"/>
    </xf>
    <xf numFmtId="164" fontId="7" fillId="29" borderId="2" xfId="1" applyFont="1" applyFill="1" applyBorder="1" applyAlignment="1">
      <alignment horizontal="right"/>
    </xf>
    <xf numFmtId="49" fontId="7" fillId="2" borderId="2" xfId="0" applyNumberFormat="1" applyFont="1" applyFill="1" applyBorder="1" applyAlignment="1">
      <alignment horizontal="center"/>
    </xf>
    <xf numFmtId="49" fontId="24" fillId="4" borderId="2" xfId="0" applyNumberFormat="1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/>
    </xf>
    <xf numFmtId="173" fontId="19" fillId="2" borderId="2" xfId="0" applyNumberFormat="1" applyFont="1" applyFill="1" applyBorder="1" applyAlignment="1">
      <alignment horizontal="center"/>
    </xf>
    <xf numFmtId="49" fontId="19" fillId="2" borderId="2" xfId="0" applyNumberFormat="1" applyFont="1" applyFill="1" applyBorder="1" applyAlignment="1">
      <alignment horizontal="center" wrapText="1"/>
    </xf>
    <xf numFmtId="172" fontId="28" fillId="2" borderId="2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3" fillId="2" borderId="0" xfId="0" applyFont="1" applyFill="1"/>
    <xf numFmtId="0" fontId="25" fillId="2" borderId="0" xfId="0" applyFont="1" applyFill="1"/>
    <xf numFmtId="0" fontId="36" fillId="2" borderId="0" xfId="0" applyFont="1" applyFill="1" applyAlignment="1">
      <alignment horizontal="right"/>
    </xf>
    <xf numFmtId="16" fontId="36" fillId="2" borderId="0" xfId="0" quotePrefix="1" applyNumberFormat="1" applyFont="1" applyFill="1" applyAlignment="1">
      <alignment horizontal="right" wrapText="1"/>
    </xf>
    <xf numFmtId="0" fontId="36" fillId="2" borderId="0" xfId="0" applyFont="1" applyFill="1" applyAlignment="1">
      <alignment horizontal="right" wrapText="1"/>
    </xf>
    <xf numFmtId="2" fontId="25" fillId="2" borderId="0" xfId="0" applyNumberFormat="1" applyFont="1" applyFill="1"/>
    <xf numFmtId="16" fontId="36" fillId="2" borderId="0" xfId="0" applyNumberFormat="1" applyFont="1" applyFill="1"/>
    <xf numFmtId="164" fontId="25" fillId="2" borderId="0" xfId="1" applyFont="1" applyFill="1" applyBorder="1"/>
    <xf numFmtId="4" fontId="25" fillId="2" borderId="0" xfId="0" applyNumberFormat="1" applyFont="1" applyFill="1"/>
    <xf numFmtId="0" fontId="34" fillId="2" borderId="0" xfId="0" applyFont="1" applyFill="1" applyAlignment="1">
      <alignment horizontal="right"/>
    </xf>
    <xf numFmtId="4" fontId="41" fillId="2" borderId="0" xfId="0" applyNumberFormat="1" applyFont="1" applyFill="1" applyAlignment="1">
      <alignment horizontal="right"/>
    </xf>
    <xf numFmtId="0" fontId="35" fillId="2" borderId="0" xfId="0" applyFont="1" applyFill="1" applyAlignment="1">
      <alignment horizontal="right"/>
    </xf>
    <xf numFmtId="4" fontId="41" fillId="2" borderId="0" xfId="0" applyNumberFormat="1" applyFont="1" applyFill="1"/>
  </cellXfs>
  <cellStyles count="465">
    <cellStyle name="20% - Accent1 2" xfId="2"/>
    <cellStyle name="20% - Accent1 2 2" xfId="3"/>
    <cellStyle name="20% - Accent1 2 3" xfId="4"/>
    <cellStyle name="20% - Accent1 3" xfId="5"/>
    <cellStyle name="20% - Accent1 3 2" xfId="6"/>
    <cellStyle name="20% - Accent1 3 3" xfId="7"/>
    <cellStyle name="20% - Accent1 4" xfId="8"/>
    <cellStyle name="20% - Accent1 4 2" xfId="9"/>
    <cellStyle name="20% - Accent1 5" xfId="10"/>
    <cellStyle name="20% - Accent1 6" xfId="11"/>
    <cellStyle name="20% - Accent2 2" xfId="12"/>
    <cellStyle name="20% - Accent2 2 2" xfId="13"/>
    <cellStyle name="20% - Accent2 2 3" xfId="14"/>
    <cellStyle name="20% - Accent2 3" xfId="15"/>
    <cellStyle name="20% - Accent2 3 2" xfId="16"/>
    <cellStyle name="20% - Accent2 3 3" xfId="17"/>
    <cellStyle name="20% - Accent2 4" xfId="18"/>
    <cellStyle name="20% - Accent2 4 2" xfId="19"/>
    <cellStyle name="20% - Accent2 5" xfId="20"/>
    <cellStyle name="20% - Accent2 6" xfId="21"/>
    <cellStyle name="20% - Accent3 2" xfId="22"/>
    <cellStyle name="20% - Accent3 2 2" xfId="23"/>
    <cellStyle name="20% - Accent3 2 3" xfId="24"/>
    <cellStyle name="20% - Accent3 3" xfId="25"/>
    <cellStyle name="20% - Accent3 3 2" xfId="26"/>
    <cellStyle name="20% - Accent3 3 3" xfId="27"/>
    <cellStyle name="20% - Accent3 4" xfId="28"/>
    <cellStyle name="20% - Accent3 4 2" xfId="29"/>
    <cellStyle name="20% - Accent3 5" xfId="30"/>
    <cellStyle name="20% - Accent3 6" xfId="31"/>
    <cellStyle name="20% - Accent4 2" xfId="32"/>
    <cellStyle name="20% - Accent4 2 2" xfId="33"/>
    <cellStyle name="20% - Accent4 2 3" xfId="34"/>
    <cellStyle name="20% - Accent4 3" xfId="35"/>
    <cellStyle name="20% - Accent4 3 2" xfId="36"/>
    <cellStyle name="20% - Accent4 3 3" xfId="37"/>
    <cellStyle name="20% - Accent4 4" xfId="38"/>
    <cellStyle name="20% - Accent4 4 2" xfId="39"/>
    <cellStyle name="20% - Accent4 5" xfId="40"/>
    <cellStyle name="20% - Accent4 6" xfId="41"/>
    <cellStyle name="20% - Accent5 2" xfId="42"/>
    <cellStyle name="20% - Accent5 2 2" xfId="43"/>
    <cellStyle name="20% - Accent5 2 3" xfId="44"/>
    <cellStyle name="20% - Accent5 3" xfId="45"/>
    <cellStyle name="20% - Accent5 3 2" xfId="46"/>
    <cellStyle name="20% - Accent5 3 3" xfId="47"/>
    <cellStyle name="20% - Accent5 4" xfId="48"/>
    <cellStyle name="20% - Accent5 4 2" xfId="49"/>
    <cellStyle name="20% - Accent5 5" xfId="50"/>
    <cellStyle name="20% - Accent5 6" xfId="51"/>
    <cellStyle name="20% - Accent6 2" xfId="52"/>
    <cellStyle name="20% - Accent6 2 2" xfId="53"/>
    <cellStyle name="20% - Accent6 2 3" xfId="54"/>
    <cellStyle name="20% - Accent6 3" xfId="55"/>
    <cellStyle name="20% - Accent6 3 2" xfId="56"/>
    <cellStyle name="20% - Accent6 3 3" xfId="57"/>
    <cellStyle name="20% - Accent6 4" xfId="58"/>
    <cellStyle name="20% - Accent6 4 2" xfId="59"/>
    <cellStyle name="20% - Accent6 5" xfId="60"/>
    <cellStyle name="20% - Accent6 6" xfId="61"/>
    <cellStyle name="40% - Accent1 2" xfId="62"/>
    <cellStyle name="40% - Accent1 2 2" xfId="63"/>
    <cellStyle name="40% - Accent1 2 3" xfId="64"/>
    <cellStyle name="40% - Accent1 3" xfId="65"/>
    <cellStyle name="40% - Accent1 3 2" xfId="66"/>
    <cellStyle name="40% - Accent1 3 3" xfId="67"/>
    <cellStyle name="40% - Accent1 4" xfId="68"/>
    <cellStyle name="40% - Accent1 4 2" xfId="69"/>
    <cellStyle name="40% - Accent1 5" xfId="70"/>
    <cellStyle name="40% - Accent1 6" xfId="71"/>
    <cellStyle name="40% - Accent2 2" xfId="72"/>
    <cellStyle name="40% - Accent2 2 2" xfId="73"/>
    <cellStyle name="40% - Accent2 2 3" xfId="74"/>
    <cellStyle name="40% - Accent2 3" xfId="75"/>
    <cellStyle name="40% - Accent2 3 2" xfId="76"/>
    <cellStyle name="40% - Accent2 3 3" xfId="77"/>
    <cellStyle name="40% - Accent2 4" xfId="78"/>
    <cellStyle name="40% - Accent2 4 2" xfId="79"/>
    <cellStyle name="40% - Accent2 5" xfId="80"/>
    <cellStyle name="40% - Accent2 6" xfId="81"/>
    <cellStyle name="40% - Accent3 2" xfId="82"/>
    <cellStyle name="40% - Accent3 2 2" xfId="83"/>
    <cellStyle name="40% - Accent3 2 3" xfId="84"/>
    <cellStyle name="40% - Accent3 3" xfId="85"/>
    <cellStyle name="40% - Accent3 3 2" xfId="86"/>
    <cellStyle name="40% - Accent3 3 3" xfId="87"/>
    <cellStyle name="40% - Accent3 4" xfId="88"/>
    <cellStyle name="40% - Accent3 4 2" xfId="89"/>
    <cellStyle name="40% - Accent3 5" xfId="90"/>
    <cellStyle name="40% - Accent3 6" xfId="91"/>
    <cellStyle name="40% - Accent4 2" xfId="92"/>
    <cellStyle name="40% - Accent4 2 2" xfId="93"/>
    <cellStyle name="40% - Accent4 2 3" xfId="94"/>
    <cellStyle name="40% - Accent4 3" xfId="95"/>
    <cellStyle name="40% - Accent4 3 2" xfId="96"/>
    <cellStyle name="40% - Accent4 3 3" xfId="97"/>
    <cellStyle name="40% - Accent4 4" xfId="98"/>
    <cellStyle name="40% - Accent4 4 2" xfId="99"/>
    <cellStyle name="40% - Accent4 5" xfId="100"/>
    <cellStyle name="40% - Accent4 6" xfId="101"/>
    <cellStyle name="40% - Accent5 2" xfId="102"/>
    <cellStyle name="40% - Accent5 2 2" xfId="103"/>
    <cellStyle name="40% - Accent5 2 3" xfId="104"/>
    <cellStyle name="40% - Accent5 3" xfId="105"/>
    <cellStyle name="40% - Accent5 3 2" xfId="106"/>
    <cellStyle name="40% - Accent5 3 3" xfId="107"/>
    <cellStyle name="40% - Accent5 4" xfId="108"/>
    <cellStyle name="40% - Accent5 4 2" xfId="109"/>
    <cellStyle name="40% - Accent5 5" xfId="110"/>
    <cellStyle name="40% - Accent5 6" xfId="111"/>
    <cellStyle name="40% - Accent6 2" xfId="112"/>
    <cellStyle name="40% - Accent6 2 2" xfId="113"/>
    <cellStyle name="40% - Accent6 2 3" xfId="114"/>
    <cellStyle name="40% - Accent6 3" xfId="115"/>
    <cellStyle name="40% - Accent6 3 2" xfId="116"/>
    <cellStyle name="40% - Accent6 3 3" xfId="117"/>
    <cellStyle name="40% - Accent6 4" xfId="118"/>
    <cellStyle name="40% - Accent6 4 2" xfId="119"/>
    <cellStyle name="40% - Accent6 5" xfId="120"/>
    <cellStyle name="40% - Accent6 6" xfId="121"/>
    <cellStyle name="60% - Accent1 2" xfId="122"/>
    <cellStyle name="60% - Accent1 2 2" xfId="123"/>
    <cellStyle name="60% - Accent1 2 3" xfId="124"/>
    <cellStyle name="60% - Accent1 3" xfId="125"/>
    <cellStyle name="60% - Accent1 3 2" xfId="126"/>
    <cellStyle name="60% - Accent1 3 3" xfId="127"/>
    <cellStyle name="60% - Accent1 4" xfId="128"/>
    <cellStyle name="60% - Accent1 4 2" xfId="129"/>
    <cellStyle name="60% - Accent1 5" xfId="130"/>
    <cellStyle name="60% - Accent1 6" xfId="131"/>
    <cellStyle name="60% - Accent2 2" xfId="132"/>
    <cellStyle name="60% - Accent2 2 2" xfId="133"/>
    <cellStyle name="60% - Accent2 2 3" xfId="134"/>
    <cellStyle name="60% - Accent2 3" xfId="135"/>
    <cellStyle name="60% - Accent2 3 2" xfId="136"/>
    <cellStyle name="60% - Accent2 3 3" xfId="137"/>
    <cellStyle name="60% - Accent2 4" xfId="138"/>
    <cellStyle name="60% - Accent2 4 2" xfId="139"/>
    <cellStyle name="60% - Accent2 5" xfId="140"/>
    <cellStyle name="60% - Accent2 6" xfId="141"/>
    <cellStyle name="60% - Accent3 2" xfId="142"/>
    <cellStyle name="60% - Accent3 2 2" xfId="143"/>
    <cellStyle name="60% - Accent3 2 3" xfId="144"/>
    <cellStyle name="60% - Accent3 3" xfId="145"/>
    <cellStyle name="60% - Accent3 3 2" xfId="146"/>
    <cellStyle name="60% - Accent3 3 3" xfId="147"/>
    <cellStyle name="60% - Accent3 4" xfId="148"/>
    <cellStyle name="60% - Accent3 4 2" xfId="149"/>
    <cellStyle name="60% - Accent3 5" xfId="150"/>
    <cellStyle name="60% - Accent3 6" xfId="151"/>
    <cellStyle name="60% - Accent4 2" xfId="152"/>
    <cellStyle name="60% - Accent4 2 2" xfId="153"/>
    <cellStyle name="60% - Accent4 2 3" xfId="154"/>
    <cellStyle name="60% - Accent4 3" xfId="155"/>
    <cellStyle name="60% - Accent4 3 2" xfId="156"/>
    <cellStyle name="60% - Accent4 3 3" xfId="157"/>
    <cellStyle name="60% - Accent4 4" xfId="158"/>
    <cellStyle name="60% - Accent4 4 2" xfId="159"/>
    <cellStyle name="60% - Accent4 5" xfId="160"/>
    <cellStyle name="60% - Accent4 6" xfId="161"/>
    <cellStyle name="60% - Accent5 2" xfId="162"/>
    <cellStyle name="60% - Accent5 2 2" xfId="163"/>
    <cellStyle name="60% - Accent5 2 3" xfId="164"/>
    <cellStyle name="60% - Accent5 3" xfId="165"/>
    <cellStyle name="60% - Accent5 3 2" xfId="166"/>
    <cellStyle name="60% - Accent5 3 3" xfId="167"/>
    <cellStyle name="60% - Accent5 4" xfId="168"/>
    <cellStyle name="60% - Accent5 4 2" xfId="169"/>
    <cellStyle name="60% - Accent5 5" xfId="170"/>
    <cellStyle name="60% - Accent5 6" xfId="171"/>
    <cellStyle name="60% - Accent6 2" xfId="172"/>
    <cellStyle name="60% - Accent6 2 2" xfId="173"/>
    <cellStyle name="60% - Accent6 2 3" xfId="174"/>
    <cellStyle name="60% - Accent6 3" xfId="175"/>
    <cellStyle name="60% - Accent6 3 2" xfId="176"/>
    <cellStyle name="60% - Accent6 3 3" xfId="177"/>
    <cellStyle name="60% - Accent6 4" xfId="178"/>
    <cellStyle name="60% - Accent6 4 2" xfId="179"/>
    <cellStyle name="60% - Accent6 5" xfId="180"/>
    <cellStyle name="60% - Accent6 6" xfId="181"/>
    <cellStyle name="Comma" xfId="1" builtinId="3"/>
    <cellStyle name="Comma 10" xfId="182"/>
    <cellStyle name="Comma 10 13" xfId="183"/>
    <cellStyle name="Comma 11" xfId="184"/>
    <cellStyle name="Comma 12" xfId="185"/>
    <cellStyle name="Comma 12 2" xfId="186"/>
    <cellStyle name="Comma 12 3" xfId="187"/>
    <cellStyle name="Comma 13" xfId="188"/>
    <cellStyle name="Comma 13 2" xfId="189"/>
    <cellStyle name="Comma 13 3" xfId="190"/>
    <cellStyle name="Comma 14" xfId="191"/>
    <cellStyle name="Comma 15" xfId="192"/>
    <cellStyle name="Comma 15 2" xfId="193"/>
    <cellStyle name="Comma 15 3" xfId="194"/>
    <cellStyle name="Comma 16" xfId="195"/>
    <cellStyle name="Comma 16 2" xfId="196"/>
    <cellStyle name="Comma 16 3" xfId="197"/>
    <cellStyle name="Comma 17" xfId="198"/>
    <cellStyle name="Comma 18" xfId="199"/>
    <cellStyle name="Comma 2" xfId="200"/>
    <cellStyle name="Comma 2 10" xfId="201"/>
    <cellStyle name="Comma 2 10 2" xfId="202"/>
    <cellStyle name="Comma 2 11" xfId="203"/>
    <cellStyle name="Comma 2 11 2" xfId="204"/>
    <cellStyle name="Comma 2 12" xfId="205"/>
    <cellStyle name="Comma 2 13" xfId="206"/>
    <cellStyle name="Comma 2 2" xfId="207"/>
    <cellStyle name="Comma 2 2 2" xfId="208"/>
    <cellStyle name="Comma 2 2 2 2" xfId="209"/>
    <cellStyle name="Comma 2 2 2 2 2" xfId="210"/>
    <cellStyle name="Comma 2 2 2 2 3" xfId="211"/>
    <cellStyle name="Comma 2 2 2 3" xfId="212"/>
    <cellStyle name="Comma 2 3" xfId="213"/>
    <cellStyle name="Comma 2 3 2" xfId="214"/>
    <cellStyle name="Comma 2 4" xfId="215"/>
    <cellStyle name="Comma 2 4 2" xfId="216"/>
    <cellStyle name="Comma 2 5" xfId="217"/>
    <cellStyle name="Comma 2 5 2" xfId="218"/>
    <cellStyle name="Comma 2 6" xfId="219"/>
    <cellStyle name="Comma 2 6 2" xfId="220"/>
    <cellStyle name="Comma 2 7" xfId="221"/>
    <cellStyle name="Comma 2 7 2" xfId="222"/>
    <cellStyle name="Comma 2 8" xfId="223"/>
    <cellStyle name="Comma 2 8 2" xfId="224"/>
    <cellStyle name="Comma 2 9" xfId="225"/>
    <cellStyle name="Comma 2 9 2" xfId="226"/>
    <cellStyle name="Comma 3" xfId="227"/>
    <cellStyle name="Comma 3 2" xfId="228"/>
    <cellStyle name="Comma 3 2 2" xfId="229"/>
    <cellStyle name="Comma 3 3" xfId="230"/>
    <cellStyle name="Comma 3 4" xfId="231"/>
    <cellStyle name="Comma 3 4 3" xfId="232"/>
    <cellStyle name="Comma 3 4 4" xfId="233"/>
    <cellStyle name="Comma 4" xfId="234"/>
    <cellStyle name="Comma 4 2" xfId="235"/>
    <cellStyle name="Comma 4 3" xfId="236"/>
    <cellStyle name="Comma 5" xfId="237"/>
    <cellStyle name="Comma 6" xfId="238"/>
    <cellStyle name="Comma 7" xfId="239"/>
    <cellStyle name="Comma 8" xfId="240"/>
    <cellStyle name="Comma 8 2" xfId="241"/>
    <cellStyle name="Comma 9" xfId="242"/>
    <cellStyle name="Neutral 2" xfId="243"/>
    <cellStyle name="Normal" xfId="0" builtinId="0"/>
    <cellStyle name="Normal - Style1" xfId="244"/>
    <cellStyle name="Normal 10" xfId="245"/>
    <cellStyle name="Normal 10 2" xfId="246"/>
    <cellStyle name="Normal 10 3" xfId="247"/>
    <cellStyle name="Normal 11" xfId="248"/>
    <cellStyle name="Normal 11 2" xfId="249"/>
    <cellStyle name="Normal 11 3" xfId="250"/>
    <cellStyle name="Normal 12" xfId="251"/>
    <cellStyle name="Normal 12 2" xfId="252"/>
    <cellStyle name="Normal 12 2 2" xfId="253"/>
    <cellStyle name="Normal 12 2 3" xfId="254"/>
    <cellStyle name="Normal 12 3" xfId="255"/>
    <cellStyle name="Normal 12 4" xfId="256"/>
    <cellStyle name="Normal 13" xfId="257"/>
    <cellStyle name="Normal 13 2" xfId="258"/>
    <cellStyle name="Normal 13 3" xfId="259"/>
    <cellStyle name="Normal 14" xfId="260"/>
    <cellStyle name="Normal 14 2" xfId="261"/>
    <cellStyle name="Normal 15" xfId="262"/>
    <cellStyle name="Normal 15 2" xfId="263"/>
    <cellStyle name="Normal 15 3" xfId="264"/>
    <cellStyle name="Normal 16" xfId="265"/>
    <cellStyle name="Normal 16 2" xfId="266"/>
    <cellStyle name="Normal 16 3" xfId="267"/>
    <cellStyle name="Normal 17" xfId="268"/>
    <cellStyle name="Normal 17 2" xfId="269"/>
    <cellStyle name="Normal 17 3" xfId="270"/>
    <cellStyle name="Normal 18" xfId="271"/>
    <cellStyle name="Normal 18 2" xfId="272"/>
    <cellStyle name="Normal 18 3" xfId="273"/>
    <cellStyle name="Normal 19" xfId="274"/>
    <cellStyle name="Normal 19 2" xfId="275"/>
    <cellStyle name="Normal 19 3" xfId="276"/>
    <cellStyle name="Normal 2" xfId="277"/>
    <cellStyle name="Normal 2 2" xfId="278"/>
    <cellStyle name="Normal 2 2 2" xfId="279"/>
    <cellStyle name="Normal 2 3" xfId="280"/>
    <cellStyle name="Normal 2 4" xfId="281"/>
    <cellStyle name="Normal 2 5" xfId="282"/>
    <cellStyle name="Normal 2 6" xfId="283"/>
    <cellStyle name="Normal 20" xfId="284"/>
    <cellStyle name="Normal 20 2" xfId="285"/>
    <cellStyle name="Normal 20 3" xfId="286"/>
    <cellStyle name="Normal 21" xfId="287"/>
    <cellStyle name="Normal 21 2" xfId="288"/>
    <cellStyle name="Normal 21 3" xfId="289"/>
    <cellStyle name="Normal 22" xfId="290"/>
    <cellStyle name="Normal 22 2" xfId="291"/>
    <cellStyle name="Normal 22 3" xfId="292"/>
    <cellStyle name="Normal 23" xfId="293"/>
    <cellStyle name="Normal 23 2" xfId="294"/>
    <cellStyle name="Normal 23 3" xfId="295"/>
    <cellStyle name="Normal 24" xfId="296"/>
    <cellStyle name="Normal 24 2" xfId="297"/>
    <cellStyle name="Normal 24 3" xfId="298"/>
    <cellStyle name="Normal 25" xfId="299"/>
    <cellStyle name="Normal 25 2" xfId="300"/>
    <cellStyle name="Normal 25 3" xfId="301"/>
    <cellStyle name="Normal 26" xfId="302"/>
    <cellStyle name="Normal 26 2" xfId="303"/>
    <cellStyle name="Normal 26 3" xfId="304"/>
    <cellStyle name="Normal 27" xfId="305"/>
    <cellStyle name="Normal 27 2" xfId="306"/>
    <cellStyle name="Normal 27 2 2" xfId="307"/>
    <cellStyle name="Normal 27 3" xfId="308"/>
    <cellStyle name="Normal 28" xfId="309"/>
    <cellStyle name="Normal 28 2" xfId="310"/>
    <cellStyle name="Normal 29" xfId="311"/>
    <cellStyle name="Normal 29 2" xfId="312"/>
    <cellStyle name="Normal 3" xfId="313"/>
    <cellStyle name="Normal 3 2" xfId="314"/>
    <cellStyle name="Normal 3 2 2" xfId="315"/>
    <cellStyle name="Normal 3 2 3" xfId="316"/>
    <cellStyle name="Normal 3 3" xfId="317"/>
    <cellStyle name="Normal 3 4" xfId="318"/>
    <cellStyle name="Normal 30" xfId="319"/>
    <cellStyle name="Normal 30 2" xfId="320"/>
    <cellStyle name="Normal 31" xfId="321"/>
    <cellStyle name="Normal 31 2" xfId="322"/>
    <cellStyle name="Normal 32" xfId="323"/>
    <cellStyle name="Normal 32 2" xfId="324"/>
    <cellStyle name="Normal 33" xfId="325"/>
    <cellStyle name="Normal 33 2" xfId="326"/>
    <cellStyle name="Normal 34" xfId="327"/>
    <cellStyle name="Normal 34 2" xfId="328"/>
    <cellStyle name="Normal 35" xfId="329"/>
    <cellStyle name="Normal 35 2" xfId="330"/>
    <cellStyle name="Normal 36" xfId="331"/>
    <cellStyle name="Normal 36 2" xfId="332"/>
    <cellStyle name="Normal 37" xfId="333"/>
    <cellStyle name="Normal 37 2" xfId="334"/>
    <cellStyle name="Normal 38" xfId="335"/>
    <cellStyle name="Normal 38 2" xfId="336"/>
    <cellStyle name="Normal 39" xfId="337"/>
    <cellStyle name="Normal 39 2" xfId="338"/>
    <cellStyle name="Normal 4" xfId="339"/>
    <cellStyle name="Normal 4 2" xfId="340"/>
    <cellStyle name="Normal 40" xfId="341"/>
    <cellStyle name="Normal 40 2" xfId="342"/>
    <cellStyle name="Normal 41" xfId="343"/>
    <cellStyle name="Normal 41 2" xfId="344"/>
    <cellStyle name="Normal 42" xfId="345"/>
    <cellStyle name="Normal 42 2" xfId="346"/>
    <cellStyle name="Normal 43" xfId="347"/>
    <cellStyle name="Normal 43 2" xfId="348"/>
    <cellStyle name="Normal 44" xfId="349"/>
    <cellStyle name="Normal 44 2" xfId="350"/>
    <cellStyle name="Normal 45" xfId="351"/>
    <cellStyle name="Normal 45 2" xfId="352"/>
    <cellStyle name="Normal 46" xfId="353"/>
    <cellStyle name="Normal 46 2" xfId="354"/>
    <cellStyle name="Normal 47" xfId="355"/>
    <cellStyle name="Normal 47 2" xfId="356"/>
    <cellStyle name="Normal 48" xfId="357"/>
    <cellStyle name="Normal 48 2" xfId="358"/>
    <cellStyle name="Normal 49" xfId="359"/>
    <cellStyle name="Normal 49 2" xfId="360"/>
    <cellStyle name="Normal 5" xfId="361"/>
    <cellStyle name="Normal 50" xfId="362"/>
    <cellStyle name="Normal 50 2" xfId="363"/>
    <cellStyle name="Normal 51" xfId="364"/>
    <cellStyle name="Normal 51 2" xfId="365"/>
    <cellStyle name="Normal 52" xfId="366"/>
    <cellStyle name="Normal 52 2" xfId="367"/>
    <cellStyle name="Normal 53" xfId="368"/>
    <cellStyle name="Normal 53 2" xfId="369"/>
    <cellStyle name="Normal 54" xfId="370"/>
    <cellStyle name="Normal 54 2" xfId="371"/>
    <cellStyle name="Normal 55" xfId="372"/>
    <cellStyle name="Normal 55 2" xfId="373"/>
    <cellStyle name="Normal 56" xfId="374"/>
    <cellStyle name="Normal 56 2" xfId="375"/>
    <cellStyle name="Normal 57" xfId="376"/>
    <cellStyle name="Normal 57 2" xfId="377"/>
    <cellStyle name="Normal 58" xfId="378"/>
    <cellStyle name="Normal 58 2" xfId="379"/>
    <cellStyle name="Normal 59" xfId="380"/>
    <cellStyle name="Normal 59 2" xfId="381"/>
    <cellStyle name="Normal 6" xfId="382"/>
    <cellStyle name="Normal 6 2" xfId="383"/>
    <cellStyle name="Normal 6 3" xfId="384"/>
    <cellStyle name="Normal 60" xfId="385"/>
    <cellStyle name="Normal 60 2" xfId="386"/>
    <cellStyle name="Normal 61" xfId="387"/>
    <cellStyle name="Normal 61 2" xfId="388"/>
    <cellStyle name="Normal 62" xfId="389"/>
    <cellStyle name="Normal 62 2" xfId="390"/>
    <cellStyle name="Normal 63" xfId="391"/>
    <cellStyle name="Normal 63 2" xfId="392"/>
    <cellStyle name="Normal 64" xfId="393"/>
    <cellStyle name="Normal 64 2" xfId="394"/>
    <cellStyle name="Normal 65" xfId="395"/>
    <cellStyle name="Normal 65 2" xfId="396"/>
    <cellStyle name="Normal 66" xfId="397"/>
    <cellStyle name="Normal 66 2" xfId="398"/>
    <cellStyle name="Normal 67" xfId="399"/>
    <cellStyle name="Normal 67 2" xfId="400"/>
    <cellStyle name="Normal 68" xfId="401"/>
    <cellStyle name="Normal 68 2" xfId="402"/>
    <cellStyle name="Normal 69" xfId="403"/>
    <cellStyle name="Normal 69 2" xfId="404"/>
    <cellStyle name="Normal 7" xfId="405"/>
    <cellStyle name="Normal 7 2" xfId="406"/>
    <cellStyle name="Normal 7 3" xfId="407"/>
    <cellStyle name="Normal 70" xfId="408"/>
    <cellStyle name="Normal 71" xfId="409"/>
    <cellStyle name="Normal 72" xfId="410"/>
    <cellStyle name="Normal 73" xfId="411"/>
    <cellStyle name="Normal 74" xfId="412"/>
    <cellStyle name="Normal 75" xfId="463"/>
    <cellStyle name="Normal 8" xfId="413"/>
    <cellStyle name="Normal 8 2" xfId="414"/>
    <cellStyle name="Normal 8 3" xfId="415"/>
    <cellStyle name="Normal 9" xfId="416"/>
    <cellStyle name="Normal 9 2" xfId="417"/>
    <cellStyle name="Normal 9 3" xfId="418"/>
    <cellStyle name="Note 10" xfId="419"/>
    <cellStyle name="Note 10 2" xfId="420"/>
    <cellStyle name="Note 10 3" xfId="421"/>
    <cellStyle name="Note 11" xfId="422"/>
    <cellStyle name="Note 11 2" xfId="423"/>
    <cellStyle name="Note 11 3" xfId="424"/>
    <cellStyle name="Note 12" xfId="425"/>
    <cellStyle name="Note 12 2" xfId="426"/>
    <cellStyle name="Note 12 3" xfId="427"/>
    <cellStyle name="Note 13" xfId="428"/>
    <cellStyle name="Note 13 2" xfId="429"/>
    <cellStyle name="Note 14" xfId="430"/>
    <cellStyle name="Note 14 2" xfId="431"/>
    <cellStyle name="Note 2" xfId="432"/>
    <cellStyle name="Note 2 2" xfId="433"/>
    <cellStyle name="Note 2 3" xfId="434"/>
    <cellStyle name="Note 3" xfId="435"/>
    <cellStyle name="Note 3 2" xfId="436"/>
    <cellStyle name="Note 3 3" xfId="437"/>
    <cellStyle name="Note 4" xfId="438"/>
    <cellStyle name="Note 4 2" xfId="439"/>
    <cellStyle name="Note 4 3" xfId="440"/>
    <cellStyle name="Note 5" xfId="441"/>
    <cellStyle name="Note 5 2" xfId="442"/>
    <cellStyle name="Note 5 3" xfId="443"/>
    <cellStyle name="Note 6" xfId="444"/>
    <cellStyle name="Note 6 2" xfId="445"/>
    <cellStyle name="Note 6 3" xfId="446"/>
    <cellStyle name="Note 7" xfId="447"/>
    <cellStyle name="Note 7 2" xfId="448"/>
    <cellStyle name="Note 7 3" xfId="449"/>
    <cellStyle name="Note 8" xfId="450"/>
    <cellStyle name="Note 8 2" xfId="451"/>
    <cellStyle name="Note 8 3" xfId="452"/>
    <cellStyle name="Note 9" xfId="453"/>
    <cellStyle name="Note 9 2" xfId="454"/>
    <cellStyle name="Note 9 3" xfId="455"/>
    <cellStyle name="Percent" xfId="464" builtinId="5"/>
    <cellStyle name="Percent 2" xfId="456"/>
    <cellStyle name="Percent 2 2" xfId="457"/>
    <cellStyle name="Percent 2 2 2" xfId="458"/>
    <cellStyle name="Percent 3" xfId="459"/>
    <cellStyle name="Percent 4" xfId="460"/>
    <cellStyle name="Title 2" xfId="461"/>
    <cellStyle name="Title 3" xfId="462"/>
  </cellStyles>
  <dxfs count="0"/>
  <tableStyles count="0" defaultTableStyle="TableStyleMedium2" defaultPivotStyle="PivotStyleLight16"/>
  <colors>
    <mruColors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NAV BY CLASS OF FUNDS (N'Bn)</a:t>
            </a:r>
            <a:endParaRPr lang="en-US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650431515436014"/>
          <c:y val="2.7397260273972601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Jan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-2.838892831795601E-2"/>
                  <c:y val="-7.9147640791476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117-4E31-BCDC-26E650377D3D}"/>
                </c:ext>
              </c:extLst>
            </c:dLbl>
            <c:dLbl>
              <c:idx val="1"/>
              <c:layout>
                <c:manualLayout>
                  <c:x val="-2.7549648025721435E-2"/>
                  <c:y val="-8.2099258140677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145-4DD9-87DD-3354534D9357}"/>
                </c:ext>
              </c:extLst>
            </c:dLbl>
            <c:dLbl>
              <c:idx val="2"/>
              <c:layout>
                <c:manualLayout>
                  <c:x val="-1.0645848119233499E-2"/>
                  <c:y val="-5.1750380517503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117-4E31-BCDC-26E650377D3D}"/>
                </c:ext>
              </c:extLst>
            </c:dLbl>
            <c:dLbl>
              <c:idx val="3"/>
              <c:layout>
                <c:manualLayout>
                  <c:x val="-3.6669032410693164E-2"/>
                  <c:y val="-3.044140030441400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CC5D62F-EE0B-413A-895A-78A1C563D127}" type="VALUE">
                      <a:rPr lang="en-US">
                        <a:solidFill>
                          <a:schemeClr val="bg1"/>
                        </a:solidFill>
                      </a:rPr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145-4DD9-87DD-3354534D9357}"/>
                </c:ext>
              </c:extLst>
            </c:dLbl>
            <c:dLbl>
              <c:idx val="4"/>
              <c:layout>
                <c:manualLayout>
                  <c:x val="-1.4194464158978085E-2"/>
                  <c:y val="-5.479452054794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117-4E31-BCDC-26E650377D3D}"/>
                </c:ext>
              </c:extLst>
            </c:dLbl>
            <c:dLbl>
              <c:idx val="6"/>
              <c:layout>
                <c:manualLayout>
                  <c:x val="-1.7743080198722498E-2"/>
                  <c:y val="-4.8706240487062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117-4E31-BCDC-26E650377D3D}"/>
                </c:ext>
              </c:extLst>
            </c:dLbl>
            <c:dLbl>
              <c:idx val="7"/>
              <c:layout>
                <c:manualLayout>
                  <c:x val="-2.36574402649642E-3"/>
                  <c:y val="-3.6529680365296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117-4E31-BCDC-26E650377D3D}"/>
                </c:ext>
              </c:extLst>
            </c:dLbl>
            <c:dLbl>
              <c:idx val="8"/>
              <c:layout>
                <c:manualLayout>
                  <c:x val="-1.4194464158977998E-2"/>
                  <c:y val="-5.7838660578386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117-4E31-BCDC-26E650377D3D}"/>
                </c:ext>
              </c:extLst>
            </c:dLbl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Comparison'!$B$5:$B$13</c:f>
              <c:numCache>
                <c:formatCode>0.00</c:formatCode>
                <c:ptCount val="9"/>
                <c:pt idx="0">
                  <c:v>100.45174506524</c:v>
                </c:pt>
                <c:pt idx="1">
                  <c:v>5189.288413032009</c:v>
                </c:pt>
                <c:pt idx="2">
                  <c:v>240.76536151262999</c:v>
                </c:pt>
                <c:pt idx="3">
                  <c:v>1875.9569024292011</c:v>
                </c:pt>
                <c:pt idx="4">
                  <c:v>513.36709383830998</c:v>
                </c:pt>
                <c:pt idx="5">
                  <c:v>94.530140413209992</c:v>
                </c:pt>
                <c:pt idx="6">
                  <c:v>9.6636794293600001</c:v>
                </c:pt>
                <c:pt idx="7">
                  <c:v>85.494358341669994</c:v>
                </c:pt>
                <c:pt idx="8">
                  <c:v>20.4383178947628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2-41BB-96D6-66BFD7E47103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Feb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2.3657440264963333E-3"/>
                  <c:y val="-0.10350076103500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117-4E31-BCDC-26E650377D3D}"/>
                </c:ext>
              </c:extLst>
            </c:dLbl>
            <c:dLbl>
              <c:idx val="1"/>
              <c:layout>
                <c:manualLayout>
                  <c:x val="7.0972320794889555E-3"/>
                  <c:y val="-8.8280060882800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117-4E31-BCDC-26E650377D3D}"/>
                </c:ext>
              </c:extLst>
            </c:dLbl>
            <c:dLbl>
              <c:idx val="2"/>
              <c:layout>
                <c:manualLayout>
                  <c:x val="-3.5486160397444995E-3"/>
                  <c:y val="-7.3059360730593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117-4E31-BCDC-26E650377D3D}"/>
                </c:ext>
              </c:extLst>
            </c:dLbl>
            <c:dLbl>
              <c:idx val="3"/>
              <c:layout>
                <c:manualLayout>
                  <c:x val="4.7314880529926665E-3"/>
                  <c:y val="-5.7838660578386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145-4DD9-87DD-3354534D9357}"/>
                </c:ext>
              </c:extLst>
            </c:dLbl>
            <c:dLbl>
              <c:idx val="4"/>
              <c:layout>
                <c:manualLayout>
                  <c:x val="-3.5486160397444995E-3"/>
                  <c:y val="-9.1324200913242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117-4E31-BCDC-26E650377D3D}"/>
                </c:ext>
              </c:extLst>
            </c:dLbl>
            <c:dLbl>
              <c:idx val="5"/>
              <c:layout>
                <c:manualLayout>
                  <c:x val="-1.0645848119233499E-2"/>
                  <c:y val="-7.0015220700152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117-4E31-BCDC-26E650377D3D}"/>
                </c:ext>
              </c:extLst>
            </c:dLbl>
            <c:dLbl>
              <c:idx val="6"/>
              <c:layout>
                <c:manualLayout>
                  <c:x val="-4.7314880529926665E-3"/>
                  <c:y val="-7.3059360730593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117-4E31-BCDC-26E650377D3D}"/>
                </c:ext>
              </c:extLst>
            </c:dLbl>
            <c:dLbl>
              <c:idx val="7"/>
              <c:layout>
                <c:manualLayout>
                  <c:x val="4.7314880529926665E-3"/>
                  <c:y val="-8.2191780821917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117-4E31-BCDC-26E650377D3D}"/>
                </c:ext>
              </c:extLst>
            </c:dLbl>
            <c:dLbl>
              <c:idx val="8"/>
              <c:layout>
                <c:manualLayout>
                  <c:x val="1.1828720132481666E-3"/>
                  <c:y val="-8.5235920852359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117-4E31-BCDC-26E650377D3D}"/>
                </c:ext>
              </c:extLst>
            </c:dLbl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Comparison'!$C$5:$C$13</c:f>
              <c:numCache>
                <c:formatCode>0.00</c:formatCode>
                <c:ptCount val="9"/>
                <c:pt idx="0">
                  <c:v>148.292010503</c:v>
                </c:pt>
                <c:pt idx="1">
                  <c:v>5317.5723324362407</c:v>
                </c:pt>
                <c:pt idx="2">
                  <c:v>245.02251479789004</c:v>
                </c:pt>
                <c:pt idx="3">
                  <c:v>1836.1119737791648</c:v>
                </c:pt>
                <c:pt idx="4">
                  <c:v>501.58741494934998</c:v>
                </c:pt>
                <c:pt idx="5">
                  <c:v>115.15745344782</c:v>
                </c:pt>
                <c:pt idx="6">
                  <c:v>13.45514408373</c:v>
                </c:pt>
                <c:pt idx="7">
                  <c:v>104.38107421831002</c:v>
                </c:pt>
                <c:pt idx="8">
                  <c:v>30.015611170228798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C2-41BB-96D6-66BFD7E47103}"/>
            </c:ext>
          </c:extLst>
        </c:ser>
        <c:ser>
          <c:idx val="2"/>
          <c:order val="2"/>
          <c:tx>
            <c:strRef>
              <c:f>'NAV Comparison'!$D$4</c:f>
              <c:strCache>
                <c:ptCount val="1"/>
                <c:pt idx="0">
                  <c:v>Mar 2026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1.1828720132481665E-2"/>
                  <c:y val="-5.7838660578386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117-4E31-BCDC-26E650377D3D}"/>
                </c:ext>
              </c:extLst>
            </c:dLbl>
            <c:dLbl>
              <c:idx val="1"/>
              <c:layout>
                <c:manualLayout>
                  <c:x val="3.3120416370948619E-2"/>
                  <c:y val="-1.8264840182648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117-4E31-BCDC-26E650377D3D}"/>
                </c:ext>
              </c:extLst>
            </c:dLbl>
            <c:dLbl>
              <c:idx val="2"/>
              <c:layout>
                <c:manualLayout>
                  <c:x val="1.1828720132481665E-2"/>
                  <c:y val="-5.7838660578386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117-4E31-BCDC-26E650377D3D}"/>
                </c:ext>
              </c:extLst>
            </c:dLbl>
            <c:dLbl>
              <c:idx val="3"/>
              <c:layout>
                <c:manualLayout>
                  <c:x val="6.1509344688904663E-2"/>
                  <c:y val="-4.8706240487062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145-4DD9-87DD-3354534D9357}"/>
                </c:ext>
              </c:extLst>
            </c:dLbl>
            <c:dLbl>
              <c:idx val="4"/>
              <c:layout>
                <c:manualLayout>
                  <c:x val="1.5377336172226079E-2"/>
                  <c:y val="-0.1035007610350076"/>
                </c:manualLayout>
              </c:layout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117-4E31-BCDC-26E650377D3D}"/>
                </c:ext>
              </c:extLst>
            </c:dLbl>
            <c:dLbl>
              <c:idx val="6"/>
              <c:layout>
                <c:manualLayout>
                  <c:x val="1.4194464158977911E-2"/>
                  <c:y val="-7.9147640791476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117-4E31-BCDC-26E650377D3D}"/>
                </c:ext>
              </c:extLst>
            </c:dLbl>
            <c:dLbl>
              <c:idx val="7"/>
              <c:layout>
                <c:manualLayout>
                  <c:x val="3.548616039744326E-3"/>
                  <c:y val="-1.5220700152207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8117-4E31-BCDC-26E650377D3D}"/>
                </c:ext>
              </c:extLst>
            </c:dLbl>
            <c:dLbl>
              <c:idx val="8"/>
              <c:layout>
                <c:manualLayout>
                  <c:x val="2.1291696238466998E-2"/>
                  <c:y val="-5.4794520547945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117-4E31-BCDC-26E650377D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Comparison'!$D$5:$D$13</c:f>
              <c:numCache>
                <c:formatCode>0.00</c:formatCode>
                <c:ptCount val="9"/>
                <c:pt idx="0">
                  <c:v>173.98232943505002</c:v>
                </c:pt>
                <c:pt idx="1">
                  <c:v>5508.7678824549757</c:v>
                </c:pt>
                <c:pt idx="2">
                  <c:v>252.51131166487002</c:v>
                </c:pt>
                <c:pt idx="3">
                  <c:v>1854.4930716484598</c:v>
                </c:pt>
                <c:pt idx="4">
                  <c:v>525.40523414826998</c:v>
                </c:pt>
                <c:pt idx="5">
                  <c:v>122.05416232452002</c:v>
                </c:pt>
                <c:pt idx="6">
                  <c:v>14.888870245850001</c:v>
                </c:pt>
                <c:pt idx="7">
                  <c:v>113.76642563845998</c:v>
                </c:pt>
                <c:pt idx="8">
                  <c:v>30.181266886718799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C2-41BB-96D6-66BFD7E47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0593055"/>
        <c:axId val="1180600543"/>
        <c:axId val="0"/>
      </c:bar3DChart>
      <c:catAx>
        <c:axId val="118059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600543"/>
        <c:crosses val="autoZero"/>
        <c:auto val="1"/>
        <c:lblAlgn val="ctr"/>
        <c:lblOffset val="100"/>
        <c:noMultiLvlLbl val="0"/>
      </c:catAx>
      <c:valAx>
        <c:axId val="1180600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593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430612036398778"/>
          <c:y val="0.16516634114243717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Mar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C18-4D5B-93F2-F392B61358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C18-4D5B-93F2-F392B61358B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C18-4D5B-93F2-F392B61358B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C18-4D5B-93F2-F392B61358B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C18-4D5B-93F2-F392B61358B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C18-4D5B-93F2-F392B61358B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C18-4D5B-93F2-F392B61358B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C18-4D5B-93F2-F392B61358BF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18-4D5B-93F2-F392B61358BF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C18-4D5B-93F2-F392B61358BF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18-4D5B-93F2-F392B61358BF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C18-4D5B-93F2-F392B61358BF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C18-4D5B-93F2-F392B61358BF}"/>
                </c:ext>
              </c:extLst>
            </c:dLbl>
            <c:dLbl>
              <c:idx val="5"/>
              <c:layout>
                <c:manualLayout>
                  <c:x val="2.964929024123427E-2"/>
                  <c:y val="-0.1520708413635106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C18-4D5B-93F2-F392B61358BF}"/>
                </c:ext>
              </c:extLst>
            </c:dLbl>
            <c:dLbl>
              <c:idx val="6"/>
              <c:layout>
                <c:manualLayout>
                  <c:x val="0.1591371302216133"/>
                  <c:y val="4.05882891525260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C18-4D5B-93F2-F392B61358BF}"/>
                </c:ext>
              </c:extLst>
            </c:dLbl>
            <c:dLbl>
              <c:idx val="7"/>
              <c:layout>
                <c:manualLayout>
                  <c:x val="0.11216943084253583"/>
                  <c:y val="0.119724120513617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C18-4D5B-93F2-F392B61358BF}"/>
                </c:ext>
              </c:extLst>
            </c:dLbl>
            <c:dLbl>
              <c:idx val="8"/>
              <c:layout>
                <c:manualLayout>
                  <c:x val="-0.27590312917245502"/>
                  <c:y val="-0.2512933874582475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612-485C-B4A4-AAD79CF83AD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EQUITY BASED FUNDS</c:v>
                </c:pt>
                <c:pt idx="4">
                  <c:v>BALANCED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_-* #,##0.00_-;\-* #,##0.00_-;_-* "-"??_-;_-@_-</c:formatCode>
                <c:ptCount val="9"/>
                <c:pt idx="0">
                  <c:v>14888870245.85</c:v>
                </c:pt>
                <c:pt idx="1">
                  <c:v>30181266886.7188</c:v>
                </c:pt>
                <c:pt idx="2">
                  <c:v>113766425638.45998</c:v>
                </c:pt>
                <c:pt idx="3" formatCode="#,##0.00">
                  <c:v>173982329435.05002</c:v>
                </c:pt>
                <c:pt idx="4" formatCode="#,##0.00">
                  <c:v>122054162324.52002</c:v>
                </c:pt>
                <c:pt idx="5" formatCode="#,##0.00">
                  <c:v>252511311664.87003</c:v>
                </c:pt>
                <c:pt idx="6" formatCode="#,##0.00">
                  <c:v>525405234148.26996</c:v>
                </c:pt>
                <c:pt idx="7" formatCode="#,##0.00">
                  <c:v>1854493071648.4597</c:v>
                </c:pt>
                <c:pt idx="8" formatCode="#,##0.00">
                  <c:v>5508767882454.9756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18-4D5B-93F2-F392B61358B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Unitholders!$A$6:$A$14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Unitholders!$B$6:$B$14</c:f>
              <c:numCache>
                <c:formatCode>_(* #,##0_);_(* \(#,##0\);_(* "-"??_);_(@_)</c:formatCode>
                <c:ptCount val="9"/>
                <c:pt idx="0">
                  <c:v>83596</c:v>
                </c:pt>
                <c:pt idx="1">
                  <c:v>646478</c:v>
                </c:pt>
                <c:pt idx="2">
                  <c:v>56772</c:v>
                </c:pt>
                <c:pt idx="3">
                  <c:v>26679</c:v>
                </c:pt>
                <c:pt idx="4">
                  <c:v>230174</c:v>
                </c:pt>
                <c:pt idx="5">
                  <c:v>85630</c:v>
                </c:pt>
                <c:pt idx="6">
                  <c:v>15785</c:v>
                </c:pt>
                <c:pt idx="7">
                  <c:v>47016</c:v>
                </c:pt>
                <c:pt idx="8" formatCode="_-* #,##0_-;\-* #,##0_-;_-* &quot;-&quot;??_-;_-@_-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9-4D7C-AC55-08D88FE24A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328697840"/>
        <c:axId val="251602304"/>
      </c:barChart>
      <c:catAx>
        <c:axId val="328697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CLASSES OF FUNDS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602304"/>
        <c:crosses val="autoZero"/>
        <c:auto val="1"/>
        <c:lblAlgn val="ctr"/>
        <c:lblOffset val="100"/>
        <c:noMultiLvlLbl val="0"/>
      </c:catAx>
      <c:valAx>
        <c:axId val="2516023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2869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460375</xdr:colOff>
      <xdr:row>369</xdr:row>
      <xdr:rowOff>119380</xdr:rowOff>
    </xdr:from>
    <xdr:to>
      <xdr:col>8</xdr:col>
      <xdr:colOff>844550</xdr:colOff>
      <xdr:row>369</xdr:row>
      <xdr:rowOff>119380</xdr:rowOff>
    </xdr:to>
    <xdr:cxnSp macro="">
      <xdr:nvCxnSpPr>
        <xdr:cNvPr id="2" name="AutoShape 245">
          <a:extLst>
            <a:ext uri="{FF2B5EF4-FFF2-40B4-BE49-F238E27FC236}">
              <a16:creationId xmlns:a16="http://schemas.microsoft.com/office/drawing/2014/main" id="{6EF4DFCE-FAE0-490A-AAFF-15AAE371A63A}"/>
            </a:ext>
          </a:extLst>
        </xdr:cNvPr>
        <xdr:cNvCxnSpPr>
          <a:cxnSpLocks noChangeShapeType="1"/>
        </xdr:cNvCxnSpPr>
      </xdr:nvCxnSpPr>
      <xdr:spPr bwMode="auto">
        <a:xfrm>
          <a:off x="12696825" y="61619130"/>
          <a:ext cx="1781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612775</xdr:colOff>
      <xdr:row>370</xdr:row>
      <xdr:rowOff>106680</xdr:rowOff>
    </xdr:from>
    <xdr:to>
      <xdr:col>8</xdr:col>
      <xdr:colOff>996950</xdr:colOff>
      <xdr:row>370</xdr:row>
      <xdr:rowOff>106680</xdr:rowOff>
    </xdr:to>
    <xdr:cxnSp macro="">
      <xdr:nvCxnSpPr>
        <xdr:cNvPr id="3" name="AutoShape 245">
          <a:extLst>
            <a:ext uri="{FF2B5EF4-FFF2-40B4-BE49-F238E27FC236}">
              <a16:creationId xmlns:a16="http://schemas.microsoft.com/office/drawing/2014/main" id="{7D875D1D-75B0-4797-82F6-996284F3263B}"/>
            </a:ext>
          </a:extLst>
        </xdr:cNvPr>
        <xdr:cNvCxnSpPr>
          <a:cxnSpLocks noChangeShapeType="1"/>
        </xdr:cNvCxnSpPr>
      </xdr:nvCxnSpPr>
      <xdr:spPr bwMode="auto">
        <a:xfrm>
          <a:off x="12849225" y="61771530"/>
          <a:ext cx="17811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256</xdr:row>
      <xdr:rowOff>127635</xdr:rowOff>
    </xdr:from>
    <xdr:to>
      <xdr:col>10</xdr:col>
      <xdr:colOff>1416050</xdr:colOff>
      <xdr:row>256</xdr:row>
      <xdr:rowOff>127635</xdr:rowOff>
    </xdr:to>
    <xdr:cxnSp macro="">
      <xdr:nvCxnSpPr>
        <xdr:cNvPr id="4" name="AutoShape 159">
          <a:extLst>
            <a:ext uri="{FF2B5EF4-FFF2-40B4-BE49-F238E27FC236}">
              <a16:creationId xmlns:a16="http://schemas.microsoft.com/office/drawing/2014/main" id="{0ABC9404-435E-4F8B-9978-5586C67060F8}"/>
            </a:ext>
          </a:extLst>
        </xdr:cNvPr>
        <xdr:cNvCxnSpPr>
          <a:cxnSpLocks noChangeShapeType="1"/>
        </xdr:cNvCxnSpPr>
      </xdr:nvCxnSpPr>
      <xdr:spPr bwMode="auto">
        <a:xfrm>
          <a:off x="13633450" y="42971085"/>
          <a:ext cx="35814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495300</xdr:colOff>
      <xdr:row>22</xdr:row>
      <xdr:rowOff>80010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Update%20on%20Registered%20Mutual%20Funds%20as%20at%20February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ruary"/>
      <sheetName val="NAV Comparison"/>
      <sheetName val="Market Share"/>
      <sheetName val="Unitholders"/>
    </sheetNames>
    <sheetDataSet>
      <sheetData sheetId="0">
        <row r="25">
          <cell r="K25">
            <v>148292010503</v>
          </cell>
        </row>
        <row r="72">
          <cell r="K72">
            <v>5317572332436.2402</v>
          </cell>
        </row>
        <row r="114">
          <cell r="K114">
            <v>245022514797.89005</v>
          </cell>
        </row>
        <row r="156">
          <cell r="K156">
            <v>1836111973779.1648</v>
          </cell>
        </row>
        <row r="165">
          <cell r="K165">
            <v>501587414949.34998</v>
          </cell>
        </row>
        <row r="197">
          <cell r="K197">
            <v>115157453447.82001</v>
          </cell>
        </row>
        <row r="202">
          <cell r="K202">
            <v>13455144083.73</v>
          </cell>
        </row>
        <row r="230">
          <cell r="K230">
            <v>104381074218.31001</v>
          </cell>
        </row>
        <row r="239">
          <cell r="K239">
            <v>30015611170.228798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250"/>
  <sheetViews>
    <sheetView tabSelected="1" view="pageBreakPreview" zoomScaleNormal="70" zoomScaleSheetLayoutView="100" workbookViewId="0">
      <pane ySplit="2" topLeftCell="A3" activePane="bottomLeft" state="frozen"/>
      <selection pane="bottomLeft" activeCell="A3" sqref="A3:V3"/>
    </sheetView>
  </sheetViews>
  <sheetFormatPr defaultColWidth="9" defaultRowHeight="13.8"/>
  <cols>
    <col min="1" max="1" width="6.77734375" style="5" customWidth="1"/>
    <col min="2" max="2" width="44.77734375" style="5" customWidth="1"/>
    <col min="3" max="3" width="43.77734375" style="15" customWidth="1"/>
    <col min="4" max="4" width="21.5546875" style="4" customWidth="1"/>
    <col min="5" max="6" width="19.21875" style="4" customWidth="1"/>
    <col min="7" max="7" width="19.77734375" style="4" customWidth="1"/>
    <col min="8" max="8" width="20" style="4" customWidth="1"/>
    <col min="9" max="9" width="22" style="4" customWidth="1"/>
    <col min="10" max="10" width="9" style="4"/>
    <col min="11" max="11" width="24.5546875" style="4" customWidth="1"/>
    <col min="12" max="12" width="9" style="4"/>
    <col min="13" max="13" width="11.5546875" style="4" customWidth="1"/>
    <col min="14" max="14" width="12.21875" style="4" customWidth="1"/>
    <col min="15" max="15" width="12.5546875" style="4" customWidth="1"/>
    <col min="16" max="17" width="12.21875" style="4" customWidth="1"/>
    <col min="18" max="18" width="14.44140625" style="4" customWidth="1"/>
    <col min="19" max="19" width="13.21875" style="4" customWidth="1"/>
    <col min="20" max="20" width="16.44140625" style="4" customWidth="1"/>
    <col min="21" max="22" width="20.21875" style="4" customWidth="1"/>
    <col min="23" max="16384" width="9" style="4"/>
  </cols>
  <sheetData>
    <row r="1" spans="1:23" ht="40.049999999999997" customHeight="1">
      <c r="A1" s="133" t="s">
        <v>329</v>
      </c>
      <c r="B1" s="133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5"/>
    </row>
    <row r="2" spans="1:23" ht="42.6" customHeight="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3" t="s">
        <v>7</v>
      </c>
      <c r="I2" s="30" t="s">
        <v>318</v>
      </c>
      <c r="J2" s="30" t="s">
        <v>8</v>
      </c>
      <c r="K2" s="30" t="s">
        <v>9</v>
      </c>
      <c r="L2" s="30" t="s">
        <v>8</v>
      </c>
      <c r="M2" s="30" t="s">
        <v>10</v>
      </c>
      <c r="N2" s="30" t="s">
        <v>11</v>
      </c>
      <c r="O2" s="30" t="s">
        <v>12</v>
      </c>
      <c r="P2" s="30" t="s">
        <v>13</v>
      </c>
      <c r="Q2" s="30" t="s">
        <v>14</v>
      </c>
      <c r="R2" s="30" t="s">
        <v>15</v>
      </c>
      <c r="S2" s="30" t="s">
        <v>16</v>
      </c>
      <c r="T2" s="30" t="s">
        <v>17</v>
      </c>
      <c r="U2" s="30" t="s">
        <v>18</v>
      </c>
      <c r="V2" s="30" t="s">
        <v>19</v>
      </c>
    </row>
    <row r="3" spans="1:23" ht="6" customHeight="1">
      <c r="A3" s="117" t="s">
        <v>310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</row>
    <row r="4" spans="1:23" ht="16.5" customHeight="1">
      <c r="A4" s="117" t="s">
        <v>20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3" ht="15" customHeight="1">
      <c r="A5" s="116">
        <v>1</v>
      </c>
      <c r="B5" s="19" t="s">
        <v>21</v>
      </c>
      <c r="C5" s="19" t="s">
        <v>22</v>
      </c>
      <c r="D5" s="10">
        <v>10275316560.559999</v>
      </c>
      <c r="E5" s="10">
        <v>36836891.990000002</v>
      </c>
      <c r="F5" s="10">
        <v>2898841999.0799999</v>
      </c>
      <c r="G5" s="10">
        <v>17000690.25</v>
      </c>
      <c r="H5" s="12">
        <f>(E5+F5)-G5</f>
        <v>2918678200.8199997</v>
      </c>
      <c r="I5" s="29">
        <v>9075103571.3500004</v>
      </c>
      <c r="J5" s="13">
        <f t="shared" ref="J5:J24" si="0">(I5/$I$25)</f>
        <v>6.1197521974161971E-2</v>
      </c>
      <c r="K5" s="29">
        <v>10355862274.77</v>
      </c>
      <c r="L5" s="13">
        <f>(K5/$K$25)</f>
        <v>5.9522494660217695E-2</v>
      </c>
      <c r="M5" s="13">
        <f t="shared" ref="M5:M25" si="1">((K5-I5)/I5)</f>
        <v>0.14112882496055923</v>
      </c>
      <c r="N5" s="20">
        <f t="shared" ref="N5" si="2">(G5/K5)</f>
        <v>1.6416489326455028E-3</v>
      </c>
      <c r="O5" s="21">
        <f t="shared" ref="O5" si="3">H5/K5</f>
        <v>0.28183825966194809</v>
      </c>
      <c r="P5" s="22">
        <f t="shared" ref="P5" si="4">K5/V5</f>
        <v>789.62071781278053</v>
      </c>
      <c r="Q5" s="22">
        <f t="shared" ref="Q5" si="5">H5/V5</f>
        <v>222.54532890137227</v>
      </c>
      <c r="R5" s="10">
        <v>789.62</v>
      </c>
      <c r="S5" s="10">
        <v>793</v>
      </c>
      <c r="T5" s="10">
        <v>1705</v>
      </c>
      <c r="U5" s="10">
        <v>11736003.460000001</v>
      </c>
      <c r="V5" s="10">
        <v>13114982.98</v>
      </c>
    </row>
    <row r="6" spans="1:23">
      <c r="A6" s="116">
        <v>2</v>
      </c>
      <c r="B6" s="19" t="s">
        <v>23</v>
      </c>
      <c r="C6" s="19" t="s">
        <v>24</v>
      </c>
      <c r="D6" s="10">
        <v>1773198932.1300001</v>
      </c>
      <c r="E6" s="10">
        <v>3145268.51</v>
      </c>
      <c r="F6" s="10">
        <v>0</v>
      </c>
      <c r="G6" s="10">
        <v>2345710.4500000002</v>
      </c>
      <c r="H6" s="12">
        <f t="shared" ref="H6:H24" si="6">(E6+F6)-G6</f>
        <v>799558.05999999959</v>
      </c>
      <c r="I6" s="29">
        <v>1720896225.02</v>
      </c>
      <c r="J6" s="13">
        <f t="shared" si="0"/>
        <v>1.1604780454340024E-2</v>
      </c>
      <c r="K6" s="29">
        <v>1800777795.9400001</v>
      </c>
      <c r="L6" s="13">
        <f t="shared" ref="L6:L24" si="7">(K6/$K$25)</f>
        <v>1.0350348807188808E-2</v>
      </c>
      <c r="M6" s="13">
        <f t="shared" ref="M6:M24" si="8">((K6-I6)/I6)</f>
        <v>4.6418586872704483E-2</v>
      </c>
      <c r="N6" s="20">
        <f t="shared" ref="N6:N24" si="9">(G6/K6)</f>
        <v>1.3026096030774009E-3</v>
      </c>
      <c r="O6" s="21">
        <f t="shared" ref="O6:O24" si="10">H6/K6</f>
        <v>4.440070628384403E-4</v>
      </c>
      <c r="P6" s="22">
        <f t="shared" ref="P6:P24" si="11">K6/V6</f>
        <v>535.55895876751879</v>
      </c>
      <c r="Q6" s="22">
        <f t="shared" ref="Q6:Q24" si="12">H6/V6</f>
        <v>0.23779196025917937</v>
      </c>
      <c r="R6" s="10">
        <v>530.41</v>
      </c>
      <c r="S6" s="10">
        <v>537.24</v>
      </c>
      <c r="T6" s="10">
        <v>596</v>
      </c>
      <c r="U6" s="10">
        <v>3025718.26</v>
      </c>
      <c r="V6" s="10">
        <v>3362426.8</v>
      </c>
    </row>
    <row r="7" spans="1:23">
      <c r="A7" s="116">
        <v>3</v>
      </c>
      <c r="B7" s="19" t="s">
        <v>25</v>
      </c>
      <c r="C7" s="76" t="s">
        <v>26</v>
      </c>
      <c r="D7" s="10">
        <v>9561932406</v>
      </c>
      <c r="E7" s="10">
        <v>28517764</v>
      </c>
      <c r="F7" s="10">
        <v>313350091</v>
      </c>
      <c r="G7" s="10">
        <v>24726024</v>
      </c>
      <c r="H7" s="12">
        <f t="shared" si="6"/>
        <v>317141831</v>
      </c>
      <c r="I7" s="29">
        <v>11470467645</v>
      </c>
      <c r="J7" s="13">
        <f t="shared" si="0"/>
        <v>7.7350543741990394E-2</v>
      </c>
      <c r="K7" s="29">
        <v>13161914569</v>
      </c>
      <c r="L7" s="13">
        <f t="shared" si="7"/>
        <v>7.5650869900057996E-2</v>
      </c>
      <c r="M7" s="13">
        <f t="shared" si="8"/>
        <v>0.14746102568340402</v>
      </c>
      <c r="N7" s="20">
        <f t="shared" si="9"/>
        <v>1.8786038969008901E-3</v>
      </c>
      <c r="O7" s="21">
        <f t="shared" si="10"/>
        <v>2.4095417831305331E-2</v>
      </c>
      <c r="P7" s="22">
        <f t="shared" si="11"/>
        <v>66.855784305321421</v>
      </c>
      <c r="Q7" s="22">
        <f t="shared" si="12"/>
        <v>1.6109180572763449</v>
      </c>
      <c r="R7" s="10">
        <v>66.521500000000003</v>
      </c>
      <c r="S7" s="10">
        <v>68.527199999999993</v>
      </c>
      <c r="T7" s="10">
        <v>10175</v>
      </c>
      <c r="U7" s="10">
        <v>176872210</v>
      </c>
      <c r="V7" s="10">
        <v>196870244</v>
      </c>
    </row>
    <row r="8" spans="1:23">
      <c r="A8" s="116">
        <v>4</v>
      </c>
      <c r="B8" s="80" t="s">
        <v>27</v>
      </c>
      <c r="C8" s="80" t="s">
        <v>28</v>
      </c>
      <c r="D8" s="10">
        <v>1673718574.75</v>
      </c>
      <c r="E8" s="10">
        <v>11230414.220000001</v>
      </c>
      <c r="F8" s="10">
        <v>0</v>
      </c>
      <c r="G8" s="10">
        <v>5815863.7000000002</v>
      </c>
      <c r="H8" s="12">
        <f t="shared" si="6"/>
        <v>5414550.5200000005</v>
      </c>
      <c r="I8" s="29">
        <v>1825932338.46</v>
      </c>
      <c r="J8" s="13">
        <f t="shared" si="0"/>
        <v>1.2313086404766633E-2</v>
      </c>
      <c r="K8" s="29">
        <v>2341171278.9699998</v>
      </c>
      <c r="L8" s="13">
        <f t="shared" si="7"/>
        <v>1.3456373912064392E-2</v>
      </c>
      <c r="M8" s="13">
        <f t="shared" si="8"/>
        <v>0.28217855046291296</v>
      </c>
      <c r="N8" s="20">
        <f t="shared" si="9"/>
        <v>2.4841683956411315E-3</v>
      </c>
      <c r="O8" s="21">
        <f t="shared" si="10"/>
        <v>2.312752838135848E-3</v>
      </c>
      <c r="P8" s="22">
        <f t="shared" si="11"/>
        <v>316.35276714303529</v>
      </c>
      <c r="Q8" s="22">
        <f t="shared" si="12"/>
        <v>0.73164576006218396</v>
      </c>
      <c r="R8" s="10">
        <v>316.3528</v>
      </c>
      <c r="S8" s="10">
        <v>316.49450000000002</v>
      </c>
      <c r="T8" s="10">
        <v>2502</v>
      </c>
      <c r="U8" s="10">
        <v>5786763.0199999996</v>
      </c>
      <c r="V8" s="10">
        <v>7400508.2999999998</v>
      </c>
    </row>
    <row r="9" spans="1:23">
      <c r="A9" s="116">
        <v>5</v>
      </c>
      <c r="B9" s="19" t="s">
        <v>201</v>
      </c>
      <c r="C9" s="76" t="s">
        <v>102</v>
      </c>
      <c r="D9" s="10">
        <v>6526732277.1300001</v>
      </c>
      <c r="E9" s="10">
        <v>44690703.700000003</v>
      </c>
      <c r="F9" s="10">
        <v>169423336.55000001</v>
      </c>
      <c r="G9" s="10">
        <v>7177780.3899999997</v>
      </c>
      <c r="H9" s="12">
        <f t="shared" si="6"/>
        <v>206936259.86000001</v>
      </c>
      <c r="I9" s="29">
        <v>4688856602.9300003</v>
      </c>
      <c r="J9" s="13">
        <f t="shared" si="0"/>
        <v>3.1619077703684807E-2</v>
      </c>
      <c r="K9" s="29">
        <v>6507784136.6199999</v>
      </c>
      <c r="L9" s="13">
        <f t="shared" si="7"/>
        <v>3.7404856905594225E-2</v>
      </c>
      <c r="M9" s="13">
        <f t="shared" si="8"/>
        <v>0.38792560483794225</v>
      </c>
      <c r="N9" s="20">
        <f t="shared" si="9"/>
        <v>1.1029530542677128E-3</v>
      </c>
      <c r="O9" s="21">
        <f t="shared" si="10"/>
        <v>3.1798267354251578E-2</v>
      </c>
      <c r="P9" s="22">
        <f t="shared" si="11"/>
        <v>2.4723288233147693</v>
      </c>
      <c r="Q9" s="22">
        <f t="shared" si="12"/>
        <v>7.8615772911385245E-2</v>
      </c>
      <c r="R9" s="10">
        <v>2.4409999999999998</v>
      </c>
      <c r="S9" s="10">
        <v>2.4695</v>
      </c>
      <c r="T9" s="10">
        <v>1886</v>
      </c>
      <c r="U9" s="10">
        <v>2016263701.98</v>
      </c>
      <c r="V9" s="10">
        <v>2632248621.3200002</v>
      </c>
    </row>
    <row r="10" spans="1:23">
      <c r="A10" s="116">
        <v>6</v>
      </c>
      <c r="B10" s="71" t="s">
        <v>200</v>
      </c>
      <c r="C10" s="72" t="s">
        <v>48</v>
      </c>
      <c r="D10" s="10">
        <v>516001706.92000002</v>
      </c>
      <c r="E10" s="10">
        <v>449107.62</v>
      </c>
      <c r="F10" s="17">
        <v>143427177.88</v>
      </c>
      <c r="G10" s="10">
        <v>836560.83</v>
      </c>
      <c r="H10" s="12">
        <f t="shared" si="6"/>
        <v>143039724.66999999</v>
      </c>
      <c r="I10" s="17">
        <v>500184612.32999998</v>
      </c>
      <c r="J10" s="13">
        <f t="shared" si="0"/>
        <v>3.3729707395118301E-3</v>
      </c>
      <c r="K10" s="17">
        <v>560602200.09000003</v>
      </c>
      <c r="L10" s="13">
        <f t="shared" si="7"/>
        <v>3.2221789529452215E-3</v>
      </c>
      <c r="M10" s="13">
        <f t="shared" si="8"/>
        <v>0.12079057666040147</v>
      </c>
      <c r="N10" s="20">
        <f t="shared" si="9"/>
        <v>1.492253918849582E-3</v>
      </c>
      <c r="O10" s="21">
        <f t="shared" si="10"/>
        <v>0.25515369837477653</v>
      </c>
      <c r="P10" s="22">
        <f t="shared" si="11"/>
        <v>280.20367042675593</v>
      </c>
      <c r="Q10" s="22">
        <f t="shared" si="12"/>
        <v>71.495002807573769</v>
      </c>
      <c r="R10" s="10">
        <v>280.2</v>
      </c>
      <c r="S10" s="10">
        <v>280.2</v>
      </c>
      <c r="T10" s="10">
        <v>172</v>
      </c>
      <c r="U10" s="10">
        <v>1804596.79</v>
      </c>
      <c r="V10" s="10">
        <v>2000695.42</v>
      </c>
    </row>
    <row r="11" spans="1:23">
      <c r="A11" s="116">
        <v>7</v>
      </c>
      <c r="B11" s="19" t="s">
        <v>29</v>
      </c>
      <c r="C11" s="19" t="s">
        <v>30</v>
      </c>
      <c r="D11" s="10">
        <v>5208769262.6899996</v>
      </c>
      <c r="E11" s="10">
        <v>15015530.449999999</v>
      </c>
      <c r="F11" s="10">
        <v>76742881.140000001</v>
      </c>
      <c r="G11" s="10">
        <v>8646326.5800000001</v>
      </c>
      <c r="H11" s="12">
        <f t="shared" si="6"/>
        <v>83112085.010000005</v>
      </c>
      <c r="I11" s="29">
        <v>4792426921.9499998</v>
      </c>
      <c r="J11" s="13">
        <f t="shared" si="0"/>
        <v>3.2317499140340045E-2</v>
      </c>
      <c r="K11" s="29">
        <v>5098005630.9399996</v>
      </c>
      <c r="L11" s="13">
        <f t="shared" si="7"/>
        <v>2.930185868584519E-2</v>
      </c>
      <c r="M11" s="13">
        <f t="shared" si="8"/>
        <v>6.3762831226576583E-2</v>
      </c>
      <c r="N11" s="20">
        <f t="shared" si="9"/>
        <v>1.6960213867801752E-3</v>
      </c>
      <c r="O11" s="21">
        <f t="shared" si="10"/>
        <v>1.6302862536202285E-2</v>
      </c>
      <c r="P11" s="22">
        <f t="shared" si="11"/>
        <v>556.8727687581237</v>
      </c>
      <c r="Q11" s="22">
        <f t="shared" si="12"/>
        <v>9.0786201992180526</v>
      </c>
      <c r="R11" s="10">
        <v>556.87</v>
      </c>
      <c r="S11" s="10">
        <v>565.30999999999995</v>
      </c>
      <c r="T11" s="10">
        <v>2023</v>
      </c>
      <c r="U11" s="10">
        <v>8432543.0500000007</v>
      </c>
      <c r="V11" s="10">
        <v>9154704.4800000004</v>
      </c>
    </row>
    <row r="12" spans="1:23">
      <c r="A12" s="116">
        <v>8</v>
      </c>
      <c r="B12" s="19" t="s">
        <v>31</v>
      </c>
      <c r="C12" s="76" t="s">
        <v>32</v>
      </c>
      <c r="D12" s="10">
        <v>568112337.5</v>
      </c>
      <c r="E12" s="10">
        <v>13786371.48</v>
      </c>
      <c r="F12" s="10">
        <v>113423095.7</v>
      </c>
      <c r="G12" s="10">
        <v>1830091.73</v>
      </c>
      <c r="H12" s="12">
        <f t="shared" si="6"/>
        <v>125379375.45</v>
      </c>
      <c r="I12" s="29">
        <v>597591858.87</v>
      </c>
      <c r="J12" s="13">
        <f t="shared" si="0"/>
        <v>4.0298317950036187E-3</v>
      </c>
      <c r="K12" s="29">
        <v>558572392.21000004</v>
      </c>
      <c r="L12" s="13">
        <f t="shared" si="7"/>
        <v>3.2105122056002976E-3</v>
      </c>
      <c r="M12" s="13">
        <f t="shared" si="8"/>
        <v>-6.5294508418810723E-2</v>
      </c>
      <c r="N12" s="20">
        <f t="shared" si="9"/>
        <v>3.2763734039185405E-3</v>
      </c>
      <c r="O12" s="21">
        <f t="shared" si="10"/>
        <v>0.22446396778389749</v>
      </c>
      <c r="P12" s="22">
        <f t="shared" si="11"/>
        <v>279.01067306534799</v>
      </c>
      <c r="Q12" s="22">
        <f t="shared" si="12"/>
        <v>62.627842730303826</v>
      </c>
      <c r="R12" s="10">
        <v>279.01</v>
      </c>
      <c r="S12" s="10">
        <v>291.22000000000003</v>
      </c>
      <c r="T12" s="10">
        <v>2475</v>
      </c>
      <c r="U12" s="10">
        <v>2002082</v>
      </c>
      <c r="V12" s="10">
        <v>2001975</v>
      </c>
    </row>
    <row r="13" spans="1:23">
      <c r="A13" s="116">
        <v>9</v>
      </c>
      <c r="B13" s="19" t="s">
        <v>33</v>
      </c>
      <c r="C13" s="19" t="s">
        <v>34</v>
      </c>
      <c r="D13" s="10">
        <v>111894665.97</v>
      </c>
      <c r="E13" s="10">
        <v>235418.55</v>
      </c>
      <c r="F13" s="10">
        <v>19840433.82</v>
      </c>
      <c r="G13" s="10">
        <v>4692284.17</v>
      </c>
      <c r="H13" s="12">
        <f t="shared" si="6"/>
        <v>15383568.200000001</v>
      </c>
      <c r="I13" s="29">
        <v>113753795.33</v>
      </c>
      <c r="J13" s="13">
        <f t="shared" si="0"/>
        <v>7.6709321658093455E-4</v>
      </c>
      <c r="K13" s="29">
        <v>121853565.84999999</v>
      </c>
      <c r="L13" s="13">
        <f t="shared" si="7"/>
        <v>7.0037897667929319E-4</v>
      </c>
      <c r="M13" s="13">
        <f t="shared" si="8"/>
        <v>7.1204398029116697E-2</v>
      </c>
      <c r="N13" s="20">
        <f t="shared" si="9"/>
        <v>3.8507565513315668E-2</v>
      </c>
      <c r="O13" s="21">
        <f t="shared" si="10"/>
        <v>0.1262463522728334</v>
      </c>
      <c r="P13" s="22">
        <f t="shared" si="11"/>
        <v>430.67252132067011</v>
      </c>
      <c r="Q13" s="22">
        <f t="shared" si="12"/>
        <v>54.370834840878679</v>
      </c>
      <c r="R13" s="10">
        <v>423.11</v>
      </c>
      <c r="S13" s="10">
        <v>437.12</v>
      </c>
      <c r="T13" s="10">
        <v>40</v>
      </c>
      <c r="U13" s="10">
        <v>277178.69</v>
      </c>
      <c r="V13" s="10">
        <v>282937.87</v>
      </c>
      <c r="W13" s="6"/>
    </row>
    <row r="14" spans="1:23">
      <c r="A14" s="116">
        <v>10</v>
      </c>
      <c r="B14" s="76" t="s">
        <v>35</v>
      </c>
      <c r="C14" s="76" t="s">
        <v>36</v>
      </c>
      <c r="D14" s="10">
        <v>16056875616.92</v>
      </c>
      <c r="E14" s="10">
        <v>53847001.579999998</v>
      </c>
      <c r="F14" s="10">
        <v>317708825.61000001</v>
      </c>
      <c r="G14" s="10">
        <v>26819791.289999999</v>
      </c>
      <c r="H14" s="12">
        <f t="shared" si="6"/>
        <v>344736035.89999998</v>
      </c>
      <c r="I14" s="29">
        <v>12862701261.450001</v>
      </c>
      <c r="J14" s="13">
        <f t="shared" si="0"/>
        <v>8.6739003792721411E-2</v>
      </c>
      <c r="K14" s="29">
        <v>15537353947.969999</v>
      </c>
      <c r="L14" s="13">
        <f t="shared" si="7"/>
        <v>8.9304206918153176E-2</v>
      </c>
      <c r="M14" s="13">
        <f t="shared" si="8"/>
        <v>0.20793864617971292</v>
      </c>
      <c r="N14" s="20">
        <f t="shared" si="9"/>
        <v>1.7261492130392049E-3</v>
      </c>
      <c r="O14" s="21">
        <f t="shared" si="10"/>
        <v>2.218756405076559E-2</v>
      </c>
      <c r="P14" s="22">
        <f t="shared" si="11"/>
        <v>5.1955758986309224</v>
      </c>
      <c r="Q14" s="22">
        <f t="shared" si="12"/>
        <v>0.11527717303148757</v>
      </c>
      <c r="R14" s="10">
        <v>5.2</v>
      </c>
      <c r="S14" s="10">
        <v>5.23</v>
      </c>
      <c r="T14" s="10">
        <v>8417</v>
      </c>
      <c r="U14" s="10">
        <v>2482958539.7399998</v>
      </c>
      <c r="V14" s="10">
        <v>2990496963.4000001</v>
      </c>
    </row>
    <row r="15" spans="1:23">
      <c r="A15" s="116">
        <v>11</v>
      </c>
      <c r="B15" s="71" t="s">
        <v>245</v>
      </c>
      <c r="C15" s="72" t="s">
        <v>268</v>
      </c>
      <c r="D15" s="17">
        <v>333917320.58999997</v>
      </c>
      <c r="E15" s="10">
        <v>4599334.63</v>
      </c>
      <c r="F15" s="10">
        <v>0</v>
      </c>
      <c r="G15" s="10">
        <v>2036097.9</v>
      </c>
      <c r="H15" s="12">
        <f t="shared" si="6"/>
        <v>2563236.73</v>
      </c>
      <c r="I15" s="17">
        <v>363044974.49000001</v>
      </c>
      <c r="J15" s="13">
        <f t="shared" si="0"/>
        <v>2.4481762251288342E-3</v>
      </c>
      <c r="K15" s="17">
        <v>373218700.61000001</v>
      </c>
      <c r="L15" s="13">
        <f t="shared" si="7"/>
        <v>2.1451529119187224E-3</v>
      </c>
      <c r="M15" s="13">
        <f t="shared" si="8"/>
        <v>2.8023321722857888E-2</v>
      </c>
      <c r="N15" s="20">
        <f t="shared" si="9"/>
        <v>5.4555087852568469E-3</v>
      </c>
      <c r="O15" s="21">
        <f t="shared" si="10"/>
        <v>6.8679214782393482E-3</v>
      </c>
      <c r="P15" s="22">
        <f t="shared" si="11"/>
        <v>37.459078921180392</v>
      </c>
      <c r="Q15" s="22">
        <f t="shared" si="12"/>
        <v>0.25726601267783766</v>
      </c>
      <c r="R15" s="10">
        <v>37.459079000000003</v>
      </c>
      <c r="S15" s="10">
        <v>37.733148</v>
      </c>
      <c r="T15" s="10">
        <v>107</v>
      </c>
      <c r="U15" s="17">
        <v>9982123</v>
      </c>
      <c r="V15" s="17">
        <v>9963371</v>
      </c>
    </row>
    <row r="16" spans="1:23">
      <c r="A16" s="116">
        <v>12</v>
      </c>
      <c r="B16" s="19" t="s">
        <v>37</v>
      </c>
      <c r="C16" s="76" t="s">
        <v>38</v>
      </c>
      <c r="D16" s="10">
        <v>3741299311.7199998</v>
      </c>
      <c r="E16" s="10">
        <v>9731597.6199999992</v>
      </c>
      <c r="F16" s="10">
        <v>0</v>
      </c>
      <c r="G16" s="10">
        <v>6574388.7000000002</v>
      </c>
      <c r="H16" s="12">
        <f t="shared" si="6"/>
        <v>3157208.919999999</v>
      </c>
      <c r="I16" s="29">
        <v>3684901733.7600002</v>
      </c>
      <c r="J16" s="13">
        <f t="shared" si="0"/>
        <v>2.4848956604344191E-2</v>
      </c>
      <c r="K16" s="29">
        <v>3714847749.48</v>
      </c>
      <c r="L16" s="13">
        <f t="shared" si="7"/>
        <v>2.1351868098000167E-2</v>
      </c>
      <c r="M16" s="13">
        <f t="shared" si="8"/>
        <v>8.1266795924686639E-3</v>
      </c>
      <c r="N16" s="20">
        <f t="shared" si="9"/>
        <v>1.7697599318626921E-3</v>
      </c>
      <c r="O16" s="21">
        <f t="shared" si="10"/>
        <v>8.4988918332977209E-4</v>
      </c>
      <c r="P16" s="22">
        <f t="shared" si="11"/>
        <v>7.3342379859428934</v>
      </c>
      <c r="Q16" s="22">
        <f t="shared" si="12"/>
        <v>6.2332895322191988E-3</v>
      </c>
      <c r="R16" s="10">
        <v>7.23</v>
      </c>
      <c r="S16" s="10">
        <v>7.39</v>
      </c>
      <c r="T16" s="10">
        <v>3782</v>
      </c>
      <c r="U16" s="10">
        <v>503033984</v>
      </c>
      <c r="V16" s="10">
        <v>506507664</v>
      </c>
    </row>
    <row r="17" spans="1:23">
      <c r="A17" s="116">
        <v>13</v>
      </c>
      <c r="B17" s="19" t="s">
        <v>39</v>
      </c>
      <c r="C17" s="19" t="s">
        <v>40</v>
      </c>
      <c r="D17" s="10">
        <v>7196875490.9899998</v>
      </c>
      <c r="E17" s="10">
        <v>113395254.78</v>
      </c>
      <c r="F17" s="10">
        <v>11111487.65</v>
      </c>
      <c r="G17" s="10">
        <v>5793617.7400000002</v>
      </c>
      <c r="H17" s="12">
        <f t="shared" si="6"/>
        <v>118713124.69000001</v>
      </c>
      <c r="I17" s="29">
        <v>6498211746.1000004</v>
      </c>
      <c r="J17" s="13">
        <f t="shared" si="0"/>
        <v>4.3820376593845828E-2</v>
      </c>
      <c r="K17" s="29">
        <v>7224735220.6899996</v>
      </c>
      <c r="L17" s="13">
        <f t="shared" si="7"/>
        <v>4.1525683925200528E-2</v>
      </c>
      <c r="M17" s="13">
        <f t="shared" si="8"/>
        <v>0.11180360120244361</v>
      </c>
      <c r="N17" s="20">
        <f t="shared" si="9"/>
        <v>8.019141965796056E-4</v>
      </c>
      <c r="O17" s="21">
        <f t="shared" si="10"/>
        <v>1.6431484485415135E-2</v>
      </c>
      <c r="P17" s="22">
        <f t="shared" si="11"/>
        <v>41.392725344659659</v>
      </c>
      <c r="Q17" s="22">
        <f t="shared" si="12"/>
        <v>0.68014392430982507</v>
      </c>
      <c r="R17" s="10">
        <v>42.54</v>
      </c>
      <c r="S17" s="10">
        <v>42.73</v>
      </c>
      <c r="T17" s="10">
        <v>1906</v>
      </c>
      <c r="U17" s="10">
        <v>157486308.52000001</v>
      </c>
      <c r="V17" s="10">
        <v>174541182.31</v>
      </c>
    </row>
    <row r="18" spans="1:23">
      <c r="A18" s="116">
        <v>14</v>
      </c>
      <c r="B18" s="80" t="s">
        <v>41</v>
      </c>
      <c r="C18" s="80" t="s">
        <v>42</v>
      </c>
      <c r="D18" s="10">
        <v>245310877.88999999</v>
      </c>
      <c r="E18" s="10">
        <v>3367139.18</v>
      </c>
      <c r="F18" s="10">
        <v>153482327.31999999</v>
      </c>
      <c r="G18" s="10">
        <v>400016.36</v>
      </c>
      <c r="H18" s="12">
        <f>(E18+F18)-G18</f>
        <v>156449450.13999999</v>
      </c>
      <c r="I18" s="29">
        <v>237369106.91999999</v>
      </c>
      <c r="J18" s="13">
        <f t="shared" si="0"/>
        <v>1.6006870910634657E-3</v>
      </c>
      <c r="K18" s="29">
        <v>254212919.06</v>
      </c>
      <c r="L18" s="13">
        <f t="shared" si="7"/>
        <v>1.4611421739522182E-3</v>
      </c>
      <c r="M18" s="13">
        <f t="shared" si="8"/>
        <v>7.096042260325329E-2</v>
      </c>
      <c r="N18" s="20">
        <f t="shared" si="9"/>
        <v>1.5735485099621829E-3</v>
      </c>
      <c r="O18" s="21">
        <f t="shared" si="10"/>
        <v>0.61542682692327833</v>
      </c>
      <c r="P18" s="22">
        <f t="shared" si="11"/>
        <v>2.6497937782713872</v>
      </c>
      <c r="Q18" s="22">
        <f t="shared" si="12"/>
        <v>1.6307541769626046</v>
      </c>
      <c r="R18" s="10">
        <v>2.57</v>
      </c>
      <c r="S18" s="10">
        <v>2.64</v>
      </c>
      <c r="T18" s="10">
        <v>25</v>
      </c>
      <c r="U18" s="10">
        <v>92997670.599999994</v>
      </c>
      <c r="V18" s="10">
        <v>95936869.180000007</v>
      </c>
    </row>
    <row r="19" spans="1:23">
      <c r="A19" s="116">
        <v>15</v>
      </c>
      <c r="B19" s="19" t="s">
        <v>43</v>
      </c>
      <c r="C19" s="19" t="s">
        <v>44</v>
      </c>
      <c r="D19" s="10">
        <v>16217921823.440001</v>
      </c>
      <c r="E19" s="10">
        <v>122598227.04000001</v>
      </c>
      <c r="F19" s="10">
        <v>265046142.44</v>
      </c>
      <c r="G19" s="10">
        <v>26754409.370000001</v>
      </c>
      <c r="H19" s="12">
        <f t="shared" si="6"/>
        <v>360889960.11000001</v>
      </c>
      <c r="I19" s="29">
        <v>14194488535.290001</v>
      </c>
      <c r="J19" s="13">
        <f t="shared" si="0"/>
        <v>9.5719846855828031E-2</v>
      </c>
      <c r="K19" s="29">
        <v>16154486413.85</v>
      </c>
      <c r="L19" s="13">
        <f t="shared" si="7"/>
        <v>9.2851305453297145E-2</v>
      </c>
      <c r="M19" s="13">
        <f t="shared" si="8"/>
        <v>0.13808161341545341</v>
      </c>
      <c r="N19" s="20">
        <f t="shared" si="9"/>
        <v>1.6561596998256897E-3</v>
      </c>
      <c r="O19" s="21">
        <f t="shared" si="10"/>
        <v>2.2339921608438885E-2</v>
      </c>
      <c r="P19" s="22">
        <f t="shared" si="11"/>
        <v>65.652435279860626</v>
      </c>
      <c r="Q19" s="22">
        <f t="shared" si="12"/>
        <v>1.4666702575551938</v>
      </c>
      <c r="R19" s="10">
        <v>65.6524</v>
      </c>
      <c r="S19" s="10">
        <v>65.910200000000003</v>
      </c>
      <c r="T19" s="10">
        <v>15258</v>
      </c>
      <c r="U19" s="10">
        <v>220533323</v>
      </c>
      <c r="V19" s="10">
        <v>246060734</v>
      </c>
    </row>
    <row r="20" spans="1:23">
      <c r="A20" s="116">
        <v>16</v>
      </c>
      <c r="B20" s="76" t="s">
        <v>45</v>
      </c>
      <c r="C20" s="19" t="s">
        <v>46</v>
      </c>
      <c r="D20" s="10">
        <v>3406923330.2399998</v>
      </c>
      <c r="E20" s="10">
        <v>10656164.15</v>
      </c>
      <c r="F20" s="10">
        <v>23420925.84</v>
      </c>
      <c r="G20" s="10">
        <v>12245210.82</v>
      </c>
      <c r="H20" s="12">
        <f>(E20+F20)-G20</f>
        <v>21831879.170000002</v>
      </c>
      <c r="I20" s="29">
        <v>3305730376.0999999</v>
      </c>
      <c r="J20" s="13">
        <f t="shared" si="0"/>
        <v>2.2292032894335356E-2</v>
      </c>
      <c r="K20" s="29">
        <v>3566018924.3200002</v>
      </c>
      <c r="L20" s="13">
        <f t="shared" si="7"/>
        <v>2.0496443149712187E-2</v>
      </c>
      <c r="M20" s="13">
        <f t="shared" si="8"/>
        <v>7.8738589844426693E-2</v>
      </c>
      <c r="N20" s="20">
        <f t="shared" si="9"/>
        <v>3.4338603018869355E-3</v>
      </c>
      <c r="O20" s="21">
        <f t="shared" si="10"/>
        <v>6.1221994704257201E-3</v>
      </c>
      <c r="P20" s="22">
        <f t="shared" si="11"/>
        <v>15939.522234889741</v>
      </c>
      <c r="Q20" s="22">
        <f t="shared" si="12"/>
        <v>97.584934585280962</v>
      </c>
      <c r="R20" s="10">
        <v>15844.34</v>
      </c>
      <c r="S20" s="10">
        <v>16060.69</v>
      </c>
      <c r="T20" s="10">
        <v>64</v>
      </c>
      <c r="U20" s="10">
        <v>209449.73</v>
      </c>
      <c r="V20" s="10">
        <v>223721.82</v>
      </c>
    </row>
    <row r="21" spans="1:23">
      <c r="A21" s="116">
        <v>17</v>
      </c>
      <c r="B21" s="19" t="s">
        <v>47</v>
      </c>
      <c r="C21" s="19" t="s">
        <v>46</v>
      </c>
      <c r="D21" s="10">
        <v>49264498626.260002</v>
      </c>
      <c r="E21" s="10">
        <v>326857070.44</v>
      </c>
      <c r="F21" s="10">
        <v>262550828.36000001</v>
      </c>
      <c r="G21" s="10">
        <v>211751764.66</v>
      </c>
      <c r="H21" s="12">
        <f t="shared" si="6"/>
        <v>377656134.13999999</v>
      </c>
      <c r="I21" s="29">
        <v>44888033399.040001</v>
      </c>
      <c r="J21" s="13">
        <f t="shared" si="0"/>
        <v>0.30270028200967647</v>
      </c>
      <c r="K21" s="29">
        <v>53860304566.269997</v>
      </c>
      <c r="L21" s="13">
        <f t="shared" si="7"/>
        <v>0.30957341898549984</v>
      </c>
      <c r="M21" s="13">
        <f t="shared" si="8"/>
        <v>0.19988113730600374</v>
      </c>
      <c r="N21" s="20">
        <f t="shared" si="9"/>
        <v>3.931499577754142E-3</v>
      </c>
      <c r="O21" s="21">
        <f t="shared" si="10"/>
        <v>7.0117712326585513E-3</v>
      </c>
      <c r="P21" s="22">
        <f t="shared" si="11"/>
        <v>55605.599749842288</v>
      </c>
      <c r="Q21" s="22">
        <f t="shared" si="12"/>
        <v>389.89374470066969</v>
      </c>
      <c r="R21" s="10">
        <v>55248.56</v>
      </c>
      <c r="S21" s="10">
        <v>55936.160000000003</v>
      </c>
      <c r="T21" s="10">
        <v>27153</v>
      </c>
      <c r="U21" s="10">
        <v>815693.81</v>
      </c>
      <c r="V21" s="10">
        <v>968612.96</v>
      </c>
    </row>
    <row r="22" spans="1:23">
      <c r="A22" s="116">
        <v>18</v>
      </c>
      <c r="B22" s="19" t="s">
        <v>49</v>
      </c>
      <c r="C22" s="19" t="s">
        <v>50</v>
      </c>
      <c r="D22" s="10">
        <v>11196942713</v>
      </c>
      <c r="E22" s="10">
        <v>58548269</v>
      </c>
      <c r="F22" s="10">
        <v>157364615</v>
      </c>
      <c r="G22" s="10">
        <v>21480753</v>
      </c>
      <c r="H22" s="12">
        <f t="shared" ref="H22" si="13">(E22+F22)-G22</f>
        <v>194432131</v>
      </c>
      <c r="I22" s="29">
        <v>11031916289</v>
      </c>
      <c r="J22" s="13">
        <f t="shared" si="0"/>
        <v>7.4393193885363237E-2</v>
      </c>
      <c r="K22" s="29">
        <v>13391029154</v>
      </c>
      <c r="L22" s="13">
        <f t="shared" si="7"/>
        <v>7.6967754124702956E-2</v>
      </c>
      <c r="M22" s="13">
        <f t="shared" si="8"/>
        <v>0.21384434065659905</v>
      </c>
      <c r="N22" s="20">
        <f t="shared" si="9"/>
        <v>1.6041151694142597E-3</v>
      </c>
      <c r="O22" s="21">
        <f t="shared" si="10"/>
        <v>1.4519580889861753E-2</v>
      </c>
      <c r="P22" s="22">
        <f t="shared" si="11"/>
        <v>2.470301604942263</v>
      </c>
      <c r="Q22" s="22">
        <f t="shared" si="12"/>
        <v>3.5867743975314496E-2</v>
      </c>
      <c r="R22" s="10">
        <v>2.4700000000000002</v>
      </c>
      <c r="S22" s="10">
        <v>2.4900000000000002</v>
      </c>
      <c r="T22" s="10">
        <v>4125</v>
      </c>
      <c r="U22" s="10">
        <v>4399823867</v>
      </c>
      <c r="V22" s="10">
        <v>5420807373.1599998</v>
      </c>
    </row>
    <row r="23" spans="1:23">
      <c r="A23" s="116">
        <v>19</v>
      </c>
      <c r="B23" s="71" t="s">
        <v>312</v>
      </c>
      <c r="C23" s="71" t="s">
        <v>285</v>
      </c>
      <c r="D23" s="10">
        <v>3576466809.1999998</v>
      </c>
      <c r="E23" s="10">
        <v>7357599.2599999998</v>
      </c>
      <c r="F23" s="10">
        <v>0</v>
      </c>
      <c r="G23" s="10">
        <v>5074198.83</v>
      </c>
      <c r="H23" s="12">
        <f t="shared" si="6"/>
        <v>2283400.4299999997</v>
      </c>
      <c r="I23" s="29">
        <v>1627216971.6099999</v>
      </c>
      <c r="J23" s="13">
        <f t="shared" si="0"/>
        <v>1.097305894019881E-2</v>
      </c>
      <c r="K23" s="29">
        <v>3524122038.4099998</v>
      </c>
      <c r="L23" s="13">
        <f t="shared" si="7"/>
        <v>2.0255631993510024E-2</v>
      </c>
      <c r="M23" s="13">
        <f t="shared" si="8"/>
        <v>1.1657357930105445</v>
      </c>
      <c r="N23" s="20">
        <f t="shared" si="9"/>
        <v>1.4398476484910148E-3</v>
      </c>
      <c r="O23" s="21">
        <f t="shared" si="10"/>
        <v>6.4793455082225691E-4</v>
      </c>
      <c r="P23" s="22">
        <f t="shared" si="11"/>
        <v>1.5253066252305818</v>
      </c>
      <c r="Q23" s="22">
        <f t="shared" si="12"/>
        <v>9.8829886308498963E-4</v>
      </c>
      <c r="R23" s="10">
        <v>1.5253000000000001</v>
      </c>
      <c r="S23" s="10">
        <v>1.5498000000000001</v>
      </c>
      <c r="T23" s="10">
        <v>1063</v>
      </c>
      <c r="U23" s="10">
        <v>1107868912</v>
      </c>
      <c r="V23" s="10">
        <v>2310435148</v>
      </c>
    </row>
    <row r="24" spans="1:23">
      <c r="A24" s="116">
        <v>20</v>
      </c>
      <c r="B24" s="72" t="s">
        <v>246</v>
      </c>
      <c r="C24" s="72" t="s">
        <v>247</v>
      </c>
      <c r="D24" s="10">
        <v>14805543399.25</v>
      </c>
      <c r="E24" s="10">
        <v>45169917</v>
      </c>
      <c r="F24" s="10">
        <v>297905376.11000001</v>
      </c>
      <c r="G24" s="10">
        <v>32375134.699999999</v>
      </c>
      <c r="H24" s="12">
        <f t="shared" si="6"/>
        <v>310700158.41000003</v>
      </c>
      <c r="I24" s="29">
        <v>14813182538</v>
      </c>
      <c r="J24" s="13">
        <f t="shared" si="0"/>
        <v>9.989197993711417E-2</v>
      </c>
      <c r="K24" s="29">
        <v>15875455956</v>
      </c>
      <c r="L24" s="13">
        <f t="shared" si="7"/>
        <v>9.12475192598598E-2</v>
      </c>
      <c r="M24" s="13">
        <f t="shared" si="8"/>
        <v>7.1711356777989371E-2</v>
      </c>
      <c r="N24" s="20">
        <f t="shared" si="9"/>
        <v>2.0393199911693926E-3</v>
      </c>
      <c r="O24" s="21">
        <f t="shared" si="10"/>
        <v>1.9571101407803874E-2</v>
      </c>
      <c r="P24" s="22">
        <f t="shared" si="11"/>
        <v>295.93301029623433</v>
      </c>
      <c r="Q24" s="22">
        <f t="shared" si="12"/>
        <v>5.7917349544242702</v>
      </c>
      <c r="R24" s="10">
        <v>293.24</v>
      </c>
      <c r="S24" s="10">
        <v>297.8</v>
      </c>
      <c r="T24" s="10">
        <v>122</v>
      </c>
      <c r="U24" s="10">
        <v>51308843</v>
      </c>
      <c r="V24" s="10">
        <v>53645438</v>
      </c>
    </row>
    <row r="25" spans="1:23">
      <c r="A25" s="118" t="s">
        <v>51</v>
      </c>
      <c r="B25" s="118"/>
      <c r="C25" s="118"/>
      <c r="D25" s="118"/>
      <c r="E25" s="118"/>
      <c r="F25" s="118"/>
      <c r="G25" s="118"/>
      <c r="H25" s="118"/>
      <c r="I25" s="49">
        <f>SUM(I5:I24)</f>
        <v>148292010503</v>
      </c>
      <c r="J25" s="34">
        <f>(I25/$I$243)</f>
        <v>1.7851160224772362E-2</v>
      </c>
      <c r="K25" s="49">
        <f>SUM(K5:K24)</f>
        <v>173982329435.05002</v>
      </c>
      <c r="L25" s="34">
        <f>(K25/$K$243)</f>
        <v>2.02397983042387E-2</v>
      </c>
      <c r="M25" s="34">
        <f t="shared" si="1"/>
        <v>0.17324142308752563</v>
      </c>
      <c r="N25" s="20"/>
      <c r="O25" s="20"/>
      <c r="P25" s="35"/>
      <c r="Q25" s="35"/>
      <c r="R25" s="36"/>
      <c r="S25" s="36"/>
      <c r="T25" s="36">
        <f>SUM(T5:T24)</f>
        <v>83596</v>
      </c>
      <c r="U25" s="36"/>
      <c r="V25" s="36"/>
    </row>
    <row r="26" spans="1:23" ht="6" customHeight="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5"/>
    </row>
    <row r="27" spans="1:23">
      <c r="A27" s="117" t="s">
        <v>52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</row>
    <row r="28" spans="1:23" ht="13.05" customHeight="1">
      <c r="A28" s="116">
        <v>21</v>
      </c>
      <c r="B28" s="19" t="s">
        <v>53</v>
      </c>
      <c r="C28" s="19" t="s">
        <v>22</v>
      </c>
      <c r="D28" s="10">
        <v>6273812357.5900002</v>
      </c>
      <c r="E28" s="10">
        <v>89296514.760000005</v>
      </c>
      <c r="F28" s="10">
        <v>0</v>
      </c>
      <c r="G28" s="10">
        <v>11315631.130000001</v>
      </c>
      <c r="H28" s="12">
        <f>(E28+F28)-G28</f>
        <v>77980883.63000001</v>
      </c>
      <c r="I28" s="43">
        <v>5819500892.6599998</v>
      </c>
      <c r="J28" s="13">
        <f>(I28/$I$74)</f>
        <v>1.0943905468219182E-3</v>
      </c>
      <c r="K28" s="43">
        <v>6044569279.4099998</v>
      </c>
      <c r="L28" s="13">
        <f>(K28/$K$74)</f>
        <v>1.0972633823729463E-3</v>
      </c>
      <c r="M28" s="13">
        <f t="shared" ref="M28:M74" si="14">((K28-I28)/I28)</f>
        <v>3.8674860765787231E-2</v>
      </c>
      <c r="N28" s="20">
        <f t="shared" ref="N28" si="15">(G28/K28)</f>
        <v>1.8720326638566546E-3</v>
      </c>
      <c r="O28" s="21">
        <f t="shared" ref="O28" si="16">H28/K28</f>
        <v>1.2900982687985932E-2</v>
      </c>
      <c r="P28" s="24">
        <f t="shared" ref="P28" si="17">K28/V28</f>
        <v>100.37777912711142</v>
      </c>
      <c r="Q28" s="24">
        <f t="shared" ref="Q28" si="18">H28/V28</f>
        <v>1.29497199077734</v>
      </c>
      <c r="R28" s="10">
        <v>100</v>
      </c>
      <c r="S28" s="10">
        <v>100</v>
      </c>
      <c r="T28" s="10">
        <v>928</v>
      </c>
      <c r="U28" s="18">
        <v>58100210</v>
      </c>
      <c r="V28" s="18">
        <v>60218201</v>
      </c>
    </row>
    <row r="29" spans="1:23" ht="15" customHeight="1">
      <c r="A29" s="116">
        <v>22</v>
      </c>
      <c r="B29" s="19" t="s">
        <v>54</v>
      </c>
      <c r="C29" s="19" t="s">
        <v>55</v>
      </c>
      <c r="D29" s="10">
        <v>39667964144.779999</v>
      </c>
      <c r="E29" s="10">
        <v>666777252.59000003</v>
      </c>
      <c r="F29" s="10">
        <v>0</v>
      </c>
      <c r="G29" s="10">
        <v>81764798.920000002</v>
      </c>
      <c r="H29" s="12">
        <f t="shared" ref="H29:H73" si="19">(E29+F29)-G29</f>
        <v>585012453.67000008</v>
      </c>
      <c r="I29" s="43">
        <v>38200625371.370003</v>
      </c>
      <c r="J29" s="13">
        <f t="shared" ref="J29:J73" si="20">(I29/$I$74)</f>
        <v>7.1838468728207079E-3</v>
      </c>
      <c r="K29" s="43">
        <v>40162857195.43</v>
      </c>
      <c r="L29" s="13">
        <f t="shared" ref="L29:L73" si="21">(K29/$K$74)</f>
        <v>7.2907151022546758E-3</v>
      </c>
      <c r="M29" s="13">
        <f t="shared" ref="M29:M73" si="22">((K29-I29)/I29)</f>
        <v>5.136648431757402E-2</v>
      </c>
      <c r="N29" s="20">
        <f t="shared" ref="N29:N73" si="23">(G29/K29)</f>
        <v>2.0358312288923444E-3</v>
      </c>
      <c r="O29" s="21">
        <f t="shared" ref="O29:O73" si="24">H29/K29</f>
        <v>1.4566006866079407E-2</v>
      </c>
      <c r="P29" s="24">
        <f t="shared" ref="P29:P73" si="25">K29/V29</f>
        <v>104.61410966556159</v>
      </c>
      <c r="Q29" s="24">
        <f t="shared" ref="Q29:Q73" si="26">H29/V29</f>
        <v>1.5238098396773541</v>
      </c>
      <c r="R29" s="10">
        <v>100</v>
      </c>
      <c r="S29" s="10">
        <v>100</v>
      </c>
      <c r="T29" s="10">
        <v>4614</v>
      </c>
      <c r="U29" s="18">
        <v>367878974.18000001</v>
      </c>
      <c r="V29" s="18">
        <v>383914343.13999999</v>
      </c>
    </row>
    <row r="30" spans="1:23" ht="15" customHeight="1">
      <c r="A30" s="116">
        <v>23</v>
      </c>
      <c r="B30" s="19" t="s">
        <v>320</v>
      </c>
      <c r="C30" s="19" t="s">
        <v>321</v>
      </c>
      <c r="D30" s="10">
        <v>1262433829.4300001</v>
      </c>
      <c r="E30" s="10">
        <v>18582719.059999999</v>
      </c>
      <c r="F30" s="10">
        <v>0</v>
      </c>
      <c r="G30" s="10">
        <v>1438629.15</v>
      </c>
      <c r="H30" s="12">
        <f t="shared" si="19"/>
        <v>17144089.91</v>
      </c>
      <c r="I30" s="43">
        <v>0</v>
      </c>
      <c r="J30" s="13">
        <f t="shared" si="20"/>
        <v>0</v>
      </c>
      <c r="K30" s="43">
        <v>1774679866.1199999</v>
      </c>
      <c r="L30" s="13">
        <f t="shared" si="21"/>
        <v>3.2215549901316881E-4</v>
      </c>
      <c r="M30" s="13" t="e">
        <f t="shared" si="22"/>
        <v>#DIV/0!</v>
      </c>
      <c r="N30" s="20">
        <f t="shared" si="23"/>
        <v>8.1064150073741981E-4</v>
      </c>
      <c r="O30" s="21">
        <f t="shared" si="24"/>
        <v>9.660384521903825E-3</v>
      </c>
      <c r="P30" s="24">
        <f t="shared" si="25"/>
        <v>1.0038814467578836</v>
      </c>
      <c r="Q30" s="24">
        <f t="shared" si="26"/>
        <v>9.6978807900862767E-3</v>
      </c>
      <c r="R30" s="10">
        <v>1</v>
      </c>
      <c r="S30" s="10">
        <v>1</v>
      </c>
      <c r="T30" s="10">
        <v>147</v>
      </c>
      <c r="U30" s="18">
        <v>1510752608</v>
      </c>
      <c r="V30" s="18">
        <v>1767818174</v>
      </c>
    </row>
    <row r="31" spans="1:23">
      <c r="A31" s="116">
        <v>24</v>
      </c>
      <c r="B31" s="19" t="s">
        <v>56</v>
      </c>
      <c r="C31" s="19" t="s">
        <v>24</v>
      </c>
      <c r="D31" s="10">
        <v>3477096001.9299998</v>
      </c>
      <c r="E31" s="10">
        <v>50254657.090000004</v>
      </c>
      <c r="F31" s="10">
        <v>0</v>
      </c>
      <c r="G31" s="10">
        <v>4565149.6500000004</v>
      </c>
      <c r="H31" s="12">
        <f t="shared" si="19"/>
        <v>45689507.440000005</v>
      </c>
      <c r="I31" s="43">
        <v>3547230144.8200002</v>
      </c>
      <c r="J31" s="13">
        <f t="shared" si="20"/>
        <v>6.6707698984789176E-4</v>
      </c>
      <c r="K31" s="43">
        <v>3507187026.5599999</v>
      </c>
      <c r="L31" s="13">
        <f t="shared" si="21"/>
        <v>6.366554375489545E-4</v>
      </c>
      <c r="M31" s="13">
        <f t="shared" si="22"/>
        <v>-1.1288559418247773E-2</v>
      </c>
      <c r="N31" s="20">
        <f t="shared" si="23"/>
        <v>1.3016556047419278E-3</v>
      </c>
      <c r="O31" s="21">
        <f t="shared" si="24"/>
        <v>1.3027394060822083E-2</v>
      </c>
      <c r="P31" s="24">
        <f t="shared" si="25"/>
        <v>128.8872996969865</v>
      </c>
      <c r="Q31" s="24">
        <f t="shared" si="26"/>
        <v>1.6790656425879178</v>
      </c>
      <c r="R31" s="10">
        <v>100</v>
      </c>
      <c r="S31" s="10">
        <v>100</v>
      </c>
      <c r="T31" s="10">
        <v>1876</v>
      </c>
      <c r="U31" s="18">
        <v>27704327.329999998</v>
      </c>
      <c r="V31" s="18">
        <v>27211269.34</v>
      </c>
    </row>
    <row r="32" spans="1:23">
      <c r="A32" s="116">
        <v>25</v>
      </c>
      <c r="B32" s="19" t="s">
        <v>315</v>
      </c>
      <c r="C32" s="19" t="s">
        <v>316</v>
      </c>
      <c r="D32" s="10">
        <v>357891996.72000003</v>
      </c>
      <c r="E32" s="10">
        <v>10164953.09</v>
      </c>
      <c r="F32" s="10">
        <v>0</v>
      </c>
      <c r="G32" s="10">
        <v>3197556.33</v>
      </c>
      <c r="H32" s="12">
        <f t="shared" si="19"/>
        <v>6967396.7599999998</v>
      </c>
      <c r="I32" s="43">
        <v>675707696.84000003</v>
      </c>
      <c r="J32" s="13">
        <f t="shared" si="20"/>
        <v>1.2707071095550575E-4</v>
      </c>
      <c r="K32" s="43">
        <v>751756096.84000003</v>
      </c>
      <c r="L32" s="13">
        <f t="shared" si="21"/>
        <v>1.3646537898870061E-4</v>
      </c>
      <c r="M32" s="13">
        <f t="shared" si="22"/>
        <v>0.11254629828200315</v>
      </c>
      <c r="N32" s="20">
        <f t="shared" si="23"/>
        <v>4.2534491485215738E-3</v>
      </c>
      <c r="O32" s="21">
        <f t="shared" si="24"/>
        <v>9.2681612949830263E-3</v>
      </c>
      <c r="P32" s="24">
        <f t="shared" si="25"/>
        <v>100.00000000000001</v>
      </c>
      <c r="Q32" s="24">
        <f t="shared" si="26"/>
        <v>0.92681612949830272</v>
      </c>
      <c r="R32" s="10">
        <v>1</v>
      </c>
      <c r="S32" s="10">
        <v>1</v>
      </c>
      <c r="T32" s="10">
        <v>122</v>
      </c>
      <c r="U32" s="18">
        <v>6757076.9683999997</v>
      </c>
      <c r="V32" s="18">
        <v>7517560.9683999997</v>
      </c>
    </row>
    <row r="33" spans="1:22">
      <c r="A33" s="116">
        <v>26</v>
      </c>
      <c r="B33" s="19" t="s">
        <v>57</v>
      </c>
      <c r="C33" s="76" t="s">
        <v>58</v>
      </c>
      <c r="D33" s="10">
        <v>145286675780</v>
      </c>
      <c r="E33" s="10">
        <v>5999427136</v>
      </c>
      <c r="F33" s="10">
        <v>0</v>
      </c>
      <c r="G33" s="10">
        <v>5999427136</v>
      </c>
      <c r="H33" s="12">
        <f t="shared" si="19"/>
        <v>0</v>
      </c>
      <c r="I33" s="43">
        <v>371643810156</v>
      </c>
      <c r="J33" s="13">
        <f t="shared" si="20"/>
        <v>6.9889751736716244E-2</v>
      </c>
      <c r="K33" s="43">
        <v>390223685451</v>
      </c>
      <c r="L33" s="13">
        <f t="shared" si="21"/>
        <v>7.0836835709457646E-2</v>
      </c>
      <c r="M33" s="13">
        <f t="shared" si="22"/>
        <v>4.9993770344785166E-2</v>
      </c>
      <c r="N33" s="20">
        <f t="shared" si="23"/>
        <v>1.5374328518952349E-2</v>
      </c>
      <c r="O33" s="21">
        <f t="shared" si="24"/>
        <v>0</v>
      </c>
      <c r="P33" s="24">
        <f t="shared" si="25"/>
        <v>1</v>
      </c>
      <c r="Q33" s="24">
        <f t="shared" si="26"/>
        <v>0</v>
      </c>
      <c r="R33" s="10">
        <v>1</v>
      </c>
      <c r="S33" s="10">
        <v>1</v>
      </c>
      <c r="T33" s="10">
        <v>82830</v>
      </c>
      <c r="U33" s="18">
        <v>371643810156</v>
      </c>
      <c r="V33" s="18">
        <v>390223685451</v>
      </c>
    </row>
    <row r="34" spans="1:22">
      <c r="A34" s="116">
        <v>27</v>
      </c>
      <c r="B34" s="19" t="s">
        <v>263</v>
      </c>
      <c r="C34" s="76" t="s">
        <v>100</v>
      </c>
      <c r="D34" s="10">
        <v>800502959.25999999</v>
      </c>
      <c r="E34" s="10">
        <v>42535188.049999997</v>
      </c>
      <c r="F34" s="10">
        <v>0</v>
      </c>
      <c r="G34" s="10">
        <v>4601626.84</v>
      </c>
      <c r="H34" s="12">
        <f t="shared" si="19"/>
        <v>37933561.209999993</v>
      </c>
      <c r="I34" s="43">
        <v>2185631304.23</v>
      </c>
      <c r="J34" s="13">
        <f t="shared" si="20"/>
        <v>4.1102051229243087E-4</v>
      </c>
      <c r="K34" s="43">
        <v>2301525442.71</v>
      </c>
      <c r="L34" s="13">
        <f t="shared" si="21"/>
        <v>4.1779314209992234E-4</v>
      </c>
      <c r="M34" s="13">
        <f t="shared" si="22"/>
        <v>5.3025475182251577E-2</v>
      </c>
      <c r="N34" s="20">
        <f t="shared" si="23"/>
        <v>1.9993812601878849E-3</v>
      </c>
      <c r="O34" s="21">
        <f t="shared" si="24"/>
        <v>1.6481921297091542E-2</v>
      </c>
      <c r="P34" s="24">
        <f t="shared" si="25"/>
        <v>0.975005651098242</v>
      </c>
      <c r="Q34" s="24">
        <f t="shared" si="26"/>
        <v>1.6069966405620723E-2</v>
      </c>
      <c r="R34" s="10">
        <v>1</v>
      </c>
      <c r="S34" s="10">
        <v>1</v>
      </c>
      <c r="T34" s="10">
        <v>425</v>
      </c>
      <c r="U34" s="18">
        <v>2218681939</v>
      </c>
      <c r="V34" s="18">
        <v>2360525234</v>
      </c>
    </row>
    <row r="35" spans="1:22" ht="15" customHeight="1">
      <c r="A35" s="116">
        <v>28</v>
      </c>
      <c r="B35" s="19" t="s">
        <v>59</v>
      </c>
      <c r="C35" s="19" t="s">
        <v>28</v>
      </c>
      <c r="D35" s="10">
        <v>47977100629.230003</v>
      </c>
      <c r="E35" s="10">
        <v>2535514766.1500001</v>
      </c>
      <c r="F35" s="10">
        <v>0</v>
      </c>
      <c r="G35" s="10">
        <v>233324494.93000001</v>
      </c>
      <c r="H35" s="12">
        <f t="shared" si="19"/>
        <v>2302190271.2200003</v>
      </c>
      <c r="I35" s="43">
        <v>169738858414.42999</v>
      </c>
      <c r="J35" s="13">
        <f t="shared" si="20"/>
        <v>3.1920366626524914E-2</v>
      </c>
      <c r="K35" s="43">
        <v>172650882417.22</v>
      </c>
      <c r="L35" s="13">
        <f t="shared" si="21"/>
        <v>3.1341106777633611E-2</v>
      </c>
      <c r="M35" s="13">
        <f t="shared" si="22"/>
        <v>1.7155906608492005E-2</v>
      </c>
      <c r="N35" s="20">
        <f t="shared" si="23"/>
        <v>1.3514237035068203E-3</v>
      </c>
      <c r="O35" s="21">
        <f t="shared" si="24"/>
        <v>1.3334367244394589E-2</v>
      </c>
      <c r="P35" s="24">
        <f t="shared" si="25"/>
        <v>1.0378796660959255</v>
      </c>
      <c r="Q35" s="24">
        <f t="shared" si="26"/>
        <v>1.3839468623212704E-2</v>
      </c>
      <c r="R35" s="10">
        <v>1</v>
      </c>
      <c r="S35" s="10">
        <v>1</v>
      </c>
      <c r="T35" s="10">
        <v>39731</v>
      </c>
      <c r="U35" s="18">
        <v>165604082946</v>
      </c>
      <c r="V35" s="18">
        <v>166349614562.41</v>
      </c>
    </row>
    <row r="36" spans="1:22" ht="15" customHeight="1">
      <c r="A36" s="116">
        <v>29</v>
      </c>
      <c r="B36" s="19" t="s">
        <v>258</v>
      </c>
      <c r="C36" s="19" t="s">
        <v>102</v>
      </c>
      <c r="D36" s="10">
        <v>22659324780.650002</v>
      </c>
      <c r="E36" s="10">
        <v>306758953.37</v>
      </c>
      <c r="F36" s="10">
        <v>0</v>
      </c>
      <c r="G36" s="10">
        <v>26606909.120000001</v>
      </c>
      <c r="H36" s="12">
        <f t="shared" si="19"/>
        <v>280152044.25</v>
      </c>
      <c r="I36" s="43">
        <v>19532539162.040001</v>
      </c>
      <c r="J36" s="13">
        <f t="shared" si="20"/>
        <v>3.6732061062705258E-3</v>
      </c>
      <c r="K36" s="43">
        <v>21665953291.360001</v>
      </c>
      <c r="L36" s="13">
        <f t="shared" si="21"/>
        <v>3.9329944106674892E-3</v>
      </c>
      <c r="M36" s="13">
        <f t="shared" si="22"/>
        <v>0.10922359410732053</v>
      </c>
      <c r="N36" s="20">
        <f t="shared" si="23"/>
        <v>1.2280516237709405E-3</v>
      </c>
      <c r="O36" s="21">
        <f t="shared" si="24"/>
        <v>1.2930520087556898E-2</v>
      </c>
      <c r="P36" s="24">
        <f t="shared" si="25"/>
        <v>1</v>
      </c>
      <c r="Q36" s="24">
        <f t="shared" si="26"/>
        <v>1.2930520087556898E-2</v>
      </c>
      <c r="R36" s="10">
        <v>1</v>
      </c>
      <c r="S36" s="10">
        <v>1</v>
      </c>
      <c r="T36" s="10">
        <v>1781</v>
      </c>
      <c r="U36" s="18">
        <v>19560679886.360001</v>
      </c>
      <c r="V36" s="18">
        <v>21665953291.360001</v>
      </c>
    </row>
    <row r="37" spans="1:22">
      <c r="A37" s="116">
        <v>30</v>
      </c>
      <c r="B37" s="76" t="s">
        <v>253</v>
      </c>
      <c r="C37" s="76" t="s">
        <v>44</v>
      </c>
      <c r="D37" s="10">
        <v>41247906141.489998</v>
      </c>
      <c r="E37" s="10">
        <v>606204281.49000001</v>
      </c>
      <c r="F37" s="10">
        <v>0</v>
      </c>
      <c r="G37" s="10">
        <v>69276776.079999998</v>
      </c>
      <c r="H37" s="12">
        <f t="shared" si="19"/>
        <v>536927505.40999997</v>
      </c>
      <c r="I37" s="43">
        <v>38744526463.099998</v>
      </c>
      <c r="J37" s="13">
        <f t="shared" si="20"/>
        <v>7.2861305951148637E-3</v>
      </c>
      <c r="K37" s="43">
        <v>41057743651.720001</v>
      </c>
      <c r="L37" s="13">
        <f t="shared" si="21"/>
        <v>7.4531627630356192E-3</v>
      </c>
      <c r="M37" s="13">
        <f t="shared" si="22"/>
        <v>5.9704360842378436E-2</v>
      </c>
      <c r="N37" s="20">
        <f t="shared" si="23"/>
        <v>1.6873011012892775E-3</v>
      </c>
      <c r="O37" s="21">
        <f t="shared" si="24"/>
        <v>1.3077374878770448E-2</v>
      </c>
      <c r="P37" s="24">
        <f t="shared" si="25"/>
        <v>100.00033434175079</v>
      </c>
      <c r="Q37" s="24">
        <f t="shared" si="26"/>
        <v>1.3077418601894575</v>
      </c>
      <c r="R37" s="10">
        <v>100</v>
      </c>
      <c r="S37" s="10">
        <v>100</v>
      </c>
      <c r="T37" s="10">
        <v>9722</v>
      </c>
      <c r="U37" s="18">
        <v>387443845.02999997</v>
      </c>
      <c r="V37" s="18">
        <v>410576063.79000002</v>
      </c>
    </row>
    <row r="38" spans="1:22">
      <c r="A38" s="116">
        <v>31</v>
      </c>
      <c r="B38" s="25" t="s">
        <v>207</v>
      </c>
      <c r="C38" s="25" t="s">
        <v>208</v>
      </c>
      <c r="D38" s="10">
        <v>3610267261.25</v>
      </c>
      <c r="E38" s="10">
        <v>88289619.290000007</v>
      </c>
      <c r="F38" s="10">
        <v>0</v>
      </c>
      <c r="G38" s="10">
        <v>4613197.8499999996</v>
      </c>
      <c r="H38" s="12">
        <f t="shared" si="19"/>
        <v>83676421.440000013</v>
      </c>
      <c r="I38" s="43">
        <v>2679245478.0100002</v>
      </c>
      <c r="J38" s="13">
        <f t="shared" si="20"/>
        <v>5.0384749101899042E-4</v>
      </c>
      <c r="K38" s="43">
        <v>3481773926.8899999</v>
      </c>
      <c r="L38" s="13">
        <f t="shared" si="21"/>
        <v>6.3204222816851585E-4</v>
      </c>
      <c r="M38" s="13">
        <f t="shared" si="22"/>
        <v>0.29953524433157752</v>
      </c>
      <c r="N38" s="20">
        <f t="shared" si="23"/>
        <v>1.3249561708679385E-3</v>
      </c>
      <c r="O38" s="21">
        <f t="shared" si="24"/>
        <v>2.4032698043305101E-2</v>
      </c>
      <c r="P38" s="24">
        <f t="shared" si="25"/>
        <v>1.0023860326136529</v>
      </c>
      <c r="Q38" s="24">
        <f t="shared" si="26"/>
        <v>2.4090040844630501E-2</v>
      </c>
      <c r="R38" s="10">
        <v>1</v>
      </c>
      <c r="S38" s="10">
        <v>1</v>
      </c>
      <c r="T38" s="10">
        <v>699</v>
      </c>
      <c r="U38" s="18">
        <v>2675718027.6100001</v>
      </c>
      <c r="V38" s="18">
        <v>3473486075.8299999</v>
      </c>
    </row>
    <row r="39" spans="1:22">
      <c r="A39" s="116">
        <v>32</v>
      </c>
      <c r="B39" s="19" t="s">
        <v>223</v>
      </c>
      <c r="C39" s="19" t="s">
        <v>60</v>
      </c>
      <c r="D39" s="10">
        <v>97537143767.460007</v>
      </c>
      <c r="E39" s="10">
        <v>1440421490.72</v>
      </c>
      <c r="F39" s="10">
        <v>0</v>
      </c>
      <c r="G39" s="10">
        <v>151898019.05000001</v>
      </c>
      <c r="H39" s="12">
        <f t="shared" si="19"/>
        <v>1288523471.6700001</v>
      </c>
      <c r="I39" s="43">
        <v>90605036998.740005</v>
      </c>
      <c r="J39" s="13">
        <f t="shared" si="20"/>
        <v>1.7038797280869222E-2</v>
      </c>
      <c r="K39" s="43">
        <v>93350937832.470001</v>
      </c>
      <c r="L39" s="13">
        <f t="shared" si="21"/>
        <v>1.6945883330787261E-2</v>
      </c>
      <c r="M39" s="13">
        <f t="shared" si="22"/>
        <v>3.0306271314344053E-2</v>
      </c>
      <c r="N39" s="20">
        <f t="shared" si="23"/>
        <v>1.6271718589758585E-3</v>
      </c>
      <c r="O39" s="21">
        <f t="shared" si="24"/>
        <v>1.3803005107269704E-2</v>
      </c>
      <c r="P39" s="24">
        <f t="shared" si="25"/>
        <v>100.00000000050348</v>
      </c>
      <c r="Q39" s="24">
        <f t="shared" si="26"/>
        <v>1.3803005107339199</v>
      </c>
      <c r="R39" s="10">
        <v>100</v>
      </c>
      <c r="S39" s="10">
        <v>100</v>
      </c>
      <c r="T39" s="10">
        <v>5999</v>
      </c>
      <c r="U39" s="18">
        <v>906050369.99000001</v>
      </c>
      <c r="V39" s="18">
        <v>933509378.32000005</v>
      </c>
    </row>
    <row r="40" spans="1:22">
      <c r="A40" s="116">
        <v>33</v>
      </c>
      <c r="B40" s="19" t="s">
        <v>61</v>
      </c>
      <c r="C40" s="19" t="s">
        <v>62</v>
      </c>
      <c r="D40" s="10">
        <v>15930033657.26</v>
      </c>
      <c r="E40" s="10">
        <v>597180233.85000002</v>
      </c>
      <c r="F40" s="10">
        <v>0</v>
      </c>
      <c r="G40" s="10">
        <v>54089134.729999997</v>
      </c>
      <c r="H40" s="12">
        <f t="shared" si="19"/>
        <v>543091099.12</v>
      </c>
      <c r="I40" s="43">
        <v>40801107700</v>
      </c>
      <c r="J40" s="13">
        <f t="shared" si="20"/>
        <v>7.6728825014980122E-3</v>
      </c>
      <c r="K40" s="43">
        <v>41744375800</v>
      </c>
      <c r="L40" s="13">
        <f t="shared" si="21"/>
        <v>7.5778062700649984E-3</v>
      </c>
      <c r="M40" s="13">
        <f t="shared" si="22"/>
        <v>2.3118688515410084E-2</v>
      </c>
      <c r="N40" s="20">
        <f t="shared" si="23"/>
        <v>1.2957226858330458E-3</v>
      </c>
      <c r="O40" s="21">
        <f t="shared" si="24"/>
        <v>1.300992262339685E-2</v>
      </c>
      <c r="P40" s="24">
        <f t="shared" si="25"/>
        <v>100</v>
      </c>
      <c r="Q40" s="24">
        <f t="shared" si="26"/>
        <v>1.300992262339685</v>
      </c>
      <c r="R40" s="10">
        <v>100</v>
      </c>
      <c r="S40" s="10">
        <v>100</v>
      </c>
      <c r="T40" s="10">
        <v>5831</v>
      </c>
      <c r="U40" s="18">
        <v>408011077</v>
      </c>
      <c r="V40" s="18">
        <v>417443758</v>
      </c>
    </row>
    <row r="41" spans="1:22">
      <c r="A41" s="116">
        <v>34</v>
      </c>
      <c r="B41" s="19" t="s">
        <v>63</v>
      </c>
      <c r="C41" s="19" t="s">
        <v>64</v>
      </c>
      <c r="D41" s="10">
        <v>67136979399.43</v>
      </c>
      <c r="E41" s="10">
        <v>1017328115.5700001</v>
      </c>
      <c r="F41" s="10">
        <v>0</v>
      </c>
      <c r="G41" s="10">
        <v>155861729.77000001</v>
      </c>
      <c r="H41" s="12">
        <f t="shared" si="19"/>
        <v>861466385.80000007</v>
      </c>
      <c r="I41" s="43">
        <v>70316441695.190002</v>
      </c>
      <c r="J41" s="13">
        <f t="shared" si="20"/>
        <v>1.3223410477422617E-2</v>
      </c>
      <c r="K41" s="43">
        <v>65442549957.68</v>
      </c>
      <c r="L41" s="13">
        <f t="shared" si="21"/>
        <v>1.1879707287379044E-2</v>
      </c>
      <c r="M41" s="13">
        <f t="shared" si="22"/>
        <v>-6.9313685675926356E-2</v>
      </c>
      <c r="N41" s="20">
        <f t="shared" si="23"/>
        <v>2.3816573448129964E-3</v>
      </c>
      <c r="O41" s="21">
        <f t="shared" si="24"/>
        <v>1.3163704445457704E-2</v>
      </c>
      <c r="P41" s="24">
        <f t="shared" si="25"/>
        <v>1.0000071819233176</v>
      </c>
      <c r="Q41" s="24">
        <f t="shared" si="26"/>
        <v>1.3163798986173607E-2</v>
      </c>
      <c r="R41" s="10">
        <v>1</v>
      </c>
      <c r="S41" s="10">
        <v>1</v>
      </c>
      <c r="T41" s="10">
        <v>16123</v>
      </c>
      <c r="U41" s="18">
        <v>70316441695.190002</v>
      </c>
      <c r="V41" s="18">
        <v>65442079957.68</v>
      </c>
    </row>
    <row r="42" spans="1:22">
      <c r="A42" s="116">
        <v>35</v>
      </c>
      <c r="B42" s="71" t="s">
        <v>298</v>
      </c>
      <c r="C42" s="72" t="s">
        <v>109</v>
      </c>
      <c r="D42" s="10">
        <v>1454309211.1099999</v>
      </c>
      <c r="E42" s="10">
        <v>20257889.32</v>
      </c>
      <c r="F42" s="10">
        <v>0</v>
      </c>
      <c r="G42" s="10">
        <v>2053251.46</v>
      </c>
      <c r="H42" s="12">
        <f t="shared" ref="H42" si="27">(E42+F42)-G42</f>
        <v>18204637.859999999</v>
      </c>
      <c r="I42" s="43">
        <v>834429088.10000002</v>
      </c>
      <c r="J42" s="13">
        <f t="shared" si="20"/>
        <v>1.5691917964333682E-4</v>
      </c>
      <c r="K42" s="43">
        <v>1469784659.4000001</v>
      </c>
      <c r="L42" s="13">
        <f t="shared" si="21"/>
        <v>2.6680823929451758E-4</v>
      </c>
      <c r="M42" s="13">
        <f t="shared" si="22"/>
        <v>0.76142548283726363</v>
      </c>
      <c r="N42" s="20">
        <f t="shared" si="23"/>
        <v>1.3969743437369829E-3</v>
      </c>
      <c r="O42" s="21">
        <f t="shared" si="24"/>
        <v>1.2385921803967904E-2</v>
      </c>
      <c r="P42" s="24">
        <f t="shared" si="25"/>
        <v>999.99999959177705</v>
      </c>
      <c r="Q42" s="24">
        <f t="shared" si="26"/>
        <v>12.385921798911685</v>
      </c>
      <c r="R42" s="10">
        <v>1000</v>
      </c>
      <c r="S42" s="10">
        <v>1000</v>
      </c>
      <c r="T42" s="10">
        <v>107</v>
      </c>
      <c r="U42" s="18">
        <v>834429.09</v>
      </c>
      <c r="V42" s="18">
        <v>1469784.66</v>
      </c>
    </row>
    <row r="43" spans="1:22">
      <c r="A43" s="116">
        <v>36</v>
      </c>
      <c r="B43" s="19" t="s">
        <v>65</v>
      </c>
      <c r="C43" s="19" t="s">
        <v>66</v>
      </c>
      <c r="D43" s="10">
        <v>35232971388.43</v>
      </c>
      <c r="E43" s="10">
        <v>1309379464.04</v>
      </c>
      <c r="F43" s="10">
        <v>0</v>
      </c>
      <c r="G43" s="10">
        <v>136434316.38</v>
      </c>
      <c r="H43" s="12">
        <f t="shared" si="19"/>
        <v>1172945147.6599998</v>
      </c>
      <c r="I43" s="43">
        <v>86618994072.630005</v>
      </c>
      <c r="J43" s="13">
        <f t="shared" si="20"/>
        <v>1.6289199028712713E-2</v>
      </c>
      <c r="K43" s="43">
        <v>88560877904.910004</v>
      </c>
      <c r="L43" s="13">
        <f t="shared" si="21"/>
        <v>1.6076349520365515E-2</v>
      </c>
      <c r="M43" s="13">
        <f t="shared" si="22"/>
        <v>2.2418683720244196E-2</v>
      </c>
      <c r="N43" s="20">
        <f t="shared" si="23"/>
        <v>1.5405709564723701E-3</v>
      </c>
      <c r="O43" s="21">
        <f t="shared" si="24"/>
        <v>1.3244506777805658E-2</v>
      </c>
      <c r="P43" s="24">
        <f t="shared" si="25"/>
        <v>104.68345989456299</v>
      </c>
      <c r="Q43" s="24">
        <f t="shared" si="26"/>
        <v>1.3864807940976862</v>
      </c>
      <c r="R43" s="10">
        <v>100</v>
      </c>
      <c r="S43" s="10">
        <v>100</v>
      </c>
      <c r="T43" s="10">
        <v>8524</v>
      </c>
      <c r="U43" s="18">
        <v>844386665</v>
      </c>
      <c r="V43" s="18">
        <v>845987303</v>
      </c>
    </row>
    <row r="44" spans="1:22">
      <c r="A44" s="116">
        <v>37</v>
      </c>
      <c r="B44" s="19" t="s">
        <v>67</v>
      </c>
      <c r="C44" s="19" t="s">
        <v>66</v>
      </c>
      <c r="D44" s="10">
        <v>5939463998.1999998</v>
      </c>
      <c r="E44" s="10">
        <v>142568971.56</v>
      </c>
      <c r="F44" s="10">
        <v>0</v>
      </c>
      <c r="G44" s="10">
        <v>8380823.6399999997</v>
      </c>
      <c r="H44" s="12">
        <f t="shared" si="19"/>
        <v>134188147.92</v>
      </c>
      <c r="I44" s="43">
        <v>8705872613.3600006</v>
      </c>
      <c r="J44" s="13">
        <f t="shared" si="20"/>
        <v>1.6371893166841822E-3</v>
      </c>
      <c r="K44" s="43">
        <v>11264743012.299999</v>
      </c>
      <c r="L44" s="13">
        <f t="shared" si="21"/>
        <v>2.0448752339297842E-3</v>
      </c>
      <c r="M44" s="13">
        <f t="shared" si="22"/>
        <v>0.29392463140491687</v>
      </c>
      <c r="N44" s="20">
        <f t="shared" si="23"/>
        <v>7.4398711367396118E-4</v>
      </c>
      <c r="O44" s="21">
        <f t="shared" si="24"/>
        <v>1.191222451976753E-2</v>
      </c>
      <c r="P44" s="24">
        <f t="shared" si="25"/>
        <v>1118088.6364565757</v>
      </c>
      <c r="Q44" s="24">
        <f t="shared" si="26"/>
        <v>13318.922870471464</v>
      </c>
      <c r="R44" s="10">
        <v>1034910.8</v>
      </c>
      <c r="S44" s="10">
        <v>1038519.14</v>
      </c>
      <c r="T44" s="10">
        <v>94</v>
      </c>
      <c r="U44" s="18">
        <v>8596</v>
      </c>
      <c r="V44" s="18">
        <v>10075</v>
      </c>
    </row>
    <row r="45" spans="1:22">
      <c r="A45" s="116">
        <v>38</v>
      </c>
      <c r="B45" s="76" t="s">
        <v>68</v>
      </c>
      <c r="C45" s="76" t="s">
        <v>69</v>
      </c>
      <c r="D45" s="10">
        <v>8359101336.8000002</v>
      </c>
      <c r="E45" s="10">
        <v>139782498.74000001</v>
      </c>
      <c r="F45" s="10">
        <v>0</v>
      </c>
      <c r="G45" s="10">
        <v>13746432.17</v>
      </c>
      <c r="H45" s="12">
        <f t="shared" si="19"/>
        <v>126036066.57000001</v>
      </c>
      <c r="I45" s="43">
        <v>7472035736</v>
      </c>
      <c r="J45" s="13">
        <f t="shared" si="20"/>
        <v>1.4051592096682762E-3</v>
      </c>
      <c r="K45" s="43">
        <v>8061187529.0100002</v>
      </c>
      <c r="L45" s="13">
        <f t="shared" si="21"/>
        <v>1.463337664795116E-3</v>
      </c>
      <c r="M45" s="13">
        <f t="shared" si="22"/>
        <v>7.8847560935969299E-2</v>
      </c>
      <c r="N45" s="20">
        <f t="shared" si="23"/>
        <v>1.705261429600833E-3</v>
      </c>
      <c r="O45" s="21">
        <f t="shared" si="24"/>
        <v>1.5634925513943302E-2</v>
      </c>
      <c r="P45" s="24">
        <f t="shared" si="25"/>
        <v>0.98643989242643804</v>
      </c>
      <c r="Q45" s="24">
        <f t="shared" si="26"/>
        <v>1.5422914242069602E-2</v>
      </c>
      <c r="R45" s="10">
        <v>1</v>
      </c>
      <c r="S45" s="10">
        <v>1</v>
      </c>
      <c r="T45" s="10">
        <v>1220</v>
      </c>
      <c r="U45" s="18">
        <v>7895497345.8999996</v>
      </c>
      <c r="V45" s="18">
        <v>8172000738.1099997</v>
      </c>
    </row>
    <row r="46" spans="1:22">
      <c r="A46" s="116">
        <v>39</v>
      </c>
      <c r="B46" s="19" t="s">
        <v>71</v>
      </c>
      <c r="C46" s="19" t="s">
        <v>72</v>
      </c>
      <c r="D46" s="10">
        <v>756129821036.89001</v>
      </c>
      <c r="E46" s="10">
        <v>11372127432.51</v>
      </c>
      <c r="F46" s="10">
        <v>0</v>
      </c>
      <c r="G46" s="10">
        <v>1210196705.5999999</v>
      </c>
      <c r="H46" s="12">
        <f t="shared" ref="H46" si="28">(E46+F46)-G46</f>
        <v>10161930726.91</v>
      </c>
      <c r="I46" s="43">
        <v>740047519512.06995</v>
      </c>
      <c r="J46" s="13">
        <f t="shared" si="20"/>
        <v>0.13917018391981476</v>
      </c>
      <c r="K46" s="43">
        <v>723970332792.89001</v>
      </c>
      <c r="L46" s="13">
        <f t="shared" si="21"/>
        <v>0.13142146270106655</v>
      </c>
      <c r="M46" s="13">
        <f t="shared" si="22"/>
        <v>-2.1724532945911344E-2</v>
      </c>
      <c r="N46" s="20">
        <f t="shared" si="23"/>
        <v>1.6716109083246195E-3</v>
      </c>
      <c r="O46" s="21">
        <f t="shared" si="24"/>
        <v>1.4036391087612532E-2</v>
      </c>
      <c r="P46" s="24">
        <f t="shared" si="25"/>
        <v>100.04575075042113</v>
      </c>
      <c r="Q46" s="24">
        <f t="shared" si="26"/>
        <v>1.4042812841867161</v>
      </c>
      <c r="R46" s="10">
        <v>100</v>
      </c>
      <c r="S46" s="10">
        <v>100</v>
      </c>
      <c r="T46" s="10">
        <v>40561</v>
      </c>
      <c r="U46" s="18">
        <v>7397133026</v>
      </c>
      <c r="V46" s="18">
        <v>7236392624</v>
      </c>
    </row>
    <row r="47" spans="1:22" s="6" customFormat="1">
      <c r="A47" s="116">
        <v>40</v>
      </c>
      <c r="B47" s="19" t="s">
        <v>323</v>
      </c>
      <c r="C47" s="19" t="s">
        <v>70</v>
      </c>
      <c r="D47" s="10">
        <v>2379926296.4499998</v>
      </c>
      <c r="E47" s="10">
        <v>97681113.640000001</v>
      </c>
      <c r="F47" s="10">
        <v>0</v>
      </c>
      <c r="G47" s="10">
        <v>6477577.3499999996</v>
      </c>
      <c r="H47" s="12">
        <f>(E47+F47)-G47</f>
        <v>91203536.290000007</v>
      </c>
      <c r="I47" s="43">
        <v>5706538947.4799995</v>
      </c>
      <c r="J47" s="13">
        <f t="shared" si="20"/>
        <v>1.0731474046288252E-3</v>
      </c>
      <c r="K47" s="43">
        <v>5856019435.8400002</v>
      </c>
      <c r="L47" s="13">
        <f t="shared" si="21"/>
        <v>1.0630361563229039E-3</v>
      </c>
      <c r="M47" s="13">
        <f t="shared" si="22"/>
        <v>2.6194597064129563E-2</v>
      </c>
      <c r="N47" s="20">
        <f t="shared" si="23"/>
        <v>1.1061400019193827E-3</v>
      </c>
      <c r="O47" s="21">
        <f t="shared" si="24"/>
        <v>1.5574322675880527E-2</v>
      </c>
      <c r="P47" s="24">
        <f t="shared" si="25"/>
        <v>1.0300221988425604</v>
      </c>
      <c r="Q47" s="24">
        <f t="shared" si="26"/>
        <v>1.604189808809401E-2</v>
      </c>
      <c r="R47" s="10">
        <v>1</v>
      </c>
      <c r="S47" s="10">
        <v>1</v>
      </c>
      <c r="T47" s="10">
        <v>2201</v>
      </c>
      <c r="U47" s="18">
        <v>5589914843.1800003</v>
      </c>
      <c r="V47" s="18">
        <v>5685333231.0900002</v>
      </c>
    </row>
    <row r="48" spans="1:22">
      <c r="A48" s="116">
        <v>41</v>
      </c>
      <c r="B48" s="19" t="s">
        <v>259</v>
      </c>
      <c r="C48" s="19" t="s">
        <v>260</v>
      </c>
      <c r="D48" s="10">
        <v>4479150931.4399996</v>
      </c>
      <c r="E48" s="10">
        <v>71529524.900000006</v>
      </c>
      <c r="F48" s="10">
        <v>0</v>
      </c>
      <c r="G48" s="10">
        <v>61553861.369999997</v>
      </c>
      <c r="H48" s="12">
        <f>(E48+F48)-G48</f>
        <v>9975663.5300000086</v>
      </c>
      <c r="I48" s="43">
        <v>4140041769.7199998</v>
      </c>
      <c r="J48" s="13">
        <f t="shared" si="20"/>
        <v>7.7855861865131295E-4</v>
      </c>
      <c r="K48" s="43">
        <v>4213314403.5599999</v>
      </c>
      <c r="L48" s="13">
        <f t="shared" si="21"/>
        <v>7.648378899715668E-4</v>
      </c>
      <c r="M48" s="13">
        <f t="shared" si="22"/>
        <v>1.7698525260279135E-2</v>
      </c>
      <c r="N48" s="20">
        <f t="shared" si="23"/>
        <v>1.4609368177696553E-2</v>
      </c>
      <c r="O48" s="21">
        <f t="shared" si="24"/>
        <v>2.3676522980509516E-3</v>
      </c>
      <c r="P48" s="24">
        <f t="shared" si="25"/>
        <v>0.92451536337045692</v>
      </c>
      <c r="Q48" s="24">
        <f t="shared" si="26"/>
        <v>2.1889309246674728E-3</v>
      </c>
      <c r="R48" s="10">
        <v>1</v>
      </c>
      <c r="S48" s="10">
        <v>1</v>
      </c>
      <c r="T48" s="10">
        <v>750</v>
      </c>
      <c r="U48" s="18">
        <v>4425390900.9700003</v>
      </c>
      <c r="V48" s="18">
        <v>4557322214.96</v>
      </c>
    </row>
    <row r="49" spans="1:22">
      <c r="A49" s="116">
        <v>42</v>
      </c>
      <c r="B49" s="19" t="s">
        <v>313</v>
      </c>
      <c r="C49" s="19" t="s">
        <v>314</v>
      </c>
      <c r="D49" s="10">
        <v>7398998.5899999999</v>
      </c>
      <c r="E49" s="10">
        <v>610000</v>
      </c>
      <c r="F49" s="10">
        <v>0</v>
      </c>
      <c r="G49" s="10">
        <v>0</v>
      </c>
      <c r="H49" s="12">
        <f t="shared" si="19"/>
        <v>610000</v>
      </c>
      <c r="I49" s="43">
        <v>7398998.5899999999</v>
      </c>
      <c r="J49" s="13">
        <f t="shared" si="20"/>
        <v>1.391424155129481E-6</v>
      </c>
      <c r="K49" s="43">
        <v>8498998.5899999999</v>
      </c>
      <c r="L49" s="13">
        <f t="shared" si="21"/>
        <v>1.5428129794810726E-6</v>
      </c>
      <c r="M49" s="13">
        <f t="shared" si="22"/>
        <v>0.14866876735004217</v>
      </c>
      <c r="N49" s="20">
        <f t="shared" si="23"/>
        <v>0</v>
      </c>
      <c r="O49" s="21">
        <f t="shared" si="24"/>
        <v>7.1773161689629134E-2</v>
      </c>
      <c r="P49" s="24">
        <f t="shared" si="25"/>
        <v>8.5997010897611026E-3</v>
      </c>
      <c r="Q49" s="24">
        <f t="shared" si="26"/>
        <v>6.1722773679790343E-4</v>
      </c>
      <c r="R49" s="10">
        <v>1</v>
      </c>
      <c r="S49" s="10">
        <v>1</v>
      </c>
      <c r="T49" s="10">
        <v>24</v>
      </c>
      <c r="U49" s="18">
        <v>1000000000</v>
      </c>
      <c r="V49" s="18">
        <v>988290000</v>
      </c>
    </row>
    <row r="50" spans="1:22" ht="15.6" customHeight="1">
      <c r="A50" s="116">
        <v>43</v>
      </c>
      <c r="B50" s="19" t="s">
        <v>73</v>
      </c>
      <c r="C50" s="19" t="s">
        <v>74</v>
      </c>
      <c r="D50" s="10">
        <v>2085205353.9400001</v>
      </c>
      <c r="E50" s="10">
        <v>29558559.09</v>
      </c>
      <c r="F50" s="10">
        <v>0</v>
      </c>
      <c r="G50" s="10">
        <v>1755244.27</v>
      </c>
      <c r="H50" s="12">
        <f t="shared" si="19"/>
        <v>27803314.82</v>
      </c>
      <c r="I50" s="43">
        <v>1975244360.3599999</v>
      </c>
      <c r="J50" s="13">
        <f t="shared" si="20"/>
        <v>3.7145603987582128E-4</v>
      </c>
      <c r="K50" s="43">
        <v>2000433635.1800001</v>
      </c>
      <c r="L50" s="13">
        <f t="shared" si="21"/>
        <v>3.631363088561483E-4</v>
      </c>
      <c r="M50" s="13">
        <f t="shared" si="22"/>
        <v>1.2752485376244425E-2</v>
      </c>
      <c r="N50" s="20">
        <f t="shared" si="23"/>
        <v>8.7743189233171549E-4</v>
      </c>
      <c r="O50" s="21">
        <f t="shared" si="24"/>
        <v>1.3898643939516765E-2</v>
      </c>
      <c r="P50" s="24">
        <f t="shared" si="25"/>
        <v>9.9971046423986252</v>
      </c>
      <c r="Q50" s="24">
        <f t="shared" si="26"/>
        <v>0.13894619785078857</v>
      </c>
      <c r="R50" s="10">
        <v>10</v>
      </c>
      <c r="S50" s="10">
        <v>10</v>
      </c>
      <c r="T50" s="10">
        <v>563</v>
      </c>
      <c r="U50" s="18">
        <v>196753698</v>
      </c>
      <c r="V50" s="18">
        <v>200101300</v>
      </c>
    </row>
    <row r="51" spans="1:22">
      <c r="A51" s="116">
        <v>44</v>
      </c>
      <c r="B51" s="19" t="s">
        <v>75</v>
      </c>
      <c r="C51" s="19" t="s">
        <v>76</v>
      </c>
      <c r="D51" s="10">
        <v>3146016356.1700001</v>
      </c>
      <c r="E51" s="10">
        <v>204442669.02000001</v>
      </c>
      <c r="F51" s="10">
        <v>0</v>
      </c>
      <c r="G51" s="10">
        <v>21015268.300000001</v>
      </c>
      <c r="H51" s="12">
        <f t="shared" si="19"/>
        <v>183427400.72</v>
      </c>
      <c r="I51" s="43">
        <v>10878982700.23</v>
      </c>
      <c r="J51" s="13">
        <f t="shared" si="20"/>
        <v>2.0458551421802295E-3</v>
      </c>
      <c r="K51" s="43">
        <v>12045070667.049999</v>
      </c>
      <c r="L51" s="13">
        <f t="shared" si="21"/>
        <v>2.18652717341979E-3</v>
      </c>
      <c r="M51" s="13">
        <f t="shared" si="22"/>
        <v>0.10718722503303059</v>
      </c>
      <c r="N51" s="20">
        <f t="shared" si="23"/>
        <v>1.7447193861210384E-3</v>
      </c>
      <c r="O51" s="21">
        <f t="shared" si="24"/>
        <v>1.522842047093808E-2</v>
      </c>
      <c r="P51" s="24">
        <f t="shared" si="25"/>
        <v>101.74942832742204</v>
      </c>
      <c r="Q51" s="24">
        <f t="shared" si="26"/>
        <v>1.5494830772475607</v>
      </c>
      <c r="R51" s="10">
        <v>100</v>
      </c>
      <c r="S51" s="10">
        <v>100</v>
      </c>
      <c r="T51" s="10">
        <v>2014</v>
      </c>
      <c r="U51" s="18">
        <v>107780889</v>
      </c>
      <c r="V51" s="18">
        <v>118379738</v>
      </c>
    </row>
    <row r="52" spans="1:22">
      <c r="A52" s="116">
        <v>45</v>
      </c>
      <c r="B52" s="71" t="s">
        <v>243</v>
      </c>
      <c r="C52" s="71" t="s">
        <v>219</v>
      </c>
      <c r="D52" s="10">
        <v>221050564.56</v>
      </c>
      <c r="E52" s="10">
        <v>3539778.58</v>
      </c>
      <c r="F52" s="10">
        <v>0</v>
      </c>
      <c r="G52" s="10">
        <v>330626.93</v>
      </c>
      <c r="H52" s="12">
        <f t="shared" si="19"/>
        <v>3209151.65</v>
      </c>
      <c r="I52" s="43">
        <v>216844588.63999999</v>
      </c>
      <c r="J52" s="13">
        <f t="shared" si="20"/>
        <v>4.0778869582513582E-5</v>
      </c>
      <c r="K52" s="43">
        <v>222316154.75999999</v>
      </c>
      <c r="L52" s="13">
        <f t="shared" si="21"/>
        <v>4.0356783858702913E-5</v>
      </c>
      <c r="M52" s="13">
        <f t="shared" si="22"/>
        <v>2.5232661577198789E-2</v>
      </c>
      <c r="N52" s="20">
        <f t="shared" si="23"/>
        <v>1.4871925540315602E-3</v>
      </c>
      <c r="O52" s="21">
        <f t="shared" si="24"/>
        <v>1.4435080768036941E-2</v>
      </c>
      <c r="P52" s="24">
        <f t="shared" si="25"/>
        <v>1.0124295686136218</v>
      </c>
      <c r="Q52" s="24">
        <f t="shared" si="26"/>
        <v>1.4614502594886426E-2</v>
      </c>
      <c r="R52" s="10">
        <v>1</v>
      </c>
      <c r="S52" s="10">
        <v>1</v>
      </c>
      <c r="T52" s="10">
        <v>147</v>
      </c>
      <c r="U52" s="18">
        <v>215306466.38999999</v>
      </c>
      <c r="V52" s="18">
        <v>219586785.74000001</v>
      </c>
    </row>
    <row r="53" spans="1:22">
      <c r="A53" s="116">
        <v>46</v>
      </c>
      <c r="B53" s="76" t="s">
        <v>261</v>
      </c>
      <c r="C53" s="76" t="s">
        <v>36</v>
      </c>
      <c r="D53" s="10">
        <v>2295520941.2199998</v>
      </c>
      <c r="E53" s="10">
        <v>33766250.170000002</v>
      </c>
      <c r="F53" s="10">
        <v>0</v>
      </c>
      <c r="G53" s="10">
        <v>3849368.98</v>
      </c>
      <c r="H53" s="12">
        <f t="shared" si="19"/>
        <v>29916881.190000001</v>
      </c>
      <c r="I53" s="43">
        <v>2156935767.8800001</v>
      </c>
      <c r="J53" s="13">
        <f t="shared" si="20"/>
        <v>4.0562415196932584E-4</v>
      </c>
      <c r="K53" s="43">
        <v>2332510588.3299999</v>
      </c>
      <c r="L53" s="13">
        <f t="shared" si="21"/>
        <v>4.2341783827176243E-4</v>
      </c>
      <c r="M53" s="13">
        <f t="shared" si="22"/>
        <v>8.1400115415846644E-2</v>
      </c>
      <c r="N53" s="20">
        <f t="shared" si="23"/>
        <v>1.6503114709357097E-3</v>
      </c>
      <c r="O53" s="21">
        <f t="shared" si="24"/>
        <v>1.2826043036923359E-2</v>
      </c>
      <c r="P53" s="24">
        <f t="shared" si="25"/>
        <v>100.00000001414784</v>
      </c>
      <c r="Q53" s="24">
        <f t="shared" si="26"/>
        <v>1.2826043038737966</v>
      </c>
      <c r="R53" s="10">
        <v>100</v>
      </c>
      <c r="S53" s="10">
        <v>100</v>
      </c>
      <c r="T53" s="10">
        <v>8890</v>
      </c>
      <c r="U53" s="18">
        <v>21569357.68</v>
      </c>
      <c r="V53" s="18">
        <v>23325105.879999999</v>
      </c>
    </row>
    <row r="54" spans="1:22">
      <c r="A54" s="116">
        <v>47</v>
      </c>
      <c r="B54" s="76" t="s">
        <v>77</v>
      </c>
      <c r="C54" s="76" t="s">
        <v>36</v>
      </c>
      <c r="D54" s="10">
        <v>415047268529.27002</v>
      </c>
      <c r="E54" s="10">
        <v>6153212116.5100002</v>
      </c>
      <c r="F54" s="10">
        <v>0</v>
      </c>
      <c r="G54" s="10">
        <v>450851555.51999998</v>
      </c>
      <c r="H54" s="12">
        <f t="shared" si="19"/>
        <v>5702360560.9899998</v>
      </c>
      <c r="I54" s="43">
        <v>364282688987.53003</v>
      </c>
      <c r="J54" s="13">
        <f t="shared" si="20"/>
        <v>6.8505450648122038E-2</v>
      </c>
      <c r="K54" s="43">
        <v>413189260922.78003</v>
      </c>
      <c r="L54" s="13">
        <f t="shared" si="21"/>
        <v>7.5005748969521432E-2</v>
      </c>
      <c r="M54" s="13">
        <f t="shared" si="22"/>
        <v>0.13425444967252931</v>
      </c>
      <c r="N54" s="20">
        <f t="shared" si="23"/>
        <v>1.0911502262016886E-3</v>
      </c>
      <c r="O54" s="21">
        <f t="shared" si="24"/>
        <v>1.3800844069022647E-2</v>
      </c>
      <c r="P54" s="24">
        <f t="shared" si="25"/>
        <v>99.999999999946766</v>
      </c>
      <c r="Q54" s="24">
        <f t="shared" si="26"/>
        <v>1.3800844069015299</v>
      </c>
      <c r="R54" s="10">
        <v>100</v>
      </c>
      <c r="S54" s="10">
        <v>100</v>
      </c>
      <c r="T54" s="10">
        <v>38958</v>
      </c>
      <c r="U54" s="18">
        <v>3642826889.8800001</v>
      </c>
      <c r="V54" s="18">
        <v>4131892609.23</v>
      </c>
    </row>
    <row r="55" spans="1:22">
      <c r="A55" s="116">
        <v>48</v>
      </c>
      <c r="B55" s="19" t="s">
        <v>78</v>
      </c>
      <c r="C55" s="19" t="s">
        <v>38</v>
      </c>
      <c r="D55" s="10">
        <v>61702458820.25</v>
      </c>
      <c r="E55" s="10">
        <v>939425340.63</v>
      </c>
      <c r="F55" s="10">
        <v>0</v>
      </c>
      <c r="G55" s="10">
        <v>71607425.709999993</v>
      </c>
      <c r="H55" s="12">
        <f t="shared" si="19"/>
        <v>867817914.91999996</v>
      </c>
      <c r="I55" s="43">
        <v>55560160966.709999</v>
      </c>
      <c r="J55" s="13">
        <f t="shared" si="20"/>
        <v>1.044840718532458E-2</v>
      </c>
      <c r="K55" s="43">
        <v>61437883954.089996</v>
      </c>
      <c r="L55" s="13">
        <f t="shared" si="21"/>
        <v>1.1152745090197969E-2</v>
      </c>
      <c r="M55" s="13">
        <f t="shared" si="22"/>
        <v>0.10579024403658144</v>
      </c>
      <c r="N55" s="20">
        <f t="shared" si="23"/>
        <v>1.1655255861922145E-3</v>
      </c>
      <c r="O55" s="21">
        <f t="shared" si="24"/>
        <v>1.4125127023718535E-2</v>
      </c>
      <c r="P55" s="24">
        <f t="shared" si="25"/>
        <v>1.0002835789942812</v>
      </c>
      <c r="Q55" s="24">
        <f t="shared" si="26"/>
        <v>1.4129132613034015E-2</v>
      </c>
      <c r="R55" s="10">
        <v>1</v>
      </c>
      <c r="S55" s="10">
        <v>1</v>
      </c>
      <c r="T55" s="10">
        <v>3502</v>
      </c>
      <c r="U55" s="18">
        <v>55542349506</v>
      </c>
      <c r="V55" s="18">
        <v>61420466400</v>
      </c>
    </row>
    <row r="56" spans="1:22">
      <c r="A56" s="116">
        <v>49</v>
      </c>
      <c r="B56" s="19" t="s">
        <v>269</v>
      </c>
      <c r="C56" s="76" t="s">
        <v>270</v>
      </c>
      <c r="D56" s="10">
        <v>2971213134.9099998</v>
      </c>
      <c r="E56" s="10">
        <v>93336589.349999994</v>
      </c>
      <c r="F56" s="10"/>
      <c r="G56" s="10">
        <v>93336589.299999997</v>
      </c>
      <c r="H56" s="12">
        <f t="shared" si="19"/>
        <v>4.9999997019767761E-2</v>
      </c>
      <c r="I56" s="43">
        <v>5681465181.8299999</v>
      </c>
      <c r="J56" s="13">
        <f t="shared" si="20"/>
        <v>1.0684321390748328E-3</v>
      </c>
      <c r="K56" s="43">
        <v>574851077.59000003</v>
      </c>
      <c r="L56" s="13">
        <f t="shared" si="21"/>
        <v>1.0435202387467782E-4</v>
      </c>
      <c r="M56" s="13">
        <f t="shared" si="22"/>
        <v>-0.89881992422862289</v>
      </c>
      <c r="N56" s="20">
        <f t="shared" si="23"/>
        <v>0.16236655533691158</v>
      </c>
      <c r="O56" s="21">
        <f t="shared" si="24"/>
        <v>8.6979043736661763E-11</v>
      </c>
      <c r="P56" s="24">
        <f t="shared" si="25"/>
        <v>9.9885140711671507</v>
      </c>
      <c r="Q56" s="24">
        <f t="shared" si="26"/>
        <v>8.6879140226030906E-10</v>
      </c>
      <c r="R56" s="10">
        <v>100</v>
      </c>
      <c r="S56" s="10">
        <v>100</v>
      </c>
      <c r="T56" s="10">
        <v>973</v>
      </c>
      <c r="U56" s="18">
        <v>55413564.399999999</v>
      </c>
      <c r="V56" s="18">
        <v>57551210.670000002</v>
      </c>
    </row>
    <row r="57" spans="1:22">
      <c r="A57" s="116">
        <v>50</v>
      </c>
      <c r="B57" s="19" t="s">
        <v>79</v>
      </c>
      <c r="C57" s="19" t="s">
        <v>40</v>
      </c>
      <c r="D57" s="10">
        <v>103289511674.10001</v>
      </c>
      <c r="E57" s="10">
        <v>1481808985.02</v>
      </c>
      <c r="F57" s="10">
        <v>0</v>
      </c>
      <c r="G57" s="10">
        <v>142251829.96000001</v>
      </c>
      <c r="H57" s="12">
        <f t="shared" si="19"/>
        <v>1339557155.0599999</v>
      </c>
      <c r="I57" s="43">
        <v>96974148730.830002</v>
      </c>
      <c r="J57" s="13">
        <f t="shared" si="20"/>
        <v>1.8236545300814252E-2</v>
      </c>
      <c r="K57" s="43">
        <v>110148854498.25</v>
      </c>
      <c r="L57" s="13">
        <f t="shared" si="21"/>
        <v>1.9995188914941592E-2</v>
      </c>
      <c r="M57" s="13">
        <f t="shared" si="22"/>
        <v>0.13585791615442661</v>
      </c>
      <c r="N57" s="20">
        <f t="shared" si="23"/>
        <v>1.291450833583204E-3</v>
      </c>
      <c r="O57" s="21">
        <f t="shared" si="24"/>
        <v>1.2161335323566913E-2</v>
      </c>
      <c r="P57" s="24">
        <f t="shared" si="25"/>
        <v>10.040749817342611</v>
      </c>
      <c r="Q57" s="24">
        <f t="shared" si="26"/>
        <v>0.12210892542874673</v>
      </c>
      <c r="R57" s="10">
        <v>10</v>
      </c>
      <c r="S57" s="10">
        <v>10</v>
      </c>
      <c r="T57" s="10">
        <v>10564</v>
      </c>
      <c r="U57" s="18">
        <v>9657642721.2700005</v>
      </c>
      <c r="V57" s="18">
        <v>10970182157.91</v>
      </c>
    </row>
    <row r="58" spans="1:22" ht="14.1" customHeight="1">
      <c r="A58" s="116">
        <v>51</v>
      </c>
      <c r="B58" s="19" t="s">
        <v>80</v>
      </c>
      <c r="C58" s="19" t="s">
        <v>254</v>
      </c>
      <c r="D58" s="10">
        <v>19606082418.119999</v>
      </c>
      <c r="E58" s="10">
        <v>673626287.95000005</v>
      </c>
      <c r="F58" s="10">
        <v>83426539.590000004</v>
      </c>
      <c r="G58" s="10">
        <v>52080120.659999996</v>
      </c>
      <c r="H58" s="12">
        <f t="shared" si="19"/>
        <v>704972706.88000011</v>
      </c>
      <c r="I58" s="43">
        <v>39579985426</v>
      </c>
      <c r="J58" s="13">
        <f t="shared" si="20"/>
        <v>7.4432434486258262E-3</v>
      </c>
      <c r="K58" s="43">
        <v>40865505534</v>
      </c>
      <c r="L58" s="13">
        <f t="shared" si="21"/>
        <v>7.4182660090205757E-3</v>
      </c>
      <c r="M58" s="13">
        <f t="shared" si="22"/>
        <v>3.2479044501000365E-2</v>
      </c>
      <c r="N58" s="20">
        <f t="shared" si="23"/>
        <v>1.2744274169487384E-3</v>
      </c>
      <c r="O58" s="21">
        <f t="shared" si="24"/>
        <v>1.7251045782205352E-2</v>
      </c>
      <c r="P58" s="24">
        <f t="shared" si="25"/>
        <v>100</v>
      </c>
      <c r="Q58" s="24">
        <f t="shared" si="26"/>
        <v>1.7251045782205352</v>
      </c>
      <c r="R58" s="10">
        <v>100</v>
      </c>
      <c r="S58" s="10">
        <v>100</v>
      </c>
      <c r="T58" s="10">
        <v>6159</v>
      </c>
      <c r="U58" s="18">
        <v>395799854.25999999</v>
      </c>
      <c r="V58" s="18">
        <v>408655055.33999997</v>
      </c>
    </row>
    <row r="59" spans="1:22">
      <c r="A59" s="116">
        <v>52</v>
      </c>
      <c r="B59" s="19" t="s">
        <v>81</v>
      </c>
      <c r="C59" s="76" t="s">
        <v>82</v>
      </c>
      <c r="D59" s="10">
        <v>111731265.93000001</v>
      </c>
      <c r="E59" s="10">
        <v>831270.22</v>
      </c>
      <c r="F59" s="10">
        <v>0</v>
      </c>
      <c r="G59" s="10">
        <v>9379.76</v>
      </c>
      <c r="H59" s="12">
        <f t="shared" si="19"/>
        <v>821890.46</v>
      </c>
      <c r="I59" s="43">
        <v>175475609.03</v>
      </c>
      <c r="J59" s="13">
        <f t="shared" si="20"/>
        <v>3.2999195508753149E-5</v>
      </c>
      <c r="K59" s="43">
        <v>178725572.81999999</v>
      </c>
      <c r="L59" s="13">
        <f t="shared" si="21"/>
        <v>3.2443838011259819E-5</v>
      </c>
      <c r="M59" s="13">
        <f t="shared" si="22"/>
        <v>1.852088622438897E-2</v>
      </c>
      <c r="N59" s="20">
        <f t="shared" si="23"/>
        <v>5.2481353686563057E-5</v>
      </c>
      <c r="O59" s="21">
        <f t="shared" si="24"/>
        <v>4.5986170139611249E-3</v>
      </c>
      <c r="P59" s="24">
        <f t="shared" si="25"/>
        <v>1.0119256453290595</v>
      </c>
      <c r="Q59" s="24">
        <f t="shared" si="26"/>
        <v>4.6534584894738044E-3</v>
      </c>
      <c r="R59" s="10">
        <v>1</v>
      </c>
      <c r="S59" s="10">
        <v>1</v>
      </c>
      <c r="T59" s="10">
        <v>100</v>
      </c>
      <c r="U59" s="18">
        <v>173369274</v>
      </c>
      <c r="V59" s="18">
        <v>176619274</v>
      </c>
    </row>
    <row r="60" spans="1:22" ht="15" customHeight="1">
      <c r="A60" s="116">
        <v>53</v>
      </c>
      <c r="B60" s="76" t="s">
        <v>83</v>
      </c>
      <c r="C60" s="76" t="s">
        <v>42</v>
      </c>
      <c r="D60" s="10">
        <v>2882673825.5599999</v>
      </c>
      <c r="E60" s="10">
        <v>112113970.06</v>
      </c>
      <c r="F60" s="10">
        <v>0</v>
      </c>
      <c r="G60" s="10">
        <v>3519264.16</v>
      </c>
      <c r="H60" s="12">
        <f t="shared" si="19"/>
        <v>108594705.90000001</v>
      </c>
      <c r="I60" s="43">
        <v>2631605304.4299998</v>
      </c>
      <c r="J60" s="13">
        <f t="shared" si="20"/>
        <v>4.9488848292249417E-4</v>
      </c>
      <c r="K60" s="43">
        <v>2982811096.4200001</v>
      </c>
      <c r="L60" s="13">
        <f t="shared" si="21"/>
        <v>5.4146610640830155E-4</v>
      </c>
      <c r="M60" s="13">
        <f t="shared" si="22"/>
        <v>0.13345686429449977</v>
      </c>
      <c r="N60" s="20">
        <f t="shared" si="23"/>
        <v>1.1798481520414942E-3</v>
      </c>
      <c r="O60" s="21">
        <f t="shared" si="24"/>
        <v>3.6406833148212595E-2</v>
      </c>
      <c r="P60" s="24">
        <f t="shared" si="25"/>
        <v>10.705518325955227</v>
      </c>
      <c r="Q60" s="24">
        <f t="shared" si="26"/>
        <v>0.38975401945818416</v>
      </c>
      <c r="R60" s="10">
        <v>10</v>
      </c>
      <c r="S60" s="10">
        <v>10</v>
      </c>
      <c r="T60" s="10">
        <v>982</v>
      </c>
      <c r="U60" s="18">
        <v>2982811096.4200001</v>
      </c>
      <c r="V60" s="18">
        <v>278623697.19999999</v>
      </c>
    </row>
    <row r="61" spans="1:22" ht="15" customHeight="1">
      <c r="A61" s="116">
        <v>54</v>
      </c>
      <c r="B61" s="10" t="s">
        <v>202</v>
      </c>
      <c r="C61" s="10" t="s">
        <v>203</v>
      </c>
      <c r="D61" s="10">
        <v>730807618.55999994</v>
      </c>
      <c r="E61" s="10">
        <v>25739137.100000001</v>
      </c>
      <c r="F61" s="10">
        <v>0</v>
      </c>
      <c r="G61" s="10">
        <v>2935987.83</v>
      </c>
      <c r="H61" s="12">
        <f t="shared" si="19"/>
        <v>22803149.270000003</v>
      </c>
      <c r="I61" s="43">
        <v>1418414376</v>
      </c>
      <c r="J61" s="13">
        <f t="shared" si="20"/>
        <v>2.6674096511070024E-4</v>
      </c>
      <c r="K61" s="43">
        <v>1523167054</v>
      </c>
      <c r="L61" s="13">
        <f t="shared" si="21"/>
        <v>2.7649868110275186E-4</v>
      </c>
      <c r="M61" s="13">
        <f t="shared" si="22"/>
        <v>7.3851957349309882E-2</v>
      </c>
      <c r="N61" s="20">
        <f t="shared" si="23"/>
        <v>1.9275547106207302E-3</v>
      </c>
      <c r="O61" s="21">
        <f t="shared" si="24"/>
        <v>1.4970878742496753E-2</v>
      </c>
      <c r="P61" s="24">
        <f t="shared" si="25"/>
        <v>1</v>
      </c>
      <c r="Q61" s="24">
        <f t="shared" si="26"/>
        <v>1.4970878742496753E-2</v>
      </c>
      <c r="R61" s="10">
        <v>1</v>
      </c>
      <c r="S61" s="10">
        <v>1</v>
      </c>
      <c r="T61" s="10">
        <v>235</v>
      </c>
      <c r="U61" s="18">
        <v>1703819696.6500001</v>
      </c>
      <c r="V61" s="18">
        <v>1523167054</v>
      </c>
    </row>
    <row r="62" spans="1:22" ht="15" customHeight="1">
      <c r="A62" s="116">
        <v>55</v>
      </c>
      <c r="B62" s="10" t="s">
        <v>289</v>
      </c>
      <c r="C62" s="10" t="s">
        <v>290</v>
      </c>
      <c r="D62" s="10">
        <v>1261885493.5699999</v>
      </c>
      <c r="E62" s="10">
        <v>28777648.760000002</v>
      </c>
      <c r="F62" s="10">
        <v>0</v>
      </c>
      <c r="G62" s="10">
        <v>4262982.6500000004</v>
      </c>
      <c r="H62" s="12">
        <f t="shared" si="19"/>
        <v>24514666.109999999</v>
      </c>
      <c r="I62" s="43">
        <v>2092847326.75</v>
      </c>
      <c r="J62" s="13">
        <f t="shared" si="20"/>
        <v>3.9357195274693408E-4</v>
      </c>
      <c r="K62" s="43">
        <v>2427364830.9000001</v>
      </c>
      <c r="L62" s="13">
        <f t="shared" si="21"/>
        <v>4.4063661470126201E-4</v>
      </c>
      <c r="M62" s="13">
        <f t="shared" si="22"/>
        <v>0.15983846498228568</v>
      </c>
      <c r="N62" s="20">
        <f t="shared" si="23"/>
        <v>1.7562183466337047E-3</v>
      </c>
      <c r="O62" s="21">
        <f t="shared" si="24"/>
        <v>1.0099291955593934E-2</v>
      </c>
      <c r="P62" s="24">
        <f t="shared" si="25"/>
        <v>1</v>
      </c>
      <c r="Q62" s="24">
        <f t="shared" si="26"/>
        <v>1.0099291955593934E-2</v>
      </c>
      <c r="R62" s="10">
        <v>1</v>
      </c>
      <c r="S62" s="10">
        <v>1</v>
      </c>
      <c r="T62" s="10">
        <v>2599</v>
      </c>
      <c r="U62" s="18">
        <v>2092847326.75</v>
      </c>
      <c r="V62" s="18">
        <v>2427364830.9000001</v>
      </c>
    </row>
    <row r="63" spans="1:22" ht="15" customHeight="1">
      <c r="A63" s="116">
        <v>56</v>
      </c>
      <c r="B63" s="71" t="s">
        <v>204</v>
      </c>
      <c r="C63" s="72" t="s">
        <v>205</v>
      </c>
      <c r="D63" s="10">
        <v>15288122619.709999</v>
      </c>
      <c r="E63" s="10">
        <v>206425622.16</v>
      </c>
      <c r="F63" s="10">
        <v>0</v>
      </c>
      <c r="G63" s="10">
        <v>207009005.34</v>
      </c>
      <c r="H63" s="12">
        <f t="shared" si="19"/>
        <v>-583383.18000000715</v>
      </c>
      <c r="I63" s="43">
        <v>13469912540.16</v>
      </c>
      <c r="J63" s="13">
        <f t="shared" si="20"/>
        <v>2.5330943705261784E-3</v>
      </c>
      <c r="K63" s="43">
        <v>15382237580.200001</v>
      </c>
      <c r="L63" s="13">
        <f t="shared" si="21"/>
        <v>2.7923190645209989E-3</v>
      </c>
      <c r="M63" s="13">
        <f t="shared" si="22"/>
        <v>0.14197011556968028</v>
      </c>
      <c r="N63" s="20">
        <f t="shared" si="23"/>
        <v>1.3457665327342348E-2</v>
      </c>
      <c r="O63" s="21">
        <f t="shared" si="24"/>
        <v>-3.7925768403872358E-5</v>
      </c>
      <c r="P63" s="24">
        <f t="shared" si="25"/>
        <v>99.999960494709782</v>
      </c>
      <c r="Q63" s="24">
        <f t="shared" si="26"/>
        <v>-3.7925753421187481E-3</v>
      </c>
      <c r="R63" s="10">
        <v>100</v>
      </c>
      <c r="S63" s="10">
        <v>100</v>
      </c>
      <c r="T63" s="10">
        <v>166</v>
      </c>
      <c r="U63" s="18">
        <v>144697124.34</v>
      </c>
      <c r="V63" s="18">
        <v>153822436.56999999</v>
      </c>
    </row>
    <row r="64" spans="1:22" ht="15" customHeight="1">
      <c r="A64" s="116">
        <v>57</v>
      </c>
      <c r="B64" s="71" t="s">
        <v>206</v>
      </c>
      <c r="C64" s="72" t="s">
        <v>109</v>
      </c>
      <c r="D64" s="10">
        <v>91422660.459999993</v>
      </c>
      <c r="E64" s="10">
        <v>1370358.41</v>
      </c>
      <c r="F64" s="10">
        <v>0</v>
      </c>
      <c r="G64" s="10">
        <v>105695.81</v>
      </c>
      <c r="H64" s="12">
        <f t="shared" si="19"/>
        <v>1264662.5999999999</v>
      </c>
      <c r="I64" s="43">
        <v>73890607.049999997</v>
      </c>
      <c r="J64" s="13">
        <f t="shared" si="20"/>
        <v>1.3895552788117335E-5</v>
      </c>
      <c r="K64" s="43">
        <v>99925000</v>
      </c>
      <c r="L64" s="13">
        <f t="shared" si="21"/>
        <v>1.8139264919521087E-5</v>
      </c>
      <c r="M64" s="13">
        <f t="shared" si="22"/>
        <v>0.35233697474407205</v>
      </c>
      <c r="N64" s="20">
        <f t="shared" si="23"/>
        <v>1.0577514135601701E-3</v>
      </c>
      <c r="O64" s="21">
        <f t="shared" si="24"/>
        <v>1.2656118088566424E-2</v>
      </c>
      <c r="P64" s="24">
        <f t="shared" si="25"/>
        <v>1000</v>
      </c>
      <c r="Q64" s="24">
        <f t="shared" si="26"/>
        <v>12.656118088566423</v>
      </c>
      <c r="R64" s="10">
        <v>1000</v>
      </c>
      <c r="S64" s="10">
        <v>1000</v>
      </c>
      <c r="T64" s="10">
        <v>29</v>
      </c>
      <c r="U64" s="18">
        <v>58475</v>
      </c>
      <c r="V64" s="18">
        <v>99925</v>
      </c>
    </row>
    <row r="65" spans="1:23" ht="15" customHeight="1">
      <c r="A65" s="116">
        <v>58</v>
      </c>
      <c r="B65" s="71" t="s">
        <v>322</v>
      </c>
      <c r="C65" s="71" t="s">
        <v>32</v>
      </c>
      <c r="D65" s="10">
        <v>2070743683.5</v>
      </c>
      <c r="E65" s="10">
        <v>32289453.719999999</v>
      </c>
      <c r="F65" s="10">
        <v>0</v>
      </c>
      <c r="G65" s="10">
        <v>32289453.719999999</v>
      </c>
      <c r="H65" s="12">
        <f t="shared" si="19"/>
        <v>0</v>
      </c>
      <c r="I65" s="43">
        <v>0</v>
      </c>
      <c r="J65" s="13">
        <f t="shared" si="20"/>
        <v>0</v>
      </c>
      <c r="K65" s="43">
        <v>2036770000</v>
      </c>
      <c r="L65" s="13">
        <f t="shared" si="21"/>
        <v>3.6973240540538369E-4</v>
      </c>
      <c r="M65" s="13" t="e">
        <f t="shared" si="22"/>
        <v>#DIV/0!</v>
      </c>
      <c r="N65" s="20">
        <f t="shared" si="23"/>
        <v>1.5853264590503589E-2</v>
      </c>
      <c r="O65" s="21">
        <f t="shared" si="24"/>
        <v>0</v>
      </c>
      <c r="P65" s="24">
        <f t="shared" si="25"/>
        <v>1</v>
      </c>
      <c r="Q65" s="24">
        <f t="shared" si="26"/>
        <v>0</v>
      </c>
      <c r="R65" s="10">
        <v>1</v>
      </c>
      <c r="S65" s="10">
        <v>1</v>
      </c>
      <c r="T65" s="10">
        <v>404</v>
      </c>
      <c r="U65" s="18">
        <v>1700997000</v>
      </c>
      <c r="V65" s="18">
        <v>2036770000</v>
      </c>
    </row>
    <row r="66" spans="1:23">
      <c r="A66" s="116">
        <v>59</v>
      </c>
      <c r="B66" s="19" t="s">
        <v>84</v>
      </c>
      <c r="C66" s="19" t="s">
        <v>46</v>
      </c>
      <c r="D66" s="10">
        <v>2693925768012.48</v>
      </c>
      <c r="E66" s="10">
        <v>38590623454.300003</v>
      </c>
      <c r="F66" s="10">
        <v>0</v>
      </c>
      <c r="G66" s="10">
        <v>4410353312.1400003</v>
      </c>
      <c r="H66" s="12">
        <f t="shared" si="19"/>
        <v>34180270142.160004</v>
      </c>
      <c r="I66" s="43">
        <v>2591420898406.0298</v>
      </c>
      <c r="J66" s="13">
        <f t="shared" si="20"/>
        <v>0.48733157471104355</v>
      </c>
      <c r="K66" s="43">
        <v>2692454819144.0698</v>
      </c>
      <c r="L66" s="13">
        <f t="shared" si="21"/>
        <v>0.48875808104373797</v>
      </c>
      <c r="M66" s="13">
        <f t="shared" si="22"/>
        <v>3.8987846706100698E-2</v>
      </c>
      <c r="N66" s="20">
        <f t="shared" si="23"/>
        <v>1.638041715976519E-3</v>
      </c>
      <c r="O66" s="21">
        <f t="shared" si="24"/>
        <v>1.2694835173882656E-2</v>
      </c>
      <c r="P66" s="24">
        <f t="shared" si="25"/>
        <v>1.0000000000000073</v>
      </c>
      <c r="Q66" s="24">
        <f t="shared" si="26"/>
        <v>1.269483517388275E-2</v>
      </c>
      <c r="R66" s="10">
        <v>100</v>
      </c>
      <c r="S66" s="10">
        <v>100</v>
      </c>
      <c r="T66" s="10">
        <v>309249</v>
      </c>
      <c r="U66" s="18">
        <v>2591420898406.0298</v>
      </c>
      <c r="V66" s="18">
        <v>2692454819144.0498</v>
      </c>
    </row>
    <row r="67" spans="1:23">
      <c r="A67" s="116">
        <v>60</v>
      </c>
      <c r="B67" s="19" t="s">
        <v>291</v>
      </c>
      <c r="C67" s="19" t="s">
        <v>292</v>
      </c>
      <c r="D67" s="10">
        <v>4430387556.7049999</v>
      </c>
      <c r="E67" s="10">
        <v>499122259.68000001</v>
      </c>
      <c r="F67" s="10">
        <v>0</v>
      </c>
      <c r="G67" s="10">
        <v>65869028.549999997</v>
      </c>
      <c r="H67" s="12">
        <f t="shared" si="19"/>
        <v>433253231.13</v>
      </c>
      <c r="I67" s="43">
        <v>9014004420.9400005</v>
      </c>
      <c r="J67" s="13">
        <f t="shared" si="20"/>
        <v>1.6951352717773458E-3</v>
      </c>
      <c r="K67" s="43">
        <v>10838433894.346001</v>
      </c>
      <c r="L67" s="13">
        <f t="shared" si="21"/>
        <v>1.9674878531124214E-3</v>
      </c>
      <c r="M67" s="13">
        <f t="shared" si="22"/>
        <v>0.20239944293434733</v>
      </c>
      <c r="N67" s="20">
        <f t="shared" si="23"/>
        <v>6.0773566727533729E-3</v>
      </c>
      <c r="O67" s="21">
        <f t="shared" si="24"/>
        <v>3.9973785452159447E-2</v>
      </c>
      <c r="P67" s="24">
        <f t="shared" si="25"/>
        <v>100.00000000319235</v>
      </c>
      <c r="Q67" s="24">
        <f t="shared" si="26"/>
        <v>3.9973785453435546</v>
      </c>
      <c r="R67" s="10">
        <v>100</v>
      </c>
      <c r="S67" s="10">
        <v>100</v>
      </c>
      <c r="T67" s="10">
        <v>1180</v>
      </c>
      <c r="U67" s="18">
        <v>90140044.209999993</v>
      </c>
      <c r="V67" s="18">
        <v>108384338.94</v>
      </c>
    </row>
    <row r="68" spans="1:23">
      <c r="A68" s="116">
        <v>61</v>
      </c>
      <c r="B68" s="19" t="s">
        <v>85</v>
      </c>
      <c r="C68" s="19" t="s">
        <v>86</v>
      </c>
      <c r="D68" s="10">
        <v>15879469553.35</v>
      </c>
      <c r="E68" s="10">
        <v>290416206.63999999</v>
      </c>
      <c r="F68" s="10">
        <v>0</v>
      </c>
      <c r="G68" s="10">
        <v>22555094.690000001</v>
      </c>
      <c r="H68" s="12">
        <f t="shared" si="19"/>
        <v>267861111.94999999</v>
      </c>
      <c r="I68" s="43">
        <v>15728297488.83</v>
      </c>
      <c r="J68" s="13">
        <f t="shared" si="20"/>
        <v>2.9577966232617464E-3</v>
      </c>
      <c r="K68" s="43">
        <v>15864716277.549999</v>
      </c>
      <c r="L68" s="13">
        <f t="shared" si="21"/>
        <v>2.8799028414462635E-3</v>
      </c>
      <c r="M68" s="13">
        <f t="shared" si="22"/>
        <v>8.6734618808476816E-3</v>
      </c>
      <c r="N68" s="20">
        <f t="shared" si="23"/>
        <v>1.4217143436669895E-3</v>
      </c>
      <c r="O68" s="21">
        <f t="shared" si="24"/>
        <v>1.6884078307095068E-2</v>
      </c>
      <c r="P68" s="24">
        <f t="shared" si="25"/>
        <v>1.0423080981720005</v>
      </c>
      <c r="Q68" s="24">
        <f t="shared" si="26"/>
        <v>1.7598411549655392E-2</v>
      </c>
      <c r="R68" s="10">
        <v>1</v>
      </c>
      <c r="S68" s="10">
        <v>1</v>
      </c>
      <c r="T68" s="10">
        <v>836</v>
      </c>
      <c r="U68" s="18">
        <v>15301184509.15</v>
      </c>
      <c r="V68" s="18">
        <v>15220755077.48</v>
      </c>
    </row>
    <row r="69" spans="1:23">
      <c r="A69" s="116">
        <v>62</v>
      </c>
      <c r="B69" s="19" t="s">
        <v>87</v>
      </c>
      <c r="C69" s="19" t="s">
        <v>50</v>
      </c>
      <c r="D69" s="10">
        <v>68118355684</v>
      </c>
      <c r="E69" s="10">
        <v>3324858672</v>
      </c>
      <c r="F69" s="10">
        <v>0</v>
      </c>
      <c r="G69" s="10">
        <v>348889801</v>
      </c>
      <c r="H69" s="12">
        <f t="shared" si="19"/>
        <v>2975968871</v>
      </c>
      <c r="I69" s="43">
        <v>221068629964</v>
      </c>
      <c r="J69" s="13">
        <f t="shared" si="20"/>
        <v>4.157322479950501E-2</v>
      </c>
      <c r="K69" s="43">
        <v>220367381208</v>
      </c>
      <c r="L69" s="13">
        <f t="shared" si="21"/>
        <v>4.0003025342536948E-2</v>
      </c>
      <c r="M69" s="13">
        <f t="shared" si="22"/>
        <v>-3.1720862255047002E-3</v>
      </c>
      <c r="N69" s="20">
        <f t="shared" si="23"/>
        <v>1.5832188915050475E-3</v>
      </c>
      <c r="O69" s="21">
        <f t="shared" si="24"/>
        <v>1.3504579737193715E-2</v>
      </c>
      <c r="P69" s="24">
        <f t="shared" si="25"/>
        <v>1.0286676366967271</v>
      </c>
      <c r="Q69" s="24">
        <f t="shared" si="26"/>
        <v>1.3891724122841568E-2</v>
      </c>
      <c r="R69" s="10">
        <v>1</v>
      </c>
      <c r="S69" s="10">
        <v>1</v>
      </c>
      <c r="T69" s="10">
        <v>20446</v>
      </c>
      <c r="U69" s="18">
        <v>217179134185.06</v>
      </c>
      <c r="V69" s="18">
        <v>214226027286.76001</v>
      </c>
    </row>
    <row r="70" spans="1:23">
      <c r="A70" s="116">
        <v>63</v>
      </c>
      <c r="B70" s="110" t="s">
        <v>88</v>
      </c>
      <c r="C70" s="19" t="s">
        <v>89</v>
      </c>
      <c r="D70" s="10">
        <v>1242858012.97</v>
      </c>
      <c r="E70" s="10">
        <v>38589235.409999996</v>
      </c>
      <c r="F70" s="10">
        <v>0</v>
      </c>
      <c r="G70" s="10">
        <v>6170301.3600000003</v>
      </c>
      <c r="H70" s="12">
        <f t="shared" si="19"/>
        <v>32418934.049999997</v>
      </c>
      <c r="I70" s="43">
        <v>2699422807.96</v>
      </c>
      <c r="J70" s="13">
        <f t="shared" si="20"/>
        <v>5.0764195373403833E-4</v>
      </c>
      <c r="K70" s="43">
        <v>2752397085.2399998</v>
      </c>
      <c r="L70" s="13">
        <f t="shared" si="21"/>
        <v>4.9963932842517905E-4</v>
      </c>
      <c r="M70" s="13">
        <f t="shared" si="22"/>
        <v>1.9624297877231505E-2</v>
      </c>
      <c r="N70" s="20">
        <f t="shared" si="23"/>
        <v>2.2417918523053408E-3</v>
      </c>
      <c r="O70" s="21">
        <f t="shared" si="24"/>
        <v>1.1778436412336621E-2</v>
      </c>
      <c r="P70" s="24">
        <f t="shared" si="25"/>
        <v>1.030361952069434</v>
      </c>
      <c r="Q70" s="24">
        <f t="shared" si="26"/>
        <v>1.2136052734140862E-2</v>
      </c>
      <c r="R70" s="10">
        <v>1</v>
      </c>
      <c r="S70" s="10">
        <v>1</v>
      </c>
      <c r="T70" s="10">
        <v>160</v>
      </c>
      <c r="U70" s="18">
        <v>2646531505.5799999</v>
      </c>
      <c r="V70" s="18">
        <v>2671291461.9099998</v>
      </c>
    </row>
    <row r="71" spans="1:23">
      <c r="A71" s="116">
        <v>64</v>
      </c>
      <c r="B71" s="19" t="s">
        <v>90</v>
      </c>
      <c r="C71" s="19" t="s">
        <v>91</v>
      </c>
      <c r="D71" s="10">
        <v>9263659952.1200008</v>
      </c>
      <c r="E71" s="10">
        <v>129248907.52</v>
      </c>
      <c r="F71" s="10">
        <v>0</v>
      </c>
      <c r="G71" s="10">
        <v>14175146.18</v>
      </c>
      <c r="H71" s="12">
        <f t="shared" si="19"/>
        <v>115073761.34</v>
      </c>
      <c r="I71" s="43">
        <v>9263175684.2299995</v>
      </c>
      <c r="J71" s="13">
        <f t="shared" si="20"/>
        <v>1.7419933580830268E-3</v>
      </c>
      <c r="K71" s="43">
        <v>9267367654</v>
      </c>
      <c r="L71" s="13">
        <f t="shared" si="21"/>
        <v>1.6822940903928609E-3</v>
      </c>
      <c r="M71" s="13">
        <f t="shared" si="22"/>
        <v>4.5254132199360467E-4</v>
      </c>
      <c r="N71" s="20">
        <f t="shared" si="23"/>
        <v>1.5295763273060279E-3</v>
      </c>
      <c r="O71" s="21">
        <f t="shared" si="24"/>
        <v>1.2417092494472433E-2</v>
      </c>
      <c r="P71" s="24">
        <f t="shared" si="25"/>
        <v>1.035316430183661</v>
      </c>
      <c r="Q71" s="24">
        <f t="shared" si="26"/>
        <v>1.2855619874637531E-2</v>
      </c>
      <c r="R71" s="10">
        <v>1</v>
      </c>
      <c r="S71" s="10">
        <v>1</v>
      </c>
      <c r="T71" s="10">
        <v>636</v>
      </c>
      <c r="U71" s="18">
        <v>9055916612.6000004</v>
      </c>
      <c r="V71" s="18">
        <v>8951241749.6900005</v>
      </c>
    </row>
    <row r="72" spans="1:23">
      <c r="A72" s="116">
        <v>65</v>
      </c>
      <c r="B72" s="71" t="s">
        <v>287</v>
      </c>
      <c r="C72" s="71" t="s">
        <v>285</v>
      </c>
      <c r="D72" s="10">
        <v>5115382883.3599997</v>
      </c>
      <c r="E72" s="10">
        <v>262931570.38999999</v>
      </c>
      <c r="F72" s="10"/>
      <c r="G72" s="10">
        <v>27582163.739999998</v>
      </c>
      <c r="H72" s="12">
        <f t="shared" si="19"/>
        <v>235349406.64999998</v>
      </c>
      <c r="I72" s="43">
        <v>14757539434.43</v>
      </c>
      <c r="J72" s="13">
        <f t="shared" si="20"/>
        <v>2.7752399989769108E-3</v>
      </c>
      <c r="K72" s="43">
        <v>15633246590.190001</v>
      </c>
      <c r="L72" s="13">
        <f t="shared" si="21"/>
        <v>2.8378844278374392E-3</v>
      </c>
      <c r="M72" s="13">
        <f t="shared" si="22"/>
        <v>5.9339645314918574E-2</v>
      </c>
      <c r="N72" s="20">
        <f t="shared" si="23"/>
        <v>1.7643272995711619E-3</v>
      </c>
      <c r="O72" s="21">
        <f t="shared" si="24"/>
        <v>1.505441657893913E-2</v>
      </c>
      <c r="P72" s="24">
        <f t="shared" si="25"/>
        <v>1.0009916247729562</v>
      </c>
      <c r="Q72" s="24">
        <f t="shared" si="26"/>
        <v>1.5069344911361211E-2</v>
      </c>
      <c r="R72" s="10">
        <v>1</v>
      </c>
      <c r="S72" s="10">
        <v>1</v>
      </c>
      <c r="T72" s="10">
        <v>5313</v>
      </c>
      <c r="U72" s="18">
        <v>14772010543.040001</v>
      </c>
      <c r="V72" s="18">
        <v>15617759632.84</v>
      </c>
    </row>
    <row r="73" spans="1:23">
      <c r="A73" s="116">
        <v>66</v>
      </c>
      <c r="B73" s="19" t="s">
        <v>92</v>
      </c>
      <c r="C73" s="19" t="s">
        <v>93</v>
      </c>
      <c r="D73" s="10">
        <v>144848074704.85999</v>
      </c>
      <c r="E73" s="10">
        <v>2251556888.5700002</v>
      </c>
      <c r="F73" s="10">
        <v>0</v>
      </c>
      <c r="G73" s="10">
        <v>180900314.71000001</v>
      </c>
      <c r="H73" s="12">
        <f t="shared" si="19"/>
        <v>2070656573.8600001</v>
      </c>
      <c r="I73" s="43">
        <v>148428669541.01001</v>
      </c>
      <c r="J73" s="13">
        <f t="shared" si="20"/>
        <v>2.7912863288313289E-2</v>
      </c>
      <c r="K73" s="43">
        <v>146576596463.29999</v>
      </c>
      <c r="L73" s="13">
        <f t="shared" si="21"/>
        <v>2.6607873047280822E-2</v>
      </c>
      <c r="M73" s="13">
        <f t="shared" si="22"/>
        <v>-1.2477866192813273E-2</v>
      </c>
      <c r="N73" s="20">
        <f t="shared" si="23"/>
        <v>1.2341691584801808E-3</v>
      </c>
      <c r="O73" s="21">
        <f t="shared" si="24"/>
        <v>1.4126788476620505E-2</v>
      </c>
      <c r="P73" s="24">
        <f t="shared" si="25"/>
        <v>1.0398012792724713</v>
      </c>
      <c r="Q73" s="24">
        <f t="shared" si="26"/>
        <v>1.4689052730001607E-2</v>
      </c>
      <c r="R73" s="10">
        <v>1</v>
      </c>
      <c r="S73" s="10">
        <v>1</v>
      </c>
      <c r="T73" s="10">
        <v>8064</v>
      </c>
      <c r="U73" s="18">
        <v>144756335025.26001</v>
      </c>
      <c r="V73" s="18">
        <v>140965970503.38</v>
      </c>
    </row>
    <row r="74" spans="1:23" ht="15" customHeight="1">
      <c r="A74" s="118" t="s">
        <v>51</v>
      </c>
      <c r="B74" s="118"/>
      <c r="C74" s="118"/>
      <c r="D74" s="118"/>
      <c r="E74" s="118"/>
      <c r="F74" s="118"/>
      <c r="G74" s="118"/>
      <c r="H74" s="118"/>
      <c r="I74" s="26">
        <f>SUM(I28:I73)</f>
        <v>5317572332436.2402</v>
      </c>
      <c r="J74" s="34">
        <f>(I74/$I$243)</f>
        <v>0.64012103815407795</v>
      </c>
      <c r="K74" s="36">
        <f>SUM(K28:K73)</f>
        <v>5508767882454.9756</v>
      </c>
      <c r="L74" s="34">
        <f>(K74/$K$243)</f>
        <v>0.64084870692215867</v>
      </c>
      <c r="M74" s="34">
        <f t="shared" si="14"/>
        <v>3.595542064420576E-2</v>
      </c>
      <c r="N74" s="20"/>
      <c r="O74" s="20"/>
      <c r="P74" s="37"/>
      <c r="Q74" s="37"/>
      <c r="R74" s="36"/>
      <c r="S74" s="36"/>
      <c r="T74" s="36">
        <f>SUM(T28:T73)</f>
        <v>646478</v>
      </c>
      <c r="U74" s="36"/>
      <c r="V74" s="36"/>
    </row>
    <row r="75" spans="1:23" ht="6" customHeight="1">
      <c r="A75" s="136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5"/>
    </row>
    <row r="76" spans="1:23" ht="12.75" customHeight="1">
      <c r="A76" s="125" t="s">
        <v>94</v>
      </c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7"/>
    </row>
    <row r="77" spans="1:23">
      <c r="A77" s="60">
        <v>67</v>
      </c>
      <c r="B77" s="19" t="s">
        <v>95</v>
      </c>
      <c r="C77" s="19" t="s">
        <v>24</v>
      </c>
      <c r="D77" s="10">
        <v>764658746.38999999</v>
      </c>
      <c r="E77" s="10">
        <v>10797405.460000001</v>
      </c>
      <c r="F77" s="10">
        <v>0</v>
      </c>
      <c r="G77" s="10">
        <v>1074913.28</v>
      </c>
      <c r="H77" s="12">
        <f t="shared" ref="H77:H114" si="29">(E77+F77)-G77</f>
        <v>9722492.1800000016</v>
      </c>
      <c r="I77" s="10">
        <v>786314248.70000005</v>
      </c>
      <c r="J77" s="13">
        <f t="shared" ref="J77:J114" si="30">(I77/$I$115)</f>
        <v>3.2686458691359153E-3</v>
      </c>
      <c r="K77" s="10">
        <v>777592090.50999999</v>
      </c>
      <c r="L77" s="13">
        <f t="shared" ref="L77" si="31">(K77/$K$115)</f>
        <v>3.0794346810966268E-3</v>
      </c>
      <c r="M77" s="13">
        <f t="shared" ref="M77:M115" si="32">((K77-I77)/I77)</f>
        <v>-1.109245852331972E-2</v>
      </c>
      <c r="N77" s="20">
        <f t="shared" ref="N77" si="33">(G77/K77)</f>
        <v>1.3823613860256677E-3</v>
      </c>
      <c r="O77" s="21">
        <f t="shared" ref="O77" si="34">H77/K77</f>
        <v>1.2503332143750719E-2</v>
      </c>
      <c r="P77" s="24">
        <f t="shared" ref="P77" si="35">K77/V77</f>
        <v>1.7715970974642652</v>
      </c>
      <c r="Q77" s="24">
        <f t="shared" ref="Q77" si="36">H77/V77</f>
        <v>2.2150866934500423E-2</v>
      </c>
      <c r="R77" s="10">
        <v>1.69</v>
      </c>
      <c r="S77" s="10">
        <v>1.69</v>
      </c>
      <c r="T77" s="17">
        <v>431</v>
      </c>
      <c r="U77" s="10">
        <v>428589237.79000002</v>
      </c>
      <c r="V77" s="10">
        <v>438921519.81</v>
      </c>
    </row>
    <row r="78" spans="1:23" ht="13.05" customHeight="1">
      <c r="A78" s="116">
        <v>68</v>
      </c>
      <c r="B78" s="19" t="s">
        <v>96</v>
      </c>
      <c r="C78" s="76" t="s">
        <v>26</v>
      </c>
      <c r="D78" s="10">
        <v>969285446</v>
      </c>
      <c r="E78" s="10">
        <v>15096942</v>
      </c>
      <c r="F78" s="10">
        <v>-2367687</v>
      </c>
      <c r="G78" s="10">
        <v>2171415</v>
      </c>
      <c r="H78" s="12">
        <f t="shared" si="29"/>
        <v>10557840</v>
      </c>
      <c r="I78" s="10">
        <v>1224257102</v>
      </c>
      <c r="J78" s="13">
        <f t="shared" si="30"/>
        <v>5.0891395212899777E-3</v>
      </c>
      <c r="K78" s="10">
        <v>1216251531</v>
      </c>
      <c r="L78" s="13">
        <f t="shared" ref="L78:L114" si="37">(K78/$K$115)</f>
        <v>4.8166219682633247E-3</v>
      </c>
      <c r="M78" s="13">
        <f t="shared" ref="M78:M114" si="38">((K78-I78)/I78)</f>
        <v>-6.5391256353928831E-3</v>
      </c>
      <c r="N78" s="20">
        <f t="shared" ref="N78:N114" si="39">(G78/K78)</f>
        <v>1.7853338266424759E-3</v>
      </c>
      <c r="O78" s="21">
        <f t="shared" ref="O78:O114" si="40">H78/K78</f>
        <v>8.6806386104355902E-3</v>
      </c>
      <c r="P78" s="24">
        <f t="shared" ref="P78:P114" si="41">K78/V78</f>
        <v>1.3673500045127833</v>
      </c>
      <c r="Q78" s="24">
        <f t="shared" ref="Q78:Q114" si="42">H78/V78</f>
        <v>1.1869471243152947E-2</v>
      </c>
      <c r="R78" s="10">
        <v>1.3673999999999999</v>
      </c>
      <c r="S78" s="10">
        <v>1.3673999999999999</v>
      </c>
      <c r="T78" s="17">
        <v>1513</v>
      </c>
      <c r="U78" s="10">
        <v>903206823</v>
      </c>
      <c r="V78" s="10">
        <v>889495394</v>
      </c>
    </row>
    <row r="79" spans="1:23" ht="15" customHeight="1">
      <c r="A79" s="115">
        <v>69</v>
      </c>
      <c r="B79" s="19" t="s">
        <v>97</v>
      </c>
      <c r="C79" s="19" t="s">
        <v>98</v>
      </c>
      <c r="D79" s="10">
        <v>555030368</v>
      </c>
      <c r="E79" s="10">
        <v>8252823</v>
      </c>
      <c r="F79" s="10">
        <v>135685</v>
      </c>
      <c r="G79" s="10">
        <v>865656</v>
      </c>
      <c r="H79" s="12">
        <f t="shared" si="29"/>
        <v>7522852</v>
      </c>
      <c r="I79" s="10">
        <v>672913634</v>
      </c>
      <c r="J79" s="13">
        <f t="shared" si="30"/>
        <v>2.797248522070864E-3</v>
      </c>
      <c r="K79" s="10">
        <v>653295296</v>
      </c>
      <c r="L79" s="13">
        <f t="shared" si="37"/>
        <v>2.5871922001935725E-3</v>
      </c>
      <c r="M79" s="13">
        <f t="shared" si="38"/>
        <v>-2.9154317892747587E-2</v>
      </c>
      <c r="N79" s="20">
        <f t="shared" si="39"/>
        <v>1.3250608190511141E-3</v>
      </c>
      <c r="O79" s="21">
        <f t="shared" si="40"/>
        <v>1.1515239809716922E-2</v>
      </c>
      <c r="P79" s="24">
        <f t="shared" si="41"/>
        <v>1.2184187879732027</v>
      </c>
      <c r="Q79" s="24">
        <f t="shared" si="42"/>
        <v>1.4030384532176065E-2</v>
      </c>
      <c r="R79" s="10">
        <v>1.2183999999999999</v>
      </c>
      <c r="S79" s="10">
        <v>1.2183999999999999</v>
      </c>
      <c r="T79" s="17">
        <v>743</v>
      </c>
      <c r="U79" s="10">
        <v>558406708</v>
      </c>
      <c r="V79" s="10">
        <v>536182881</v>
      </c>
    </row>
    <row r="80" spans="1:23">
      <c r="A80" s="115">
        <v>70</v>
      </c>
      <c r="B80" s="19" t="s">
        <v>99</v>
      </c>
      <c r="C80" s="76" t="s">
        <v>100</v>
      </c>
      <c r="D80" s="10">
        <v>274280529.68000001</v>
      </c>
      <c r="E80" s="10">
        <v>4451833.84</v>
      </c>
      <c r="F80" s="10">
        <v>0</v>
      </c>
      <c r="G80" s="10">
        <v>541475.36</v>
      </c>
      <c r="H80" s="12">
        <f t="shared" si="29"/>
        <v>3910358.48</v>
      </c>
      <c r="I80" s="10">
        <v>327424080.24000001</v>
      </c>
      <c r="J80" s="13">
        <f t="shared" si="30"/>
        <v>1.3610758918606665E-3</v>
      </c>
      <c r="K80" s="10">
        <v>330586808.55000001</v>
      </c>
      <c r="L80" s="13">
        <f t="shared" si="37"/>
        <v>1.3091960370818984E-3</v>
      </c>
      <c r="M80" s="13">
        <f t="shared" si="38"/>
        <v>9.6594248892193282E-3</v>
      </c>
      <c r="N80" s="20">
        <f t="shared" si="39"/>
        <v>1.6379218589361948E-3</v>
      </c>
      <c r="O80" s="21">
        <f t="shared" si="40"/>
        <v>1.1828537554633166E-2</v>
      </c>
      <c r="P80" s="24">
        <f t="shared" si="41"/>
        <v>1287.2516064030278</v>
      </c>
      <c r="Q80" s="24">
        <f t="shared" si="42"/>
        <v>15.226303968600087</v>
      </c>
      <c r="R80" s="10">
        <v>1287.25</v>
      </c>
      <c r="S80" s="10">
        <v>1287.25</v>
      </c>
      <c r="T80" s="17">
        <v>98</v>
      </c>
      <c r="U80" s="10">
        <v>257346</v>
      </c>
      <c r="V80" s="10">
        <v>256816</v>
      </c>
    </row>
    <row r="81" spans="1:24">
      <c r="A81" s="115">
        <v>71</v>
      </c>
      <c r="B81" s="19" t="s">
        <v>101</v>
      </c>
      <c r="C81" s="76" t="s">
        <v>102</v>
      </c>
      <c r="D81" s="10">
        <v>1868273380.75</v>
      </c>
      <c r="E81" s="10">
        <v>26141785.219999999</v>
      </c>
      <c r="F81" s="10">
        <v>32417107.91</v>
      </c>
      <c r="G81" s="10">
        <v>2640822.5299999998</v>
      </c>
      <c r="H81" s="12">
        <f t="shared" si="29"/>
        <v>55918070.599999994</v>
      </c>
      <c r="I81" s="10">
        <v>1885562510.5</v>
      </c>
      <c r="J81" s="13">
        <f t="shared" si="30"/>
        <v>7.8381335720838635E-3</v>
      </c>
      <c r="K81" s="10">
        <v>1870945009.47</v>
      </c>
      <c r="L81" s="13">
        <f t="shared" si="37"/>
        <v>7.4093512767186278E-3</v>
      </c>
      <c r="M81" s="13">
        <f t="shared" si="38"/>
        <v>-7.7523290522592148E-3</v>
      </c>
      <c r="N81" s="20">
        <f t="shared" si="39"/>
        <v>1.4114912606373665E-3</v>
      </c>
      <c r="O81" s="21">
        <f t="shared" si="40"/>
        <v>2.9887607768782271E-2</v>
      </c>
      <c r="P81" s="24">
        <f t="shared" si="41"/>
        <v>1.1556972872393141</v>
      </c>
      <c r="Q81" s="24">
        <f t="shared" si="42"/>
        <v>3.4541027220454316E-2</v>
      </c>
      <c r="R81" s="10">
        <v>1.1556999999999999</v>
      </c>
      <c r="S81" s="10">
        <v>1.1556999999999999</v>
      </c>
      <c r="T81" s="17">
        <v>1143</v>
      </c>
      <c r="U81" s="10">
        <v>1602672783.79</v>
      </c>
      <c r="V81" s="10">
        <v>1618888466.8399999</v>
      </c>
    </row>
    <row r="82" spans="1:24">
      <c r="A82" s="115">
        <v>72</v>
      </c>
      <c r="B82" s="19" t="s">
        <v>103</v>
      </c>
      <c r="C82" s="19" t="s">
        <v>104</v>
      </c>
      <c r="D82" s="10">
        <v>507007430.55000001</v>
      </c>
      <c r="E82" s="10">
        <v>6882994.4699999997</v>
      </c>
      <c r="F82" s="10">
        <v>0</v>
      </c>
      <c r="G82" s="10">
        <v>1068699.2</v>
      </c>
      <c r="H82" s="12">
        <f t="shared" si="29"/>
        <v>5814295.2699999996</v>
      </c>
      <c r="I82" s="10">
        <v>493677770.61000001</v>
      </c>
      <c r="J82" s="13">
        <f t="shared" si="30"/>
        <v>2.0521792759783221E-3</v>
      </c>
      <c r="K82" s="10">
        <v>499492065.88999999</v>
      </c>
      <c r="L82" s="13">
        <f t="shared" si="37"/>
        <v>1.9780977834090848E-3</v>
      </c>
      <c r="M82" s="13">
        <f t="shared" si="38"/>
        <v>1.1777510809967582E-2</v>
      </c>
      <c r="N82" s="20">
        <f t="shared" si="39"/>
        <v>2.1395719231211028E-3</v>
      </c>
      <c r="O82" s="21">
        <f t="shared" si="40"/>
        <v>1.1640415668345061E-2</v>
      </c>
      <c r="P82" s="24">
        <f t="shared" si="41"/>
        <v>2.8445115000982191</v>
      </c>
      <c r="Q82" s="24">
        <f t="shared" si="42"/>
        <v>3.3111296234531025E-2</v>
      </c>
      <c r="R82" s="10">
        <v>2.8332999999999999</v>
      </c>
      <c r="S82" s="10">
        <v>2.8332999999999999</v>
      </c>
      <c r="T82" s="17">
        <v>1390</v>
      </c>
      <c r="U82" s="10">
        <v>175526170.81</v>
      </c>
      <c r="V82" s="10">
        <v>175598539.81</v>
      </c>
    </row>
    <row r="83" spans="1:24">
      <c r="A83" s="115">
        <v>73</v>
      </c>
      <c r="B83" s="19" t="s">
        <v>300</v>
      </c>
      <c r="C83" s="19" t="s">
        <v>301</v>
      </c>
      <c r="D83" s="10">
        <v>3069937178</v>
      </c>
      <c r="E83" s="10">
        <v>48600883.240000002</v>
      </c>
      <c r="F83" s="10">
        <v>0</v>
      </c>
      <c r="G83" s="10">
        <v>6999128.2400000002</v>
      </c>
      <c r="H83" s="12">
        <f t="shared" ref="H83" si="43">(E83+F83)-G83</f>
        <v>41601755</v>
      </c>
      <c r="I83" s="10">
        <v>1984344509.23</v>
      </c>
      <c r="J83" s="13">
        <f t="shared" si="30"/>
        <v>8.2487624938255479E-3</v>
      </c>
      <c r="K83" s="10">
        <v>3060819673.9000001</v>
      </c>
      <c r="L83" s="13">
        <f t="shared" si="37"/>
        <v>1.2121515086667813E-2</v>
      </c>
      <c r="M83" s="13">
        <f t="shared" si="38"/>
        <v>0.54248400903314553</v>
      </c>
      <c r="N83" s="20">
        <f t="shared" si="39"/>
        <v>2.2866842825411964E-3</v>
      </c>
      <c r="O83" s="21">
        <f t="shared" si="40"/>
        <v>1.3591703998358176E-2</v>
      </c>
      <c r="P83" s="24">
        <f t="shared" si="41"/>
        <v>1169.1598909458301</v>
      </c>
      <c r="Q83" s="24">
        <f t="shared" si="42"/>
        <v>15.890875164488449</v>
      </c>
      <c r="R83" s="10">
        <v>1181.5</v>
      </c>
      <c r="S83" s="10">
        <v>1181.5</v>
      </c>
      <c r="T83" s="17">
        <v>314</v>
      </c>
      <c r="U83" s="10">
        <v>1709076</v>
      </c>
      <c r="V83" s="10">
        <v>2617965</v>
      </c>
    </row>
    <row r="84" spans="1:24">
      <c r="A84" s="115">
        <v>74</v>
      </c>
      <c r="B84" s="71" t="s">
        <v>239</v>
      </c>
      <c r="C84" s="72" t="s">
        <v>208</v>
      </c>
      <c r="D84" s="10">
        <v>215865238.72</v>
      </c>
      <c r="E84" s="10">
        <v>4239063.88</v>
      </c>
      <c r="F84" s="10">
        <v>0</v>
      </c>
      <c r="G84" s="10">
        <v>475920.16</v>
      </c>
      <c r="H84" s="12">
        <f t="shared" si="29"/>
        <v>3763143.7199999997</v>
      </c>
      <c r="I84" s="10">
        <v>212727765.81999999</v>
      </c>
      <c r="J84" s="13">
        <f t="shared" si="30"/>
        <v>8.84292423986511E-4</v>
      </c>
      <c r="K84" s="10">
        <v>212509777.19</v>
      </c>
      <c r="L84" s="13">
        <f t="shared" si="37"/>
        <v>8.4158517806141061E-4</v>
      </c>
      <c r="M84" s="13">
        <f t="shared" si="38"/>
        <v>-1.0247305007868447E-3</v>
      </c>
      <c r="N84" s="20">
        <f t="shared" si="39"/>
        <v>2.2395212412955989E-3</v>
      </c>
      <c r="O84" s="21">
        <f t="shared" si="40"/>
        <v>1.7708096868575895E-2</v>
      </c>
      <c r="P84" s="24">
        <f t="shared" si="41"/>
        <v>11.96667299587261</v>
      </c>
      <c r="Q84" s="24">
        <f t="shared" si="42"/>
        <v>0.21190700460548348</v>
      </c>
      <c r="R84" s="10">
        <v>11.966699999999999</v>
      </c>
      <c r="S84" s="10">
        <v>12.053800000000001</v>
      </c>
      <c r="T84" s="17">
        <v>47</v>
      </c>
      <c r="U84" s="10">
        <v>17749278.91</v>
      </c>
      <c r="V84" s="10">
        <v>17758467.809999999</v>
      </c>
    </row>
    <row r="85" spans="1:24">
      <c r="A85" s="115">
        <v>75</v>
      </c>
      <c r="B85" s="76" t="s">
        <v>105</v>
      </c>
      <c r="C85" s="19" t="s">
        <v>60</v>
      </c>
      <c r="D85" s="10">
        <v>2139606212.3099999</v>
      </c>
      <c r="E85" s="10">
        <v>25686897.039999999</v>
      </c>
      <c r="F85" s="10">
        <v>0</v>
      </c>
      <c r="G85" s="10">
        <v>3902277.16</v>
      </c>
      <c r="H85" s="12">
        <f t="shared" si="29"/>
        <v>21784619.879999999</v>
      </c>
      <c r="I85" s="10">
        <v>2082208839.6800001</v>
      </c>
      <c r="J85" s="13">
        <f t="shared" si="30"/>
        <v>8.6555767414243975E-3</v>
      </c>
      <c r="K85" s="10">
        <v>2116369468.0799999</v>
      </c>
      <c r="L85" s="13">
        <f t="shared" si="37"/>
        <v>8.381285789243454E-3</v>
      </c>
      <c r="M85" s="13">
        <f t="shared" si="38"/>
        <v>1.6405956861296277E-2</v>
      </c>
      <c r="N85" s="20">
        <f t="shared" si="39"/>
        <v>1.843854402010534E-3</v>
      </c>
      <c r="O85" s="21">
        <f t="shared" si="40"/>
        <v>1.029339168257956E-2</v>
      </c>
      <c r="P85" s="24">
        <f t="shared" si="41"/>
        <v>4921.7092253449537</v>
      </c>
      <c r="Q85" s="24">
        <f t="shared" si="42"/>
        <v>50.661080804240839</v>
      </c>
      <c r="R85" s="10">
        <v>4921.71</v>
      </c>
      <c r="S85" s="10">
        <v>4921.71</v>
      </c>
      <c r="T85" s="17">
        <v>1191</v>
      </c>
      <c r="U85" s="10">
        <v>426656.36</v>
      </c>
      <c r="V85" s="10">
        <v>430007.01</v>
      </c>
    </row>
    <row r="86" spans="1:24">
      <c r="A86" s="115">
        <v>76</v>
      </c>
      <c r="B86" s="19" t="s">
        <v>106</v>
      </c>
      <c r="C86" s="19" t="s">
        <v>62</v>
      </c>
      <c r="D86" s="10">
        <v>367128958.61000001</v>
      </c>
      <c r="E86" s="10">
        <v>4702355.0199999996</v>
      </c>
      <c r="F86" s="10">
        <v>0</v>
      </c>
      <c r="G86" s="10">
        <v>779367.26</v>
      </c>
      <c r="H86" s="12">
        <f t="shared" si="29"/>
        <v>3922987.76</v>
      </c>
      <c r="I86" s="10">
        <v>375028498.39999998</v>
      </c>
      <c r="J86" s="13">
        <f t="shared" si="30"/>
        <v>1.5589636765835767E-3</v>
      </c>
      <c r="K86" s="10">
        <v>372523484.97000003</v>
      </c>
      <c r="L86" s="13">
        <f t="shared" si="37"/>
        <v>1.4752744441976077E-3</v>
      </c>
      <c r="M86" s="13">
        <f t="shared" si="38"/>
        <v>-6.6795281976894895E-3</v>
      </c>
      <c r="N86" s="20">
        <f t="shared" si="39"/>
        <v>2.0921291984121854E-3</v>
      </c>
      <c r="O86" s="21">
        <f t="shared" si="40"/>
        <v>1.0530846827860867E-2</v>
      </c>
      <c r="P86" s="24">
        <f t="shared" si="41"/>
        <v>115.23648437661922</v>
      </c>
      <c r="Q86" s="24">
        <f t="shared" si="42"/>
        <v>1.2135377659513586</v>
      </c>
      <c r="R86" s="10">
        <v>115.42</v>
      </c>
      <c r="S86" s="10">
        <v>115.42</v>
      </c>
      <c r="T86" s="17">
        <v>97</v>
      </c>
      <c r="U86" s="10">
        <v>3291840</v>
      </c>
      <c r="V86" s="10">
        <v>3232687</v>
      </c>
      <c r="W86" s="15"/>
      <c r="X86" s="15"/>
    </row>
    <row r="87" spans="1:24">
      <c r="A87" s="115">
        <v>77</v>
      </c>
      <c r="B87" s="76" t="s">
        <v>107</v>
      </c>
      <c r="C87" s="76" t="s">
        <v>64</v>
      </c>
      <c r="D87" s="10">
        <v>1330522466.53</v>
      </c>
      <c r="E87" s="10">
        <v>30975547.629999999</v>
      </c>
      <c r="F87" s="10">
        <v>39181472.869999997</v>
      </c>
      <c r="G87" s="10">
        <v>4295259.09</v>
      </c>
      <c r="H87" s="12">
        <f t="shared" si="29"/>
        <v>65861761.409999996</v>
      </c>
      <c r="I87" s="10">
        <v>1501855284.99</v>
      </c>
      <c r="J87" s="13">
        <f t="shared" si="30"/>
        <v>6.2430931163189865E-3</v>
      </c>
      <c r="K87" s="10">
        <v>1379994115.4000001</v>
      </c>
      <c r="L87" s="13">
        <f t="shared" si="37"/>
        <v>5.4650784010480758E-3</v>
      </c>
      <c r="M87" s="13">
        <f t="shared" si="38"/>
        <v>-8.1140420656981821E-2</v>
      </c>
      <c r="N87" s="20">
        <f t="shared" si="39"/>
        <v>3.1125198593727277E-3</v>
      </c>
      <c r="O87" s="21">
        <f t="shared" si="40"/>
        <v>4.77261175790663E-2</v>
      </c>
      <c r="P87" s="24">
        <f t="shared" si="41"/>
        <v>1.5571817657256977</v>
      </c>
      <c r="Q87" s="24">
        <f t="shared" si="42"/>
        <v>7.431824004300272E-2</v>
      </c>
      <c r="R87" s="10">
        <v>1.5575000000000001</v>
      </c>
      <c r="S87" s="10">
        <v>1.5575000000000001</v>
      </c>
      <c r="T87" s="17">
        <v>2672</v>
      </c>
      <c r="U87" s="10">
        <v>963412837.50999999</v>
      </c>
      <c r="V87" s="10">
        <v>886212609.07000005</v>
      </c>
    </row>
    <row r="88" spans="1:24">
      <c r="A88" s="115">
        <v>78</v>
      </c>
      <c r="B88" s="71" t="s">
        <v>251</v>
      </c>
      <c r="C88" s="72" t="s">
        <v>64</v>
      </c>
      <c r="D88" s="16">
        <v>138553772.72</v>
      </c>
      <c r="E88" s="10">
        <v>1845184.44</v>
      </c>
      <c r="F88" s="10">
        <v>1525806</v>
      </c>
      <c r="G88" s="10">
        <v>634879.6</v>
      </c>
      <c r="H88" s="12">
        <f t="shared" si="29"/>
        <v>2736110.84</v>
      </c>
      <c r="I88" s="10">
        <v>132827327.40000001</v>
      </c>
      <c r="J88" s="13">
        <f t="shared" si="30"/>
        <v>5.5215264855262662E-4</v>
      </c>
      <c r="K88" s="10">
        <v>144574642.06</v>
      </c>
      <c r="L88" s="13">
        <f t="shared" si="37"/>
        <v>5.7254719048736207E-4</v>
      </c>
      <c r="M88" s="13">
        <f t="shared" si="38"/>
        <v>8.8440495566276034E-2</v>
      </c>
      <c r="N88" s="20">
        <f t="shared" si="39"/>
        <v>4.3913620739695017E-3</v>
      </c>
      <c r="O88" s="21">
        <f t="shared" si="40"/>
        <v>1.8925247201127326E-2</v>
      </c>
      <c r="P88" s="24">
        <f t="shared" si="41"/>
        <v>1.0446237851693194</v>
      </c>
      <c r="Q88" s="24">
        <f t="shared" si="42"/>
        <v>1.9769763366506692E-2</v>
      </c>
      <c r="R88" s="17">
        <v>1.0446</v>
      </c>
      <c r="S88" s="18">
        <v>1.0446</v>
      </c>
      <c r="T88" s="17">
        <v>101</v>
      </c>
      <c r="U88" s="10">
        <v>126877744.62</v>
      </c>
      <c r="V88" s="10">
        <v>138398765.28999999</v>
      </c>
    </row>
    <row r="89" spans="1:24">
      <c r="A89" s="115">
        <v>79</v>
      </c>
      <c r="B89" s="19" t="s">
        <v>233</v>
      </c>
      <c r="C89" s="19" t="s">
        <v>48</v>
      </c>
      <c r="D89" s="10">
        <v>236488238.22</v>
      </c>
      <c r="E89" s="10">
        <v>3261385.29</v>
      </c>
      <c r="F89" s="10">
        <v>0</v>
      </c>
      <c r="G89" s="10">
        <v>395012.08</v>
      </c>
      <c r="H89" s="12">
        <f t="shared" si="29"/>
        <v>2866373.21</v>
      </c>
      <c r="I89" s="10">
        <v>243333224.80000001</v>
      </c>
      <c r="J89" s="13">
        <f t="shared" si="30"/>
        <v>1.0115168857502111E-3</v>
      </c>
      <c r="K89" s="10">
        <v>234940722.27000001</v>
      </c>
      <c r="L89" s="13">
        <f t="shared" si="37"/>
        <v>9.3041662458991342E-4</v>
      </c>
      <c r="M89" s="13">
        <f t="shared" si="38"/>
        <v>-3.4489751808031766E-2</v>
      </c>
      <c r="N89" s="20">
        <f t="shared" si="39"/>
        <v>1.6813265754160823E-3</v>
      </c>
      <c r="O89" s="21">
        <f t="shared" si="40"/>
        <v>1.2200410309056125E-2</v>
      </c>
      <c r="P89" s="24">
        <f t="shared" si="41"/>
        <v>147.20639522539963</v>
      </c>
      <c r="Q89" s="24">
        <f t="shared" si="42"/>
        <v>1.7959784218669559</v>
      </c>
      <c r="R89" s="10">
        <v>147.21</v>
      </c>
      <c r="S89" s="10">
        <v>147.21</v>
      </c>
      <c r="T89" s="17">
        <v>410</v>
      </c>
      <c r="U89" s="10">
        <v>1658389.75</v>
      </c>
      <c r="V89" s="10">
        <v>1595995.35</v>
      </c>
    </row>
    <row r="90" spans="1:24">
      <c r="A90" s="115">
        <v>80</v>
      </c>
      <c r="B90" s="19" t="s">
        <v>108</v>
      </c>
      <c r="C90" s="19" t="s">
        <v>109</v>
      </c>
      <c r="D90" s="10">
        <v>2709193785.3899999</v>
      </c>
      <c r="E90" s="10">
        <v>44021200.869999997</v>
      </c>
      <c r="F90" s="10">
        <v>0</v>
      </c>
      <c r="G90" s="10">
        <v>4421526.3</v>
      </c>
      <c r="H90" s="12">
        <f t="shared" si="29"/>
        <v>39599674.57</v>
      </c>
      <c r="I90" s="10">
        <v>2656645297.8099999</v>
      </c>
      <c r="J90" s="13">
        <f t="shared" si="30"/>
        <v>1.1043463466168279E-2</v>
      </c>
      <c r="K90" s="10">
        <v>2692474933.4099998</v>
      </c>
      <c r="L90" s="13">
        <f t="shared" si="37"/>
        <v>1.0662789384197648E-2</v>
      </c>
      <c r="M90" s="13">
        <f t="shared" si="38"/>
        <v>1.3486796912457974E-2</v>
      </c>
      <c r="N90" s="20">
        <f t="shared" si="39"/>
        <v>1.6421791880528926E-3</v>
      </c>
      <c r="O90" s="21">
        <f t="shared" si="40"/>
        <v>1.4707536949971638E-2</v>
      </c>
      <c r="P90" s="24">
        <f t="shared" si="41"/>
        <v>1340.565647398935</v>
      </c>
      <c r="Q90" s="24">
        <f t="shared" si="42"/>
        <v>19.716418792982488</v>
      </c>
      <c r="R90" s="10">
        <v>1340.57</v>
      </c>
      <c r="S90" s="10">
        <v>1340.57</v>
      </c>
      <c r="T90" s="17">
        <v>318</v>
      </c>
      <c r="U90" s="10">
        <v>2005661.63</v>
      </c>
      <c r="V90" s="10">
        <v>2008461.83</v>
      </c>
    </row>
    <row r="91" spans="1:24">
      <c r="A91" s="115">
        <v>81</v>
      </c>
      <c r="B91" s="19" t="s">
        <v>110</v>
      </c>
      <c r="C91" s="19" t="s">
        <v>66</v>
      </c>
      <c r="D91" s="10">
        <v>162462699.50999999</v>
      </c>
      <c r="E91" s="10">
        <v>1644371.53</v>
      </c>
      <c r="F91" s="10">
        <v>0</v>
      </c>
      <c r="G91" s="10">
        <v>546435.67000000004</v>
      </c>
      <c r="H91" s="12">
        <f t="shared" si="29"/>
        <v>1097935.8599999999</v>
      </c>
      <c r="I91" s="10">
        <v>149429995.81</v>
      </c>
      <c r="J91" s="13">
        <f t="shared" si="30"/>
        <v>6.2116862226123057E-4</v>
      </c>
      <c r="K91" s="10">
        <v>177841732.19</v>
      </c>
      <c r="L91" s="13">
        <f t="shared" si="37"/>
        <v>7.0429214048846019E-4</v>
      </c>
      <c r="M91" s="13">
        <f t="shared" si="38"/>
        <v>0.19013409072249104</v>
      </c>
      <c r="N91" s="20">
        <f t="shared" si="39"/>
        <v>3.0725952973524062E-3</v>
      </c>
      <c r="O91" s="21">
        <f t="shared" si="40"/>
        <v>6.1736682750424569E-3</v>
      </c>
      <c r="P91" s="24">
        <f t="shared" si="41"/>
        <v>1194.5708291519732</v>
      </c>
      <c r="Q91" s="24">
        <f t="shared" si="42"/>
        <v>7.3748840302266991</v>
      </c>
      <c r="R91" s="10">
        <v>1051.42</v>
      </c>
      <c r="S91" s="10">
        <v>1061.33</v>
      </c>
      <c r="T91" s="17">
        <v>286</v>
      </c>
      <c r="U91" s="10">
        <v>147536</v>
      </c>
      <c r="V91" s="10">
        <v>148875</v>
      </c>
    </row>
    <row r="92" spans="1:24">
      <c r="A92" s="115">
        <v>82</v>
      </c>
      <c r="B92" s="19" t="s">
        <v>111</v>
      </c>
      <c r="C92" s="76" t="s">
        <v>69</v>
      </c>
      <c r="D92" s="10">
        <v>746729858.13</v>
      </c>
      <c r="E92" s="10">
        <v>8460264.1600000001</v>
      </c>
      <c r="F92" s="10">
        <v>0</v>
      </c>
      <c r="G92" s="10">
        <v>1291864.82</v>
      </c>
      <c r="H92" s="12">
        <f t="shared" si="29"/>
        <v>7168399.3399999999</v>
      </c>
      <c r="I92" s="10">
        <v>725685698.12</v>
      </c>
      <c r="J92" s="13">
        <f t="shared" si="30"/>
        <v>3.0166178005454612E-3</v>
      </c>
      <c r="K92" s="10">
        <v>739971432.38999999</v>
      </c>
      <c r="L92" s="13">
        <f t="shared" si="37"/>
        <v>2.9304486500473341E-3</v>
      </c>
      <c r="M92" s="13">
        <f t="shared" si="38"/>
        <v>1.9685842379158588E-2</v>
      </c>
      <c r="N92" s="20">
        <f t="shared" si="39"/>
        <v>1.7458306678508721E-3</v>
      </c>
      <c r="O92" s="21">
        <f t="shared" si="40"/>
        <v>9.6874001160384172E-3</v>
      </c>
      <c r="P92" s="24">
        <f t="shared" si="41"/>
        <v>1.2207626269975977</v>
      </c>
      <c r="Q92" s="24">
        <f t="shared" si="42"/>
        <v>1.1826016014431891E-2</v>
      </c>
      <c r="R92" s="10">
        <v>1.2303999999999999</v>
      </c>
      <c r="S92" s="10">
        <v>1.2303999999999999</v>
      </c>
      <c r="T92" s="17">
        <v>66</v>
      </c>
      <c r="U92" s="10">
        <v>602970632.16999996</v>
      </c>
      <c r="V92" s="10">
        <v>606155050.97000003</v>
      </c>
    </row>
    <row r="93" spans="1:24">
      <c r="A93" s="115">
        <v>83</v>
      </c>
      <c r="B93" s="19" t="s">
        <v>240</v>
      </c>
      <c r="C93" s="19" t="s">
        <v>30</v>
      </c>
      <c r="D93" s="10">
        <v>12059257859.07</v>
      </c>
      <c r="E93" s="10">
        <v>124067752.84</v>
      </c>
      <c r="F93" s="10">
        <v>0</v>
      </c>
      <c r="G93" s="10">
        <v>14061514.16</v>
      </c>
      <c r="H93" s="12">
        <f t="shared" si="29"/>
        <v>110006238.68000001</v>
      </c>
      <c r="I93" s="10">
        <v>11542986540.48</v>
      </c>
      <c r="J93" s="13">
        <f t="shared" si="30"/>
        <v>4.7983278104663213E-2</v>
      </c>
      <c r="K93" s="10">
        <v>11640925458.389999</v>
      </c>
      <c r="L93" s="13">
        <f t="shared" si="37"/>
        <v>4.6100609836598909E-2</v>
      </c>
      <c r="M93" s="13">
        <f t="shared" si="38"/>
        <v>8.4847121294422991E-3</v>
      </c>
      <c r="N93" s="20">
        <f t="shared" si="39"/>
        <v>1.2079378233510981E-3</v>
      </c>
      <c r="O93" s="21">
        <f t="shared" si="40"/>
        <v>9.4499564551987474E-3</v>
      </c>
      <c r="P93" s="24">
        <f t="shared" si="41"/>
        <v>1700.360193018249</v>
      </c>
      <c r="Q93" s="24">
        <f t="shared" si="42"/>
        <v>16.068329782175791</v>
      </c>
      <c r="R93" s="10">
        <v>1700.36</v>
      </c>
      <c r="S93" s="10">
        <v>1700.36</v>
      </c>
      <c r="T93" s="17">
        <v>2039</v>
      </c>
      <c r="U93" s="10">
        <v>6856341.8700000001</v>
      </c>
      <c r="V93" s="10">
        <v>6846152.6600000001</v>
      </c>
    </row>
    <row r="94" spans="1:24" ht="14.55" customHeight="1">
      <c r="A94" s="115">
        <v>84</v>
      </c>
      <c r="B94" s="19" t="s">
        <v>112</v>
      </c>
      <c r="C94" s="19" t="s">
        <v>74</v>
      </c>
      <c r="D94" s="10">
        <v>23502305.379999999</v>
      </c>
      <c r="E94" s="10">
        <v>313425.46000000002</v>
      </c>
      <c r="F94" s="10">
        <v>0</v>
      </c>
      <c r="G94" s="10">
        <v>255254.08</v>
      </c>
      <c r="H94" s="12">
        <f>(E94+F94)-G94</f>
        <v>58171.380000000034</v>
      </c>
      <c r="I94" s="10">
        <v>24303602.300000001</v>
      </c>
      <c r="J94" s="13">
        <f t="shared" si="30"/>
        <v>1.0102814414765307E-4</v>
      </c>
      <c r="K94" s="10">
        <v>23630535.18</v>
      </c>
      <c r="L94" s="13">
        <f t="shared" si="37"/>
        <v>9.3582085587366322E-5</v>
      </c>
      <c r="M94" s="13">
        <f t="shared" si="38"/>
        <v>-2.7694129935626911E-2</v>
      </c>
      <c r="N94" s="20">
        <f t="shared" si="39"/>
        <v>1.0801874695416864E-2</v>
      </c>
      <c r="O94" s="21">
        <f t="shared" si="40"/>
        <v>2.4617038741142905E-3</v>
      </c>
      <c r="P94" s="24">
        <f t="shared" si="41"/>
        <v>0.72195377656101012</v>
      </c>
      <c r="Q94" s="24">
        <f t="shared" si="42"/>
        <v>1.7772364086916816E-3</v>
      </c>
      <c r="R94" s="10">
        <v>0.72189999999999999</v>
      </c>
      <c r="S94" s="10">
        <v>0.72189999999999999</v>
      </c>
      <c r="T94" s="17">
        <v>728</v>
      </c>
      <c r="U94" s="10">
        <v>32731368.609999999</v>
      </c>
      <c r="V94" s="10">
        <v>32731368.609999999</v>
      </c>
    </row>
    <row r="95" spans="1:24" ht="14.55" customHeight="1">
      <c r="A95" s="115">
        <v>85</v>
      </c>
      <c r="B95" s="19" t="s">
        <v>234</v>
      </c>
      <c r="C95" s="76" t="s">
        <v>36</v>
      </c>
      <c r="D95" s="10">
        <v>14115564109.309999</v>
      </c>
      <c r="E95" s="10">
        <v>115578532.89</v>
      </c>
      <c r="F95" s="10">
        <v>0</v>
      </c>
      <c r="G95" s="10">
        <v>3386910.92</v>
      </c>
      <c r="H95" s="12">
        <f t="shared" si="29"/>
        <v>112191621.97</v>
      </c>
      <c r="I95" s="10">
        <v>10850619352.99</v>
      </c>
      <c r="J95" s="13">
        <f t="shared" si="30"/>
        <v>4.5105162706072906E-2</v>
      </c>
      <c r="K95" s="10">
        <v>10910227443.860001</v>
      </c>
      <c r="L95" s="13">
        <f t="shared" si="37"/>
        <v>4.3206885948697316E-2</v>
      </c>
      <c r="M95" s="13">
        <f t="shared" si="38"/>
        <v>5.4935196720890603E-3</v>
      </c>
      <c r="N95" s="20">
        <f t="shared" si="39"/>
        <v>3.1043449253718975E-4</v>
      </c>
      <c r="O95" s="21">
        <f t="shared" si="40"/>
        <v>1.0283160690031132E-2</v>
      </c>
      <c r="P95" s="24">
        <f t="shared" si="41"/>
        <v>1</v>
      </c>
      <c r="Q95" s="24">
        <f t="shared" si="42"/>
        <v>1.0283160690031132E-2</v>
      </c>
      <c r="R95" s="10">
        <v>1</v>
      </c>
      <c r="S95" s="10">
        <v>1</v>
      </c>
      <c r="T95" s="17">
        <v>5738</v>
      </c>
      <c r="U95" s="10">
        <v>10850619352.99</v>
      </c>
      <c r="V95" s="10">
        <v>10910227443.860001</v>
      </c>
    </row>
    <row r="96" spans="1:24">
      <c r="A96" s="115">
        <v>86</v>
      </c>
      <c r="B96" s="76" t="s">
        <v>113</v>
      </c>
      <c r="C96" s="76" t="s">
        <v>114</v>
      </c>
      <c r="D96" s="10">
        <v>1800560147.73</v>
      </c>
      <c r="E96" s="10">
        <v>22261662.859999999</v>
      </c>
      <c r="F96" s="10">
        <v>0</v>
      </c>
      <c r="G96" s="10">
        <v>2539987.15</v>
      </c>
      <c r="H96" s="12">
        <f t="shared" si="29"/>
        <v>19721675.710000001</v>
      </c>
      <c r="I96" s="10">
        <v>1503269101.1400001</v>
      </c>
      <c r="J96" s="13">
        <f t="shared" si="30"/>
        <v>6.248970237744747E-3</v>
      </c>
      <c r="K96" s="10">
        <v>1781173263.9000001</v>
      </c>
      <c r="L96" s="13">
        <f t="shared" si="37"/>
        <v>7.0538355377281151E-3</v>
      </c>
      <c r="M96" s="13">
        <f t="shared" si="38"/>
        <v>0.18486654355447876</v>
      </c>
      <c r="N96" s="20">
        <f t="shared" si="39"/>
        <v>1.4260191310296929E-3</v>
      </c>
      <c r="O96" s="21">
        <f t="shared" si="40"/>
        <v>1.1072294935989579E-2</v>
      </c>
      <c r="P96" s="24">
        <f t="shared" si="41"/>
        <v>279.41396485305148</v>
      </c>
      <c r="Q96" s="24">
        <f t="shared" si="42"/>
        <v>3.0937538280872126</v>
      </c>
      <c r="R96" s="10">
        <v>279.02999999999997</v>
      </c>
      <c r="S96" s="10">
        <v>279.02999999999997</v>
      </c>
      <c r="T96" s="17">
        <v>565</v>
      </c>
      <c r="U96" s="10">
        <v>5440836.7400000002</v>
      </c>
      <c r="V96" s="10">
        <v>6374675.1699999999</v>
      </c>
    </row>
    <row r="97" spans="1:22">
      <c r="A97" s="115">
        <v>87</v>
      </c>
      <c r="B97" s="19" t="s">
        <v>115</v>
      </c>
      <c r="C97" s="76" t="s">
        <v>38</v>
      </c>
      <c r="D97" s="10">
        <v>1095409670.7</v>
      </c>
      <c r="E97" s="10">
        <v>15924318.619999999</v>
      </c>
      <c r="F97" s="10">
        <v>0</v>
      </c>
      <c r="G97" s="10">
        <v>1678602.75</v>
      </c>
      <c r="H97" s="12">
        <f t="shared" si="29"/>
        <v>14245715.869999999</v>
      </c>
      <c r="I97" s="10">
        <v>1109530020.4400001</v>
      </c>
      <c r="J97" s="13">
        <f t="shared" si="30"/>
        <v>4.6122281568589021E-3</v>
      </c>
      <c r="K97" s="10">
        <v>1109865885.22</v>
      </c>
      <c r="L97" s="13">
        <f t="shared" si="37"/>
        <v>4.3953115521929596E-3</v>
      </c>
      <c r="M97" s="13">
        <f t="shared" si="38"/>
        <v>3.0270905141149709E-4</v>
      </c>
      <c r="N97" s="20">
        <f t="shared" si="39"/>
        <v>1.5124374686652016E-3</v>
      </c>
      <c r="O97" s="21">
        <f t="shared" si="40"/>
        <v>1.2835529102848478E-2</v>
      </c>
      <c r="P97" s="24">
        <f t="shared" si="41"/>
        <v>3.7578388729945265</v>
      </c>
      <c r="Q97" s="24">
        <f t="shared" si="42"/>
        <v>4.8233850218136566E-2</v>
      </c>
      <c r="R97" s="10">
        <v>3.76</v>
      </c>
      <c r="S97" s="10">
        <v>3.79</v>
      </c>
      <c r="T97" s="17">
        <v>805</v>
      </c>
      <c r="U97" s="10">
        <v>295165082</v>
      </c>
      <c r="V97" s="10">
        <v>295346853</v>
      </c>
    </row>
    <row r="98" spans="1:22">
      <c r="A98" s="115">
        <v>88</v>
      </c>
      <c r="B98" s="71" t="s">
        <v>238</v>
      </c>
      <c r="C98" s="72" t="s">
        <v>40</v>
      </c>
      <c r="D98" s="10">
        <v>780846880.25</v>
      </c>
      <c r="E98" s="10">
        <v>11132201</v>
      </c>
      <c r="F98" s="10">
        <v>0</v>
      </c>
      <c r="G98" s="10">
        <v>1506653.21</v>
      </c>
      <c r="H98" s="12">
        <f t="shared" si="29"/>
        <v>9625547.7899999991</v>
      </c>
      <c r="I98" s="10">
        <v>747249224.73000002</v>
      </c>
      <c r="J98" s="13">
        <f t="shared" si="30"/>
        <v>3.1062556677141002E-3</v>
      </c>
      <c r="K98" s="10">
        <v>812299682.84000003</v>
      </c>
      <c r="L98" s="13">
        <f t="shared" si="37"/>
        <v>3.2168843347424943E-3</v>
      </c>
      <c r="M98" s="13">
        <f t="shared" si="38"/>
        <v>8.7053229307135632E-2</v>
      </c>
      <c r="N98" s="20">
        <f t="shared" si="39"/>
        <v>1.8547997024107763E-3</v>
      </c>
      <c r="O98" s="21">
        <f t="shared" si="40"/>
        <v>1.1849749536213913E-2</v>
      </c>
      <c r="P98" s="24">
        <f t="shared" si="41"/>
        <v>116.65176403873581</v>
      </c>
      <c r="Q98" s="24">
        <f t="shared" si="42"/>
        <v>1.3822941868165446</v>
      </c>
      <c r="R98" s="10">
        <v>112.89</v>
      </c>
      <c r="S98" s="10">
        <v>112.89</v>
      </c>
      <c r="T98" s="17">
        <v>362</v>
      </c>
      <c r="U98" s="10">
        <v>6680438.3399999999</v>
      </c>
      <c r="V98" s="10">
        <v>6963458.2000000002</v>
      </c>
    </row>
    <row r="99" spans="1:22">
      <c r="A99" s="115">
        <v>89</v>
      </c>
      <c r="B99" s="19" t="s">
        <v>237</v>
      </c>
      <c r="C99" s="19" t="s">
        <v>44</v>
      </c>
      <c r="D99" s="10">
        <v>1144996954.3900001</v>
      </c>
      <c r="E99" s="10">
        <v>15032250.369999999</v>
      </c>
      <c r="F99" s="10">
        <v>0</v>
      </c>
      <c r="G99" s="10">
        <v>2454675.98</v>
      </c>
      <c r="H99" s="12">
        <f t="shared" si="29"/>
        <v>12577574.389999999</v>
      </c>
      <c r="I99" s="10">
        <v>1153348344.6300001</v>
      </c>
      <c r="J99" s="13">
        <f t="shared" si="30"/>
        <v>4.7943774497057456E-3</v>
      </c>
      <c r="K99" s="10">
        <v>1174794607.9200001</v>
      </c>
      <c r="L99" s="13">
        <f t="shared" si="37"/>
        <v>4.6524434892610805E-3</v>
      </c>
      <c r="M99" s="13">
        <f t="shared" si="38"/>
        <v>1.8594783952180578E-2</v>
      </c>
      <c r="N99" s="20">
        <f t="shared" si="39"/>
        <v>2.0894511801906024E-3</v>
      </c>
      <c r="O99" s="21">
        <f t="shared" si="40"/>
        <v>1.0706190090767332E-2</v>
      </c>
      <c r="P99" s="24">
        <f t="shared" si="41"/>
        <v>115.57771047060355</v>
      </c>
      <c r="Q99" s="24">
        <f t="shared" si="42"/>
        <v>1.2373969385539516</v>
      </c>
      <c r="R99" s="10">
        <v>115.57</v>
      </c>
      <c r="S99" s="10">
        <v>116.48</v>
      </c>
      <c r="T99" s="17">
        <v>2516</v>
      </c>
      <c r="U99" s="10">
        <v>9926612</v>
      </c>
      <c r="V99" s="10">
        <v>10164543</v>
      </c>
    </row>
    <row r="100" spans="1:22">
      <c r="A100" s="115">
        <v>90</v>
      </c>
      <c r="B100" s="19" t="s">
        <v>118</v>
      </c>
      <c r="C100" s="19" t="s">
        <v>22</v>
      </c>
      <c r="D100" s="10">
        <v>1697865872.21</v>
      </c>
      <c r="E100" s="10">
        <v>21217294.239999998</v>
      </c>
      <c r="F100" s="10">
        <v>74354308.170000002</v>
      </c>
      <c r="G100" s="10">
        <v>2416678.5099999998</v>
      </c>
      <c r="H100" s="12">
        <f t="shared" si="29"/>
        <v>93154923.899999991</v>
      </c>
      <c r="I100" s="10">
        <v>1669269394.45</v>
      </c>
      <c r="J100" s="13">
        <f t="shared" si="30"/>
        <v>6.9390202704131699E-3</v>
      </c>
      <c r="K100" s="10">
        <v>1689342606.76</v>
      </c>
      <c r="L100" s="13">
        <f t="shared" si="37"/>
        <v>6.6901660587866067E-3</v>
      </c>
      <c r="M100" s="13">
        <f t="shared" si="38"/>
        <v>1.202514847318205E-2</v>
      </c>
      <c r="N100" s="20">
        <f t="shared" si="39"/>
        <v>1.430543751356015E-3</v>
      </c>
      <c r="O100" s="21">
        <f t="shared" si="40"/>
        <v>5.5142706711613913E-2</v>
      </c>
      <c r="P100" s="24">
        <f t="shared" si="41"/>
        <v>401.25860644749906</v>
      </c>
      <c r="Q100" s="24">
        <f t="shared" si="42"/>
        <v>22.126485650845353</v>
      </c>
      <c r="R100" s="10">
        <v>401.26</v>
      </c>
      <c r="S100" s="10">
        <v>401.26</v>
      </c>
      <c r="T100" s="17">
        <v>96</v>
      </c>
      <c r="U100" s="10">
        <v>4202163.87</v>
      </c>
      <c r="V100" s="10">
        <v>4210109.34</v>
      </c>
    </row>
    <row r="101" spans="1:22">
      <c r="A101" s="115">
        <v>91</v>
      </c>
      <c r="B101" s="71" t="s">
        <v>241</v>
      </c>
      <c r="C101" s="72" t="s">
        <v>242</v>
      </c>
      <c r="D101" s="10">
        <v>4722197828.5</v>
      </c>
      <c r="E101" s="10">
        <v>71306159.900000006</v>
      </c>
      <c r="F101" s="10">
        <v>49752286.579999998</v>
      </c>
      <c r="G101" s="10">
        <v>12272876.52</v>
      </c>
      <c r="H101" s="12">
        <f t="shared" si="29"/>
        <v>108785569.96000001</v>
      </c>
      <c r="I101" s="10">
        <v>5039953835.5100002</v>
      </c>
      <c r="J101" s="13">
        <f t="shared" si="30"/>
        <v>2.0950687733703625E-2</v>
      </c>
      <c r="K101" s="10">
        <v>5679120373.54</v>
      </c>
      <c r="L101" s="13">
        <f t="shared" si="37"/>
        <v>2.2490558288641185E-2</v>
      </c>
      <c r="M101" s="13">
        <f t="shared" si="38"/>
        <v>0.12681991916803373</v>
      </c>
      <c r="N101" s="20">
        <f t="shared" si="39"/>
        <v>2.1610523659934106E-3</v>
      </c>
      <c r="O101" s="21">
        <f t="shared" si="40"/>
        <v>1.9155355548871742E-2</v>
      </c>
      <c r="P101" s="24">
        <f t="shared" si="41"/>
        <v>105.07689125865755</v>
      </c>
      <c r="Q101" s="24">
        <f t="shared" si="42"/>
        <v>2.0127852120297187</v>
      </c>
      <c r="R101" s="10">
        <v>105.08</v>
      </c>
      <c r="S101" s="10">
        <v>105.08</v>
      </c>
      <c r="T101" s="17">
        <v>495</v>
      </c>
      <c r="U101" s="10">
        <v>48012058</v>
      </c>
      <c r="V101" s="10">
        <v>54047282</v>
      </c>
    </row>
    <row r="102" spans="1:22">
      <c r="A102" s="115">
        <v>92</v>
      </c>
      <c r="B102" s="76" t="s">
        <v>119</v>
      </c>
      <c r="C102" s="76" t="s">
        <v>42</v>
      </c>
      <c r="D102" s="10">
        <v>67906735.689999998</v>
      </c>
      <c r="E102" s="10">
        <v>3934234.05</v>
      </c>
      <c r="F102" s="10">
        <v>0</v>
      </c>
      <c r="G102" s="10">
        <v>162529.31</v>
      </c>
      <c r="H102" s="12">
        <f t="shared" si="29"/>
        <v>3771704.7399999998</v>
      </c>
      <c r="I102" s="10">
        <v>70475857.950000003</v>
      </c>
      <c r="J102" s="13">
        <f t="shared" si="30"/>
        <v>2.9296254308366958E-4</v>
      </c>
      <c r="K102" s="10">
        <v>69455872.370000005</v>
      </c>
      <c r="L102" s="13">
        <f t="shared" si="37"/>
        <v>2.7506043951876897E-4</v>
      </c>
      <c r="M102" s="13">
        <f t="shared" si="38"/>
        <v>-1.4472836651717528E-2</v>
      </c>
      <c r="N102" s="20">
        <f t="shared" si="39"/>
        <v>2.3400369825345552E-3</v>
      </c>
      <c r="O102" s="21">
        <f t="shared" si="40"/>
        <v>5.430361193806138E-2</v>
      </c>
      <c r="P102" s="24">
        <f t="shared" si="41"/>
        <v>14.417545687570815</v>
      </c>
      <c r="Q102" s="24">
        <f t="shared" si="42"/>
        <v>0.78292480611711579</v>
      </c>
      <c r="R102" s="10">
        <v>12.81</v>
      </c>
      <c r="S102" s="10">
        <v>13.47</v>
      </c>
      <c r="T102" s="17">
        <v>54</v>
      </c>
      <c r="U102" s="10">
        <v>4897486.4400000004</v>
      </c>
      <c r="V102" s="10">
        <v>4817454.6399999997</v>
      </c>
    </row>
    <row r="103" spans="1:22">
      <c r="A103" s="115">
        <v>93</v>
      </c>
      <c r="B103" s="71" t="s">
        <v>256</v>
      </c>
      <c r="C103" s="72" t="s">
        <v>257</v>
      </c>
      <c r="D103" s="10">
        <v>1027950250.42</v>
      </c>
      <c r="E103" s="10">
        <v>11936286.34</v>
      </c>
      <c r="F103" s="10">
        <v>0</v>
      </c>
      <c r="G103" s="10">
        <v>2767558.14</v>
      </c>
      <c r="H103" s="12">
        <f t="shared" si="29"/>
        <v>9168728.1999999993</v>
      </c>
      <c r="I103" s="10">
        <v>970978152.92999995</v>
      </c>
      <c r="J103" s="13">
        <f t="shared" si="30"/>
        <v>4.0362790498112274E-3</v>
      </c>
      <c r="K103" s="10">
        <v>1001466054.84</v>
      </c>
      <c r="L103" s="13">
        <f t="shared" si="37"/>
        <v>3.966024524751326E-3</v>
      </c>
      <c r="M103" s="13">
        <f t="shared" si="38"/>
        <v>3.1399163635145173E-2</v>
      </c>
      <c r="N103" s="20">
        <f t="shared" si="39"/>
        <v>2.7635066876452053E-3</v>
      </c>
      <c r="O103" s="21">
        <f t="shared" si="40"/>
        <v>9.1553060192987243E-3</v>
      </c>
      <c r="P103" s="24">
        <f t="shared" si="41"/>
        <v>162.63213780737777</v>
      </c>
      <c r="Q103" s="24">
        <f t="shared" si="42"/>
        <v>1.4889469901993055</v>
      </c>
      <c r="R103" s="10">
        <v>162.66</v>
      </c>
      <c r="S103" s="10">
        <v>162.66</v>
      </c>
      <c r="T103" s="17">
        <v>189</v>
      </c>
      <c r="U103" s="10">
        <v>5885203.5</v>
      </c>
      <c r="V103" s="10">
        <v>6157860.7300000004</v>
      </c>
    </row>
    <row r="104" spans="1:22">
      <c r="A104" s="115">
        <v>94</v>
      </c>
      <c r="B104" s="19" t="s">
        <v>120</v>
      </c>
      <c r="C104" s="19" t="s">
        <v>121</v>
      </c>
      <c r="D104" s="10">
        <v>15699689889.4</v>
      </c>
      <c r="E104" s="10">
        <v>224680211.33000001</v>
      </c>
      <c r="F104" s="10">
        <v>0</v>
      </c>
      <c r="G104" s="10">
        <v>19248718.969999999</v>
      </c>
      <c r="H104" s="12">
        <f t="shared" si="29"/>
        <v>205431492.36000001</v>
      </c>
      <c r="I104" s="10">
        <v>10758999510</v>
      </c>
      <c r="J104" s="13">
        <f t="shared" si="30"/>
        <v>4.4724306296799826E-2</v>
      </c>
      <c r="K104" s="10">
        <v>15524335167</v>
      </c>
      <c r="L104" s="13">
        <f t="shared" si="37"/>
        <v>6.1479761301163852E-2</v>
      </c>
      <c r="M104" s="13">
        <f t="shared" si="38"/>
        <v>0.44291624444920158</v>
      </c>
      <c r="N104" s="20">
        <f t="shared" si="39"/>
        <v>1.2399061707271627E-3</v>
      </c>
      <c r="O104" s="21">
        <f t="shared" si="40"/>
        <v>1.3232868921606683E-2</v>
      </c>
      <c r="P104" s="24">
        <f t="shared" si="41"/>
        <v>1.0399999999919609</v>
      </c>
      <c r="Q104" s="24">
        <f t="shared" si="42"/>
        <v>1.3762183678364572E-2</v>
      </c>
      <c r="R104" s="10">
        <v>1.04</v>
      </c>
      <c r="S104" s="10">
        <v>1.04</v>
      </c>
      <c r="T104" s="17">
        <v>5365</v>
      </c>
      <c r="U104" s="10">
        <v>10548038735</v>
      </c>
      <c r="V104" s="10">
        <v>14927245353</v>
      </c>
    </row>
    <row r="105" spans="1:22">
      <c r="A105" s="115">
        <v>95</v>
      </c>
      <c r="B105" s="19" t="s">
        <v>122</v>
      </c>
      <c r="C105" s="19" t="s">
        <v>46</v>
      </c>
      <c r="D105" s="10">
        <v>15156463588.73</v>
      </c>
      <c r="E105" s="10">
        <v>162146127.78999999</v>
      </c>
      <c r="F105" s="10">
        <v>0</v>
      </c>
      <c r="G105" s="10">
        <v>27013683.620000001</v>
      </c>
      <c r="H105" s="12">
        <f t="shared" si="29"/>
        <v>135132444.16999999</v>
      </c>
      <c r="I105" s="10">
        <v>15556526376.16</v>
      </c>
      <c r="J105" s="13">
        <f t="shared" si="30"/>
        <v>6.4667244376668362E-2</v>
      </c>
      <c r="K105" s="10">
        <v>15309037421.120001</v>
      </c>
      <c r="L105" s="13">
        <f t="shared" si="37"/>
        <v>6.0627135157564627E-2</v>
      </c>
      <c r="M105" s="13">
        <f t="shared" si="38"/>
        <v>-1.5909011372826125E-2</v>
      </c>
      <c r="N105" s="20">
        <f t="shared" si="39"/>
        <v>1.7645579455395763E-3</v>
      </c>
      <c r="O105" s="21">
        <f t="shared" si="40"/>
        <v>8.8269719677851414E-3</v>
      </c>
      <c r="P105" s="24">
        <f t="shared" si="41"/>
        <v>259.25085474987549</v>
      </c>
      <c r="Q105" s="24">
        <f t="shared" si="42"/>
        <v>2.2884000275014884</v>
      </c>
      <c r="R105" s="10">
        <v>259.25</v>
      </c>
      <c r="S105" s="10">
        <v>259.25</v>
      </c>
      <c r="T105" s="17">
        <v>5928</v>
      </c>
      <c r="U105" s="10">
        <v>59655574.490000002</v>
      </c>
      <c r="V105" s="10">
        <v>59051058.619999997</v>
      </c>
    </row>
    <row r="106" spans="1:22">
      <c r="A106" s="115">
        <v>96</v>
      </c>
      <c r="B106" s="76" t="s">
        <v>123</v>
      </c>
      <c r="C106" s="19" t="s">
        <v>46</v>
      </c>
      <c r="D106" s="10">
        <v>996843979.13999999</v>
      </c>
      <c r="E106" s="10">
        <v>10870812.970000001</v>
      </c>
      <c r="F106" s="10">
        <v>2476066.7799999998</v>
      </c>
      <c r="G106" s="10">
        <v>1775248.99</v>
      </c>
      <c r="H106" s="12">
        <f t="shared" si="29"/>
        <v>11571630.76</v>
      </c>
      <c r="I106" s="10">
        <v>851845619.92999995</v>
      </c>
      <c r="J106" s="13">
        <f t="shared" si="30"/>
        <v>3.5410545737014024E-3</v>
      </c>
      <c r="K106" s="10">
        <v>999848589.96000004</v>
      </c>
      <c r="L106" s="13">
        <f t="shared" si="37"/>
        <v>3.9596190102049256E-3</v>
      </c>
      <c r="M106" s="13">
        <f t="shared" si="38"/>
        <v>0.17374388805586882</v>
      </c>
      <c r="N106" s="20">
        <f t="shared" si="39"/>
        <v>1.7755178212243321E-3</v>
      </c>
      <c r="O106" s="21">
        <f t="shared" si="40"/>
        <v>1.1573383086396046E-2</v>
      </c>
      <c r="P106" s="24">
        <f t="shared" si="41"/>
        <v>10361.520418187967</v>
      </c>
      <c r="Q106" s="24">
        <f t="shared" si="42"/>
        <v>119.91784515720391</v>
      </c>
      <c r="R106" s="10">
        <v>10414.84</v>
      </c>
      <c r="S106" s="10">
        <v>10454.66</v>
      </c>
      <c r="T106" s="17">
        <v>27</v>
      </c>
      <c r="U106" s="10">
        <v>93593.56</v>
      </c>
      <c r="V106" s="10">
        <v>96496.320000000007</v>
      </c>
    </row>
    <row r="107" spans="1:22">
      <c r="A107" s="115">
        <v>97</v>
      </c>
      <c r="B107" s="19" t="s">
        <v>124</v>
      </c>
      <c r="C107" s="19" t="s">
        <v>46</v>
      </c>
      <c r="D107" s="10">
        <v>6628348152.1199999</v>
      </c>
      <c r="E107" s="10">
        <v>99961641.810000002</v>
      </c>
      <c r="F107" s="10">
        <v>0</v>
      </c>
      <c r="G107" s="10">
        <v>9891063.5399999991</v>
      </c>
      <c r="H107" s="12">
        <f t="shared" si="29"/>
        <v>90070578.270000011</v>
      </c>
      <c r="I107" s="10">
        <v>7021544710.5799999</v>
      </c>
      <c r="J107" s="13">
        <f t="shared" si="30"/>
        <v>2.9188003589067417E-2</v>
      </c>
      <c r="K107" s="10">
        <v>6644259872.8599997</v>
      </c>
      <c r="L107" s="13">
        <f t="shared" si="37"/>
        <v>2.6312721711565071E-2</v>
      </c>
      <c r="M107" s="13">
        <f t="shared" si="38"/>
        <v>-5.3732455360073532E-2</v>
      </c>
      <c r="N107" s="20">
        <f t="shared" si="39"/>
        <v>1.488662955584009E-3</v>
      </c>
      <c r="O107" s="21">
        <f t="shared" si="40"/>
        <v>1.3556149216546135E-2</v>
      </c>
      <c r="P107" s="24">
        <f t="shared" si="41"/>
        <v>167.61474432392785</v>
      </c>
      <c r="Q107" s="24">
        <f t="shared" si="42"/>
        <v>2.2722104849483955</v>
      </c>
      <c r="R107" s="10">
        <v>167.61</v>
      </c>
      <c r="S107" s="10">
        <v>167.61</v>
      </c>
      <c r="T107" s="17">
        <v>6074</v>
      </c>
      <c r="U107" s="10">
        <v>41484239.93</v>
      </c>
      <c r="V107" s="10">
        <v>39640068.060000002</v>
      </c>
    </row>
    <row r="108" spans="1:22">
      <c r="A108" s="115">
        <v>98</v>
      </c>
      <c r="B108" s="19" t="s">
        <v>125</v>
      </c>
      <c r="C108" s="19" t="s">
        <v>46</v>
      </c>
      <c r="D108" s="10">
        <v>5580894769.0900002</v>
      </c>
      <c r="E108" s="10">
        <v>62467792.759999998</v>
      </c>
      <c r="F108" s="10">
        <v>0</v>
      </c>
      <c r="G108" s="10">
        <v>10390781.85</v>
      </c>
      <c r="H108" s="12">
        <f t="shared" si="29"/>
        <v>52077010.909999996</v>
      </c>
      <c r="I108" s="10">
        <v>5781903604.2299995</v>
      </c>
      <c r="J108" s="13">
        <f t="shared" si="30"/>
        <v>2.4034913983758826E-2</v>
      </c>
      <c r="K108" s="10">
        <v>5716674685.2600002</v>
      </c>
      <c r="L108" s="13">
        <f t="shared" si="37"/>
        <v>2.2639281573441361E-2</v>
      </c>
      <c r="M108" s="13">
        <f t="shared" si="38"/>
        <v>-1.1281564590990119E-2</v>
      </c>
      <c r="N108" s="20">
        <f t="shared" si="39"/>
        <v>1.8176269286044595E-3</v>
      </c>
      <c r="O108" s="21">
        <f t="shared" si="40"/>
        <v>9.1096684308933137E-3</v>
      </c>
      <c r="P108" s="24">
        <f t="shared" si="41"/>
        <v>388.09000144129641</v>
      </c>
      <c r="Q108" s="24">
        <f t="shared" si="42"/>
        <v>3.5353712344751185</v>
      </c>
      <c r="R108" s="10">
        <v>388.09</v>
      </c>
      <c r="S108" s="10">
        <v>388.09</v>
      </c>
      <c r="T108" s="17">
        <v>11758</v>
      </c>
      <c r="U108" s="10">
        <v>14555500.779999999</v>
      </c>
      <c r="V108" s="10">
        <v>14730280.77</v>
      </c>
    </row>
    <row r="109" spans="1:22">
      <c r="A109" s="115">
        <v>99</v>
      </c>
      <c r="B109" s="19" t="s">
        <v>302</v>
      </c>
      <c r="C109" s="19" t="s">
        <v>303</v>
      </c>
      <c r="D109" s="10">
        <v>118883124.23999999</v>
      </c>
      <c r="E109" s="10">
        <v>1807397.67</v>
      </c>
      <c r="F109" s="10">
        <v>0</v>
      </c>
      <c r="G109" s="10">
        <v>369697.67</v>
      </c>
      <c r="H109" s="12">
        <f t="shared" ref="H109" si="44">(E109+F109)-G109</f>
        <v>1437700</v>
      </c>
      <c r="I109" s="10">
        <v>113024163.66</v>
      </c>
      <c r="J109" s="13">
        <f t="shared" si="30"/>
        <v>4.6983246999603883E-4</v>
      </c>
      <c r="K109" s="10">
        <v>117782943.78</v>
      </c>
      <c r="L109" s="13">
        <f t="shared" si="37"/>
        <v>4.6644620790818315E-4</v>
      </c>
      <c r="M109" s="13">
        <f t="shared" si="38"/>
        <v>4.2104094964289206E-2</v>
      </c>
      <c r="N109" s="20">
        <f t="shared" si="39"/>
        <v>3.138804805987334E-3</v>
      </c>
      <c r="O109" s="21">
        <f t="shared" si="40"/>
        <v>1.2206351394013357E-2</v>
      </c>
      <c r="P109" s="24">
        <f t="shared" si="41"/>
        <v>119.01910476669201</v>
      </c>
      <c r="Q109" s="24">
        <f t="shared" si="42"/>
        <v>1.4527890153831329</v>
      </c>
      <c r="R109" s="10">
        <v>119.01909999999999</v>
      </c>
      <c r="S109" s="10">
        <v>119.01909999999999</v>
      </c>
      <c r="T109" s="17">
        <v>26</v>
      </c>
      <c r="U109" s="10">
        <v>996362.74</v>
      </c>
      <c r="V109" s="10">
        <v>989613.76</v>
      </c>
    </row>
    <row r="110" spans="1:22">
      <c r="A110" s="115">
        <v>100</v>
      </c>
      <c r="B110" s="19" t="s">
        <v>126</v>
      </c>
      <c r="C110" s="19" t="s">
        <v>50</v>
      </c>
      <c r="D110" s="10">
        <v>73215024731</v>
      </c>
      <c r="E110" s="10">
        <v>738673749</v>
      </c>
      <c r="F110" s="10">
        <v>0</v>
      </c>
      <c r="G110" s="10">
        <v>123328941</v>
      </c>
      <c r="H110" s="12">
        <f t="shared" si="29"/>
        <v>615344808</v>
      </c>
      <c r="I110" s="10">
        <v>82442716472</v>
      </c>
      <c r="J110" s="13">
        <f t="shared" si="30"/>
        <v>0.34270782334424998</v>
      </c>
      <c r="K110" s="10">
        <v>78116121372</v>
      </c>
      <c r="L110" s="13">
        <f t="shared" si="37"/>
        <v>0.30935691893151612</v>
      </c>
      <c r="M110" s="13">
        <f t="shared" si="38"/>
        <v>-5.2480016248244811E-2</v>
      </c>
      <c r="N110" s="20">
        <f t="shared" si="39"/>
        <v>1.5787898686455536E-3</v>
      </c>
      <c r="O110" s="21">
        <f t="shared" si="40"/>
        <v>7.8773087704859437E-3</v>
      </c>
      <c r="P110" s="24">
        <f t="shared" si="41"/>
        <v>2.0182041975531271</v>
      </c>
      <c r="Q110" s="24">
        <f t="shared" si="42"/>
        <v>1.5898017626016794E-2</v>
      </c>
      <c r="R110" s="10">
        <v>2.02</v>
      </c>
      <c r="S110" s="10">
        <v>2.02</v>
      </c>
      <c r="T110" s="17">
        <v>1391</v>
      </c>
      <c r="U110" s="10">
        <v>39803977208</v>
      </c>
      <c r="V110" s="10">
        <v>38705757062</v>
      </c>
    </row>
    <row r="111" spans="1:22">
      <c r="A111" s="115">
        <v>101</v>
      </c>
      <c r="B111" s="19" t="s">
        <v>255</v>
      </c>
      <c r="C111" s="19" t="s">
        <v>50</v>
      </c>
      <c r="D111" s="10">
        <v>44018480945</v>
      </c>
      <c r="E111" s="10">
        <v>1026636095</v>
      </c>
      <c r="F111" s="10">
        <v>0</v>
      </c>
      <c r="G111" s="10">
        <v>127942266</v>
      </c>
      <c r="H111" s="12">
        <f t="shared" si="29"/>
        <v>898693829</v>
      </c>
      <c r="I111" s="10">
        <v>65262672551</v>
      </c>
      <c r="J111" s="13">
        <f t="shared" si="30"/>
        <v>0.27129174550159213</v>
      </c>
      <c r="K111" s="10">
        <v>75037976976</v>
      </c>
      <c r="L111" s="13">
        <f t="shared" si="37"/>
        <v>0.29716679415767916</v>
      </c>
      <c r="M111" s="13">
        <f t="shared" si="38"/>
        <v>0.14978400428454744</v>
      </c>
      <c r="N111" s="20">
        <f t="shared" si="39"/>
        <v>1.7050335197725387E-3</v>
      </c>
      <c r="O111" s="21">
        <f t="shared" si="40"/>
        <v>1.1976519959852282E-2</v>
      </c>
      <c r="P111" s="24">
        <f t="shared" si="41"/>
        <v>151.50452557571236</v>
      </c>
      <c r="Q111" s="24">
        <f t="shared" si="42"/>
        <v>1.8144969745654698</v>
      </c>
      <c r="R111" s="10">
        <v>151.5</v>
      </c>
      <c r="S111" s="10">
        <v>151.5</v>
      </c>
      <c r="T111" s="17">
        <v>261</v>
      </c>
      <c r="U111" s="10">
        <v>513019554</v>
      </c>
      <c r="V111" s="10">
        <v>495285383</v>
      </c>
    </row>
    <row r="112" spans="1:22">
      <c r="A112" s="115">
        <v>102</v>
      </c>
      <c r="B112" s="71" t="s">
        <v>235</v>
      </c>
      <c r="C112" s="71" t="s">
        <v>236</v>
      </c>
      <c r="D112" s="10">
        <v>20000000</v>
      </c>
      <c r="E112" s="10">
        <v>2983894.11</v>
      </c>
      <c r="F112" s="10">
        <v>0</v>
      </c>
      <c r="G112" s="10">
        <v>477234.85</v>
      </c>
      <c r="H112" s="12">
        <f>(E112+F112)-G112</f>
        <v>2506659.2599999998</v>
      </c>
      <c r="I112" s="10">
        <v>113718689</v>
      </c>
      <c r="J112" s="13">
        <f t="shared" si="30"/>
        <v>4.7271955666317532E-4</v>
      </c>
      <c r="K112" s="10">
        <v>116945582.73</v>
      </c>
      <c r="L112" s="13">
        <f t="shared" si="37"/>
        <v>4.6313007508039391E-4</v>
      </c>
      <c r="M112" s="13">
        <f t="shared" si="38"/>
        <v>2.8376107378445106E-2</v>
      </c>
      <c r="N112" s="20">
        <f t="shared" si="39"/>
        <v>4.0808283550292247E-3</v>
      </c>
      <c r="O112" s="21">
        <f t="shared" si="40"/>
        <v>2.1434407366948519E-2</v>
      </c>
      <c r="P112" s="24">
        <f t="shared" si="41"/>
        <v>117.93147214743171</v>
      </c>
      <c r="Q112" s="24">
        <f t="shared" si="42"/>
        <v>2.5277912153919946</v>
      </c>
      <c r="R112" s="10">
        <v>117.1673</v>
      </c>
      <c r="S112" s="10">
        <v>117.1673</v>
      </c>
      <c r="T112" s="17">
        <v>89</v>
      </c>
      <c r="U112" s="10">
        <v>991011.13</v>
      </c>
      <c r="V112" s="10">
        <v>991640.15</v>
      </c>
    </row>
    <row r="113" spans="1:23">
      <c r="A113" s="115">
        <v>103</v>
      </c>
      <c r="B113" s="71" t="s">
        <v>286</v>
      </c>
      <c r="C113" s="71" t="s">
        <v>285</v>
      </c>
      <c r="D113" s="10">
        <v>497989902</v>
      </c>
      <c r="E113" s="10">
        <v>7564892.79</v>
      </c>
      <c r="F113" s="10"/>
      <c r="G113" s="10">
        <v>1013127.64</v>
      </c>
      <c r="H113" s="12">
        <f t="shared" si="29"/>
        <v>6551765.1500000004</v>
      </c>
      <c r="I113" s="10">
        <v>455717716.13</v>
      </c>
      <c r="J113" s="13">
        <f t="shared" si="30"/>
        <v>1.8943823449506035E-3</v>
      </c>
      <c r="K113" s="10">
        <v>525659603.66000003</v>
      </c>
      <c r="L113" s="13">
        <f t="shared" si="37"/>
        <v>2.0817269539102831E-3</v>
      </c>
      <c r="M113" s="13">
        <f t="shared" si="38"/>
        <v>0.15347634084527911</v>
      </c>
      <c r="N113" s="20">
        <f t="shared" si="39"/>
        <v>1.927345439797762E-3</v>
      </c>
      <c r="O113" s="21">
        <f t="shared" si="40"/>
        <v>1.2463893181789415E-2</v>
      </c>
      <c r="P113" s="24">
        <f t="shared" si="41"/>
        <v>1.4427230104614501</v>
      </c>
      <c r="Q113" s="24">
        <f t="shared" si="42"/>
        <v>1.7981945493301166E-2</v>
      </c>
      <c r="R113" s="10">
        <v>1.4427000000000001</v>
      </c>
      <c r="S113" s="10">
        <v>1.4427000000000001</v>
      </c>
      <c r="T113" s="17">
        <v>88</v>
      </c>
      <c r="U113" s="10">
        <v>335732665.5</v>
      </c>
      <c r="V113" s="10">
        <v>364352408.5</v>
      </c>
    </row>
    <row r="114" spans="1:23">
      <c r="A114" s="115">
        <v>104</v>
      </c>
      <c r="B114" s="76" t="s">
        <v>127</v>
      </c>
      <c r="C114" s="76" t="s">
        <v>93</v>
      </c>
      <c r="D114" s="10">
        <v>1950391612.6700001</v>
      </c>
      <c r="E114" s="10">
        <v>25780742.66</v>
      </c>
      <c r="F114" s="10">
        <v>0</v>
      </c>
      <c r="G114" s="10">
        <v>3510413.53</v>
      </c>
      <c r="H114" s="12">
        <f t="shared" si="29"/>
        <v>22270329.129999999</v>
      </c>
      <c r="I114" s="10">
        <v>2067803134.8499999</v>
      </c>
      <c r="J114" s="13">
        <f t="shared" si="30"/>
        <v>8.5956933707969155E-3</v>
      </c>
      <c r="K114" s="10">
        <v>2030184882.4000001</v>
      </c>
      <c r="L114" s="13">
        <f t="shared" si="37"/>
        <v>8.0399759876675827E-3</v>
      </c>
      <c r="M114" s="13">
        <f t="shared" si="38"/>
        <v>-1.8192376158056588E-2</v>
      </c>
      <c r="N114" s="20">
        <f t="shared" si="39"/>
        <v>1.7291102699228727E-3</v>
      </c>
      <c r="O114" s="21">
        <f t="shared" si="40"/>
        <v>1.0969606425042897E-2</v>
      </c>
      <c r="P114" s="24">
        <f t="shared" si="41"/>
        <v>31.174575337270081</v>
      </c>
      <c r="Q114" s="24">
        <f t="shared" si="42"/>
        <v>0.34197282191770173</v>
      </c>
      <c r="R114" s="10">
        <v>31.174600000000002</v>
      </c>
      <c r="S114" s="10">
        <v>31.174600000000002</v>
      </c>
      <c r="T114" s="16">
        <v>1358</v>
      </c>
      <c r="U114" s="10">
        <v>65404733.560000002</v>
      </c>
      <c r="V114" s="10">
        <v>65123096.640000001</v>
      </c>
    </row>
    <row r="115" spans="1:23">
      <c r="A115" s="118" t="s">
        <v>51</v>
      </c>
      <c r="B115" s="118"/>
      <c r="C115" s="118"/>
      <c r="D115" s="118"/>
      <c r="E115" s="118"/>
      <c r="F115" s="118"/>
      <c r="G115" s="118"/>
      <c r="H115" s="118"/>
      <c r="I115" s="36">
        <f>SUM(I77:I114)</f>
        <v>240562691763.19998</v>
      </c>
      <c r="J115" s="34">
        <f>(I115/$I$243)</f>
        <v>2.8958560479430098E-2</v>
      </c>
      <c r="K115" s="36">
        <f>SUM(K77:K114)</f>
        <v>252511311664.87003</v>
      </c>
      <c r="L115" s="34">
        <f>(K115/$K$243)</f>
        <v>2.937527066243615E-2</v>
      </c>
      <c r="M115" s="34">
        <f t="shared" si="32"/>
        <v>4.9669463764696206E-2</v>
      </c>
      <c r="N115" s="20"/>
      <c r="O115" s="20"/>
      <c r="P115" s="37"/>
      <c r="Q115" s="37"/>
      <c r="R115" s="36"/>
      <c r="S115" s="36"/>
      <c r="T115" s="36">
        <f>SUM(T77:T114)</f>
        <v>56772</v>
      </c>
      <c r="U115" s="36"/>
      <c r="V115" s="10"/>
    </row>
    <row r="116" spans="1:23" ht="7.05" customHeight="1">
      <c r="A116" s="136"/>
      <c r="B116" s="136"/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5"/>
    </row>
    <row r="117" spans="1:23">
      <c r="A117" s="117" t="s">
        <v>196</v>
      </c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</row>
    <row r="118" spans="1:23">
      <c r="A118" s="137" t="s">
        <v>128</v>
      </c>
      <c r="B118" s="137"/>
      <c r="C118" s="137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</row>
    <row r="119" spans="1:23">
      <c r="A119" s="103">
        <v>105</v>
      </c>
      <c r="B119" s="19" t="s">
        <v>129</v>
      </c>
      <c r="C119" s="19" t="s">
        <v>22</v>
      </c>
      <c r="D119" s="17">
        <v>3705309953.7600002</v>
      </c>
      <c r="E119" s="17">
        <v>22504463.93</v>
      </c>
      <c r="F119" s="17">
        <v>23398182.629999999</v>
      </c>
      <c r="G119" s="17">
        <v>6931521.5899999999</v>
      </c>
      <c r="H119" s="12">
        <f t="shared" ref="H119:H133" si="45">(E119+F119)-G119</f>
        <v>38971124.969999999</v>
      </c>
      <c r="I119" s="29">
        <v>3372727194.54</v>
      </c>
      <c r="J119" s="13">
        <f t="shared" ref="J119:J135" si="46">(I119/$I$158)</f>
        <v>1.8368853548719622E-3</v>
      </c>
      <c r="K119" s="29">
        <v>3731652014.7399998</v>
      </c>
      <c r="L119" s="13">
        <f t="shared" ref="L119" si="47">(K119/$K$158)</f>
        <v>2.0122221386478043E-3</v>
      </c>
      <c r="M119" s="13">
        <f t="shared" ref="M119" si="48">((K119-I119)/I119)</f>
        <v>0.10641976047782688</v>
      </c>
      <c r="N119" s="20">
        <f t="shared" ref="N119" si="49">(G119/K119)</f>
        <v>1.8574940971506821E-3</v>
      </c>
      <c r="O119" s="21">
        <f t="shared" ref="O119" si="50">H119/K119</f>
        <v>1.0443397405777474E-2</v>
      </c>
      <c r="P119" s="24">
        <f t="shared" ref="P119" si="51">K119/V119</f>
        <v>160638.30903976082</v>
      </c>
      <c r="Q119" s="24">
        <f t="shared" ref="Q119" si="52">H119/V119</f>
        <v>1677.6096998943183</v>
      </c>
      <c r="R119" s="10">
        <f>115.8827*FX_RATE</f>
        <v>160696.34786012</v>
      </c>
      <c r="S119" s="10">
        <f>115.8827*FX_RATE</f>
        <v>160696.34786012</v>
      </c>
      <c r="T119" s="10">
        <v>190</v>
      </c>
      <c r="U119" s="10">
        <v>21310.799999999999</v>
      </c>
      <c r="V119" s="10">
        <v>23230.15</v>
      </c>
    </row>
    <row r="120" spans="1:23">
      <c r="A120" s="103">
        <v>106</v>
      </c>
      <c r="B120" s="71" t="s">
        <v>224</v>
      </c>
      <c r="C120" s="72" t="s">
        <v>55</v>
      </c>
      <c r="D120" s="17">
        <f>4038915.07*C245</f>
        <v>5600826534.6440916</v>
      </c>
      <c r="E120" s="17">
        <f>67973.17*FX_RATE</f>
        <v>94259455.220451996</v>
      </c>
      <c r="F120" s="17">
        <v>0</v>
      </c>
      <c r="G120" s="17">
        <f>6913.3*C245</f>
        <v>9586780.9574800003</v>
      </c>
      <c r="H120" s="12">
        <f t="shared" si="45"/>
        <v>84672674.262971997</v>
      </c>
      <c r="I120" s="29">
        <v>5509332337.6409407</v>
      </c>
      <c r="J120" s="13">
        <f t="shared" si="46"/>
        <v>3.0005426773081793E-3</v>
      </c>
      <c r="K120" s="29">
        <f>3995251.92*FX_RATE</f>
        <v>5540278163.3939514</v>
      </c>
      <c r="L120" s="13">
        <f t="shared" ref="L120:L135" si="53">(K120/$K$158)</f>
        <v>2.9874892756914942E-3</v>
      </c>
      <c r="M120" s="13">
        <f t="shared" ref="M120:M135" si="54">((K120-I120)/I120)</f>
        <v>5.616982940306982E-3</v>
      </c>
      <c r="N120" s="20">
        <f t="shared" ref="N120:N135" si="55">(G120/K120)</f>
        <v>1.7303789944740208E-3</v>
      </c>
      <c r="O120" s="21">
        <f t="shared" ref="O120:O135" si="56">H120/K120</f>
        <v>1.5283108855874101E-2</v>
      </c>
      <c r="P120" s="24">
        <f t="shared" ref="P120:P135" si="57">K120/V120</f>
        <v>142104.32507409962</v>
      </c>
      <c r="Q120" s="24">
        <f t="shared" ref="Q120:Q135" si="58">H120/V120</f>
        <v>2171.7958689979837</v>
      </c>
      <c r="R120" s="10">
        <f>100*C245</f>
        <v>138671.56</v>
      </c>
      <c r="S120" s="10">
        <f>100*C245</f>
        <v>138671.56</v>
      </c>
      <c r="T120" s="10">
        <v>104</v>
      </c>
      <c r="U120" s="10">
        <v>39666.49</v>
      </c>
      <c r="V120" s="10">
        <v>38987.4</v>
      </c>
    </row>
    <row r="121" spans="1:23" ht="13.05" customHeight="1">
      <c r="A121" s="103">
        <v>107</v>
      </c>
      <c r="B121" s="19" t="s">
        <v>130</v>
      </c>
      <c r="C121" s="76" t="s">
        <v>26</v>
      </c>
      <c r="D121" s="17">
        <f>7986193*FX_RATE</f>
        <v>11074578417.7108</v>
      </c>
      <c r="E121" s="17">
        <f>88214*FX_RATE</f>
        <v>122327729.9384</v>
      </c>
      <c r="F121" s="17">
        <f>73646*C245</f>
        <v>102126057.0776</v>
      </c>
      <c r="G121" s="17">
        <f>23889*FX_RATE</f>
        <v>33127248.968400002</v>
      </c>
      <c r="H121" s="12">
        <f t="shared" si="45"/>
        <v>191326538.0476</v>
      </c>
      <c r="I121" s="29">
        <v>17327172631.940601</v>
      </c>
      <c r="J121" s="13">
        <f t="shared" si="46"/>
        <v>9.4368823249254604E-3</v>
      </c>
      <c r="K121" s="29">
        <f>13116308*FX_RATE</f>
        <v>18188588918.004799</v>
      </c>
      <c r="L121" s="13">
        <f t="shared" si="53"/>
        <v>9.8078494851625165E-3</v>
      </c>
      <c r="M121" s="13">
        <f t="shared" si="54"/>
        <v>4.9714763300521291E-2</v>
      </c>
      <c r="N121" s="20">
        <f t="shared" si="55"/>
        <v>1.8213204508463817E-3</v>
      </c>
      <c r="O121" s="21">
        <f t="shared" si="56"/>
        <v>1.0519042401261088E-2</v>
      </c>
      <c r="P121" s="24">
        <f t="shared" si="57"/>
        <v>1689.2915791155783</v>
      </c>
      <c r="Q121" s="24">
        <f t="shared" si="58"/>
        <v>17.769729748810068</v>
      </c>
      <c r="R121" s="10">
        <f>1.2182*FX_RATE</f>
        <v>1689.2969439199999</v>
      </c>
      <c r="S121" s="10">
        <f>1.2182*FX_RATE</f>
        <v>1689.2969439199999</v>
      </c>
      <c r="T121" s="10">
        <v>339</v>
      </c>
      <c r="U121" s="10">
        <v>10425173</v>
      </c>
      <c r="V121" s="10">
        <v>10766992</v>
      </c>
    </row>
    <row r="122" spans="1:23" ht="13.05" customHeight="1">
      <c r="A122" s="103">
        <v>108</v>
      </c>
      <c r="B122" s="19" t="s">
        <v>264</v>
      </c>
      <c r="C122" s="76" t="s">
        <v>26</v>
      </c>
      <c r="D122" s="17">
        <f>1996611*FX_RATE</f>
        <v>2768731620.8316002</v>
      </c>
      <c r="E122" s="17">
        <f>19526*FX_RATE</f>
        <v>27077008.805599999</v>
      </c>
      <c r="F122" s="17">
        <f>6505*FX_RATE</f>
        <v>9020584.9780000001</v>
      </c>
      <c r="G122" s="17">
        <f>3919*FX_RATE</f>
        <v>5434538.4364</v>
      </c>
      <c r="H122" s="12">
        <f t="shared" si="45"/>
        <v>30663055.347200003</v>
      </c>
      <c r="I122" s="29">
        <v>4201553789.8536005</v>
      </c>
      <c r="J122" s="13">
        <f t="shared" si="46"/>
        <v>2.28828843221679E-3</v>
      </c>
      <c r="K122" s="29">
        <f>3136801*FX_RATE</f>
        <v>4349850880.7955999</v>
      </c>
      <c r="L122" s="13">
        <f t="shared" si="53"/>
        <v>2.3455740802142849E-3</v>
      </c>
      <c r="M122" s="13">
        <f t="shared" si="54"/>
        <v>3.5295773506488111E-2</v>
      </c>
      <c r="N122" s="20">
        <f t="shared" si="55"/>
        <v>1.2493620092572019E-3</v>
      </c>
      <c r="O122" s="21">
        <f t="shared" si="56"/>
        <v>7.0492198899452024E-3</v>
      </c>
      <c r="P122" s="24">
        <f t="shared" si="57"/>
        <v>1463.3743139720368</v>
      </c>
      <c r="Q122" s="24">
        <f t="shared" si="58"/>
        <v>10.315647320486597</v>
      </c>
      <c r="R122" s="10">
        <f>1.0553*FX_RATE</f>
        <v>1463.4009726799998</v>
      </c>
      <c r="S122" s="10">
        <f>1.0553*FX_RATE</f>
        <v>1463.4009726799998</v>
      </c>
      <c r="T122" s="10">
        <v>122</v>
      </c>
      <c r="U122" s="10">
        <v>2928865</v>
      </c>
      <c r="V122" s="10">
        <v>2972480</v>
      </c>
    </row>
    <row r="123" spans="1:23" ht="13.05" customHeight="1">
      <c r="A123" s="103">
        <v>109</v>
      </c>
      <c r="B123" s="72" t="s">
        <v>229</v>
      </c>
      <c r="C123" s="72" t="s">
        <v>102</v>
      </c>
      <c r="D123" s="17">
        <f>33565297.25*FX_RATE</f>
        <v>46545521315.212097</v>
      </c>
      <c r="E123" s="17">
        <f>211555.9*FX_RATE</f>
        <v>293367866.80203998</v>
      </c>
      <c r="F123" s="17">
        <v>0</v>
      </c>
      <c r="G123" s="17">
        <f>47785.47*FX_RATE</f>
        <v>66264856.702332005</v>
      </c>
      <c r="H123" s="12">
        <f t="shared" si="45"/>
        <v>227103010.09970796</v>
      </c>
      <c r="I123" s="29">
        <v>48950754028.473518</v>
      </c>
      <c r="J123" s="13">
        <f t="shared" si="46"/>
        <v>2.6660004796832171E-2</v>
      </c>
      <c r="K123" s="29">
        <f>33645511.25*FX_RATE</f>
        <v>46656755320.350502</v>
      </c>
      <c r="L123" s="13">
        <f t="shared" si="53"/>
        <v>2.5158764965822866E-2</v>
      </c>
      <c r="M123" s="13">
        <f t="shared" si="54"/>
        <v>-4.6863398810744583E-2</v>
      </c>
      <c r="N123" s="20">
        <f t="shared" si="55"/>
        <v>1.420262858986873E-3</v>
      </c>
      <c r="O123" s="21">
        <f t="shared" si="56"/>
        <v>4.8675268680900179E-3</v>
      </c>
      <c r="P123" s="24">
        <f t="shared" si="57"/>
        <v>1719.6685862159145</v>
      </c>
      <c r="Q123" s="24">
        <f t="shared" si="58"/>
        <v>8.3705330476163393</v>
      </c>
      <c r="R123" s="10">
        <f>1.2396*FX_RATE</f>
        <v>1718.9726577599999</v>
      </c>
      <c r="S123" s="10">
        <f>1.2396*FX_RATE</f>
        <v>1718.9726577599999</v>
      </c>
      <c r="T123" s="10">
        <v>718</v>
      </c>
      <c r="U123" s="10">
        <v>28197858.23</v>
      </c>
      <c r="V123" s="10">
        <v>27131248.25</v>
      </c>
    </row>
    <row r="124" spans="1:23" ht="13.05" customHeight="1">
      <c r="A124" s="103">
        <v>110</v>
      </c>
      <c r="B124" s="71" t="s">
        <v>230</v>
      </c>
      <c r="C124" s="72" t="s">
        <v>208</v>
      </c>
      <c r="D124" s="17">
        <f>1022860.18*FX_RATE</f>
        <v>1418416168.224808</v>
      </c>
      <c r="E124" s="17">
        <f>14588.31*FX_RATE</f>
        <v>20229837.054635998</v>
      </c>
      <c r="F124" s="17">
        <v>0</v>
      </c>
      <c r="G124" s="17">
        <v>1759.06</v>
      </c>
      <c r="H124" s="12">
        <f t="shared" si="45"/>
        <v>20228077.994635999</v>
      </c>
      <c r="I124" s="29">
        <v>1475872384.6905801</v>
      </c>
      <c r="J124" s="13">
        <f t="shared" si="46"/>
        <v>8.0380303912123399E-4</v>
      </c>
      <c r="K124" s="29">
        <f>1012802.22*FX_RATE</f>
        <v>1404468638.188632</v>
      </c>
      <c r="L124" s="13">
        <f t="shared" si="53"/>
        <v>7.5733291197480675E-4</v>
      </c>
      <c r="M124" s="13">
        <f t="shared" si="54"/>
        <v>-4.8380705027500102E-2</v>
      </c>
      <c r="N124" s="20">
        <f t="shared" si="55"/>
        <v>1.2524736773536578E-6</v>
      </c>
      <c r="O124" s="21">
        <f t="shared" si="56"/>
        <v>1.4402655527235204E-2</v>
      </c>
      <c r="P124" s="24">
        <f t="shared" si="57"/>
        <v>1524.5509784363671</v>
      </c>
      <c r="Q124" s="24">
        <f t="shared" si="58"/>
        <v>21.957582576128381</v>
      </c>
      <c r="R124" s="10">
        <f>1.0994*FX_RATE</f>
        <v>1524.5551306399998</v>
      </c>
      <c r="S124" s="10">
        <f>1.1077*C245</f>
        <v>1536.0648701199998</v>
      </c>
      <c r="T124" s="10">
        <v>74</v>
      </c>
      <c r="U124" s="10">
        <v>995770</v>
      </c>
      <c r="V124" s="10">
        <v>921234.29</v>
      </c>
    </row>
    <row r="125" spans="1:23" ht="13.05" customHeight="1">
      <c r="A125" s="103">
        <v>111</v>
      </c>
      <c r="B125" s="71" t="s">
        <v>231</v>
      </c>
      <c r="C125" s="72" t="s">
        <v>48</v>
      </c>
      <c r="D125" s="17">
        <f>559850.43*FX_RATE</f>
        <v>776353324.94770801</v>
      </c>
      <c r="E125" s="17">
        <f>3708.84*FX_RATE</f>
        <v>5143106.2859040005</v>
      </c>
      <c r="F125" s="17">
        <v>0</v>
      </c>
      <c r="G125" s="17">
        <f>941.1*FX_RATE</f>
        <v>1305038.05116</v>
      </c>
      <c r="H125" s="12">
        <f t="shared" si="45"/>
        <v>3838068.2347440002</v>
      </c>
      <c r="I125" s="29">
        <v>826013907.49328601</v>
      </c>
      <c r="J125" s="13">
        <f t="shared" si="46"/>
        <v>4.4987120572671205E-4</v>
      </c>
      <c r="K125" s="29">
        <f>637498.15*FX_RATE</f>
        <v>884028629.57614005</v>
      </c>
      <c r="L125" s="13">
        <f t="shared" si="53"/>
        <v>4.766955687735876E-4</v>
      </c>
      <c r="M125" s="13">
        <f t="shared" si="54"/>
        <v>7.0234558469980224E-2</v>
      </c>
      <c r="N125" s="20">
        <f t="shared" si="55"/>
        <v>1.4762395781070109E-3</v>
      </c>
      <c r="O125" s="21">
        <f t="shared" si="56"/>
        <v>4.341565540229411E-3</v>
      </c>
      <c r="P125" s="24">
        <f t="shared" si="57"/>
        <v>1970.0208407106777</v>
      </c>
      <c r="Q125" s="24">
        <f t="shared" si="58"/>
        <v>8.552974595563251</v>
      </c>
      <c r="R125" s="10">
        <f>1.42*FX_RATE</f>
        <v>1969.1361519999998</v>
      </c>
      <c r="S125" s="10">
        <f>1.42*FX_RATE</f>
        <v>1969.1361519999998</v>
      </c>
      <c r="T125" s="10">
        <v>78</v>
      </c>
      <c r="U125" s="10">
        <v>428853.57</v>
      </c>
      <c r="V125" s="10">
        <v>448740.75</v>
      </c>
    </row>
    <row r="126" spans="1:23" ht="13.05" customHeight="1">
      <c r="A126" s="103">
        <v>112</v>
      </c>
      <c r="B126" s="71" t="s">
        <v>232</v>
      </c>
      <c r="C126" s="72" t="s">
        <v>163</v>
      </c>
      <c r="D126" s="17">
        <f>997230.03*FX_RATE</f>
        <v>1382874439.389468</v>
      </c>
      <c r="E126" s="17">
        <f>13675.41*FX_RATE</f>
        <v>18963904.383396</v>
      </c>
      <c r="F126" s="17">
        <v>0</v>
      </c>
      <c r="G126" s="17">
        <f>4108.77*FX_RATE</f>
        <v>5697695.4558120007</v>
      </c>
      <c r="H126" s="12">
        <f t="shared" si="45"/>
        <v>13266208.927584</v>
      </c>
      <c r="I126" s="29">
        <v>1878829607.7873061</v>
      </c>
      <c r="J126" s="13">
        <f t="shared" si="46"/>
        <v>1.0232652662899519E-3</v>
      </c>
      <c r="K126" s="29">
        <f>2764680.43*FX_RATE</f>
        <v>3833825481.2957082</v>
      </c>
      <c r="L126" s="13">
        <f t="shared" si="53"/>
        <v>2.0673172307340134E-3</v>
      </c>
      <c r="M126" s="13">
        <f t="shared" si="54"/>
        <v>1.0405392087741245</v>
      </c>
      <c r="N126" s="20">
        <f t="shared" si="55"/>
        <v>1.4861645329474844E-3</v>
      </c>
      <c r="O126" s="21">
        <f t="shared" si="56"/>
        <v>3.4603058987182833E-3</v>
      </c>
      <c r="P126" s="24">
        <f t="shared" si="57"/>
        <v>150263.59964316487</v>
      </c>
      <c r="Q126" s="24">
        <f t="shared" si="58"/>
        <v>519.95802020788585</v>
      </c>
      <c r="R126" s="10">
        <f>109.54*FX_RATE</f>
        <v>151900.82682400002</v>
      </c>
      <c r="S126" s="10">
        <f>110.22*FX_RATE</f>
        <v>152843.79343200001</v>
      </c>
      <c r="T126" s="10">
        <v>116</v>
      </c>
      <c r="U126" s="10">
        <v>12720</v>
      </c>
      <c r="V126" s="10">
        <v>25514</v>
      </c>
    </row>
    <row r="127" spans="1:23" ht="15" customHeight="1">
      <c r="A127" s="103">
        <v>113</v>
      </c>
      <c r="B127" s="19" t="s">
        <v>131</v>
      </c>
      <c r="C127" s="76" t="s">
        <v>69</v>
      </c>
      <c r="D127" s="17">
        <f>3403041.12*FX_RATE</f>
        <v>4719050208.5454721</v>
      </c>
      <c r="E127" s="17">
        <f>24322.47*FX_RATE</f>
        <v>33728348.579532005</v>
      </c>
      <c r="F127" s="17">
        <v>0</v>
      </c>
      <c r="G127" s="17">
        <f>6010.88*FX_RATE</f>
        <v>8335381.0657280004</v>
      </c>
      <c r="H127" s="12">
        <f t="shared" si="45"/>
        <v>25392967.513804004</v>
      </c>
      <c r="I127" s="29">
        <v>4583325130.0260019</v>
      </c>
      <c r="J127" s="13">
        <f t="shared" si="46"/>
        <v>2.4962122111716338E-3</v>
      </c>
      <c r="K127" s="29">
        <f>3385479.16*FX_RATE</f>
        <v>4694696764.6468964</v>
      </c>
      <c r="L127" s="13">
        <f t="shared" si="53"/>
        <v>2.5315256424623782E-3</v>
      </c>
      <c r="M127" s="13">
        <f t="shared" si="54"/>
        <v>2.4299309226675482E-2</v>
      </c>
      <c r="N127" s="20">
        <f t="shared" si="55"/>
        <v>1.7754887021664608E-3</v>
      </c>
      <c r="O127" s="21">
        <f t="shared" si="56"/>
        <v>5.4088621239659325E-3</v>
      </c>
      <c r="P127" s="24">
        <f t="shared" si="57"/>
        <v>157149.6062017314</v>
      </c>
      <c r="Q127" s="24">
        <f t="shared" si="58"/>
        <v>850.00055278070681</v>
      </c>
      <c r="R127" s="10">
        <f>118.13*FX_RATE</f>
        <v>163812.71382800001</v>
      </c>
      <c r="S127" s="10">
        <f>118.13*FX_RATE</f>
        <v>163812.71382800001</v>
      </c>
      <c r="T127" s="10">
        <v>65</v>
      </c>
      <c r="U127" s="10">
        <v>29975.62</v>
      </c>
      <c r="V127" s="10">
        <v>29874.06</v>
      </c>
    </row>
    <row r="128" spans="1:23" ht="15" customHeight="1">
      <c r="A128" s="103">
        <v>114</v>
      </c>
      <c r="B128" s="19" t="s">
        <v>309</v>
      </c>
      <c r="C128" s="19" t="s">
        <v>132</v>
      </c>
      <c r="D128" s="17">
        <v>53721321384.940002</v>
      </c>
      <c r="E128" s="17">
        <v>376430606.69999999</v>
      </c>
      <c r="F128" s="17">
        <v>0</v>
      </c>
      <c r="G128" s="17">
        <v>86068600.900000006</v>
      </c>
      <c r="H128" s="12">
        <f t="shared" si="45"/>
        <v>290362005.79999995</v>
      </c>
      <c r="I128" s="29">
        <v>50705331241.760002</v>
      </c>
      <c r="J128" s="13">
        <f t="shared" si="46"/>
        <v>2.7615598594129369E-2</v>
      </c>
      <c r="K128" s="29">
        <v>53122902605.75</v>
      </c>
      <c r="L128" s="13">
        <f t="shared" si="53"/>
        <v>2.8645511497397521E-2</v>
      </c>
      <c r="M128" s="13">
        <f t="shared" si="54"/>
        <v>4.7678839774523148E-2</v>
      </c>
      <c r="N128" s="20">
        <f t="shared" si="55"/>
        <v>1.6201788057169145E-3</v>
      </c>
      <c r="O128" s="21">
        <f t="shared" si="56"/>
        <v>5.46585355011402E-3</v>
      </c>
      <c r="P128" s="24">
        <f t="shared" si="57"/>
        <v>180878.91113355101</v>
      </c>
      <c r="Q128" s="24">
        <f t="shared" si="58"/>
        <v>988.65763856007811</v>
      </c>
      <c r="R128" s="10">
        <f>130.23*C245</f>
        <v>180591.97258799998</v>
      </c>
      <c r="S128" s="10">
        <f>130.27*C245</f>
        <v>180647.44121200001</v>
      </c>
      <c r="T128" s="10">
        <v>2569</v>
      </c>
      <c r="U128" s="10">
        <v>287155.8</v>
      </c>
      <c r="V128" s="10">
        <v>293693.18</v>
      </c>
    </row>
    <row r="129" spans="1:24">
      <c r="A129" s="103">
        <v>115</v>
      </c>
      <c r="B129" s="19" t="s">
        <v>133</v>
      </c>
      <c r="C129" s="19" t="s">
        <v>132</v>
      </c>
      <c r="D129" s="17">
        <v>159174637124.37</v>
      </c>
      <c r="E129" s="17">
        <v>1137355502.48</v>
      </c>
      <c r="F129" s="17">
        <v>0</v>
      </c>
      <c r="G129" s="17">
        <v>253407901.88999999</v>
      </c>
      <c r="H129" s="12">
        <f t="shared" si="45"/>
        <v>883947600.59000003</v>
      </c>
      <c r="I129" s="29">
        <v>150726137523.29999</v>
      </c>
      <c r="J129" s="13">
        <f t="shared" si="46"/>
        <v>8.2089839658890162E-2</v>
      </c>
      <c r="K129" s="29">
        <v>157177413947.78</v>
      </c>
      <c r="L129" s="13">
        <f t="shared" si="53"/>
        <v>8.4754921089063393E-2</v>
      </c>
      <c r="M129" s="13">
        <f t="shared" si="54"/>
        <v>4.2801311905725316E-2</v>
      </c>
      <c r="N129" s="20">
        <f t="shared" si="55"/>
        <v>1.6122411962713119E-3</v>
      </c>
      <c r="O129" s="21">
        <f t="shared" si="56"/>
        <v>5.6238843634600025E-3</v>
      </c>
      <c r="P129" s="24">
        <f t="shared" si="57"/>
        <v>176523.83291520822</v>
      </c>
      <c r="Q129" s="24">
        <f t="shared" si="58"/>
        <v>992.74962370986566</v>
      </c>
      <c r="R129" s="10">
        <f>127.1*C245</f>
        <v>176251.55275999999</v>
      </c>
      <c r="S129" s="10">
        <f>127.15*C245</f>
        <v>176320.88854000001</v>
      </c>
      <c r="T129" s="10">
        <v>912</v>
      </c>
      <c r="U129" s="10">
        <v>875432.27</v>
      </c>
      <c r="V129" s="10">
        <v>890403.36</v>
      </c>
    </row>
    <row r="130" spans="1:24">
      <c r="A130" s="103">
        <v>116</v>
      </c>
      <c r="B130" s="71" t="s">
        <v>266</v>
      </c>
      <c r="C130" s="72" t="s">
        <v>267</v>
      </c>
      <c r="D130" s="17">
        <f>1524000*FX_RATE</f>
        <v>2113354574.4000001</v>
      </c>
      <c r="E130" s="17">
        <f>11930.11*FX_RATE</f>
        <v>16543669.646716001</v>
      </c>
      <c r="F130" s="17">
        <v>0</v>
      </c>
      <c r="G130" s="17">
        <f>1811.51*FX_RATE</f>
        <v>2512049.176556</v>
      </c>
      <c r="H130" s="12">
        <f>(E130+F130)-G130</f>
        <v>14031620.47016</v>
      </c>
      <c r="I130" s="44">
        <v>2239060050.5071783</v>
      </c>
      <c r="J130" s="13">
        <f t="shared" si="46"/>
        <v>1.2194572457902165E-3</v>
      </c>
      <c r="K130" s="29">
        <f>1419474.69*FX_RATE</f>
        <v>1968407696.428164</v>
      </c>
      <c r="L130" s="13">
        <f t="shared" si="53"/>
        <v>1.0614262876045397E-3</v>
      </c>
      <c r="M130" s="13">
        <f t="shared" si="54"/>
        <v>-0.12087766650908169</v>
      </c>
      <c r="N130" s="20">
        <f t="shared" si="55"/>
        <v>1.2761833745693627E-3</v>
      </c>
      <c r="O130" s="21">
        <f t="shared" si="56"/>
        <v>7.1284117084186964E-3</v>
      </c>
      <c r="P130" s="24">
        <f t="shared" si="57"/>
        <v>148089.54375058127</v>
      </c>
      <c r="Q130" s="24">
        <f t="shared" si="58"/>
        <v>1055.6432375660265</v>
      </c>
      <c r="R130" s="10">
        <f>1*FX_RATE</f>
        <v>1386.7156</v>
      </c>
      <c r="S130" s="10">
        <f>1*FX_RATE</f>
        <v>1386.7156</v>
      </c>
      <c r="T130" s="10">
        <v>16</v>
      </c>
      <c r="U130" s="10">
        <v>15725.47</v>
      </c>
      <c r="V130" s="10">
        <v>13292.01</v>
      </c>
    </row>
    <row r="131" spans="1:24" s="3" customFormat="1">
      <c r="A131" s="103">
        <v>117</v>
      </c>
      <c r="B131" s="71" t="s">
        <v>134</v>
      </c>
      <c r="C131" s="72" t="s">
        <v>135</v>
      </c>
      <c r="D131" s="17">
        <f>193515.12*FX_RATE</f>
        <v>268350435.73987198</v>
      </c>
      <c r="E131" s="17">
        <f>167.5*FX_RATE</f>
        <v>232274.86300000001</v>
      </c>
      <c r="F131" s="17">
        <v>0</v>
      </c>
      <c r="G131" s="17">
        <f>4896.1*FX_RATE</f>
        <v>6789498.2491600001</v>
      </c>
      <c r="H131" s="12">
        <f t="shared" si="45"/>
        <v>-6557223.3861600002</v>
      </c>
      <c r="I131" s="29">
        <v>258126415.64366403</v>
      </c>
      <c r="J131" s="13">
        <f t="shared" si="46"/>
        <v>1.405831557823661E-4</v>
      </c>
      <c r="K131" s="29">
        <f>183024.71*FX_RATE</f>
        <v>253803220.542476</v>
      </c>
      <c r="L131" s="13">
        <f t="shared" si="53"/>
        <v>1.3685854340608034E-4</v>
      </c>
      <c r="M131" s="13">
        <f t="shared" si="54"/>
        <v>-1.6748363744205391E-2</v>
      </c>
      <c r="N131" s="20">
        <f t="shared" si="55"/>
        <v>2.6751032688427701E-2</v>
      </c>
      <c r="O131" s="21">
        <f t="shared" si="56"/>
        <v>-2.5835855715875742E-2</v>
      </c>
      <c r="P131" s="24">
        <f t="shared" si="57"/>
        <v>184290.63567298339</v>
      </c>
      <c r="Q131" s="24">
        <f t="shared" si="58"/>
        <v>-4761.3062730342217</v>
      </c>
      <c r="R131" s="10">
        <f>138.1466*FX_RATE</f>
        <v>191570.04530696</v>
      </c>
      <c r="S131" s="10">
        <f>138.1466*FX_RATE</f>
        <v>191570.04530696</v>
      </c>
      <c r="T131" s="10">
        <v>11</v>
      </c>
      <c r="U131" s="10">
        <v>1377.19</v>
      </c>
      <c r="V131" s="10">
        <v>1377.19</v>
      </c>
      <c r="W131" s="6"/>
      <c r="X131" s="6"/>
    </row>
    <row r="132" spans="1:24">
      <c r="A132" s="103">
        <v>118</v>
      </c>
      <c r="B132" s="19" t="s">
        <v>136</v>
      </c>
      <c r="C132" s="19" t="s">
        <v>137</v>
      </c>
      <c r="D132" s="17">
        <f>10775159.97*FX_RATE</f>
        <v>14942082422.894533</v>
      </c>
      <c r="E132" s="17">
        <f>60834.21*FX_RATE</f>
        <v>84359748.020676002</v>
      </c>
      <c r="F132" s="17">
        <v>0</v>
      </c>
      <c r="G132" s="17">
        <f>17872.53*FX_RATE</f>
        <v>24784116.162467998</v>
      </c>
      <c r="H132" s="12">
        <f t="shared" si="45"/>
        <v>59575631.858208001</v>
      </c>
      <c r="I132" s="29">
        <v>14590161656.414755</v>
      </c>
      <c r="J132" s="13">
        <f t="shared" si="46"/>
        <v>7.9462265181924913E-3</v>
      </c>
      <c r="K132" s="29">
        <f>10699964.39*FX_RATE</f>
        <v>14837807539.057486</v>
      </c>
      <c r="L132" s="13">
        <f t="shared" si="53"/>
        <v>8.0010045687947222E-3</v>
      </c>
      <c r="M132" s="13">
        <f t="shared" si="54"/>
        <v>1.6973484494179677E-2</v>
      </c>
      <c r="N132" s="20">
        <f t="shared" si="55"/>
        <v>1.6703354654809272E-3</v>
      </c>
      <c r="O132" s="21">
        <f t="shared" si="56"/>
        <v>4.0151236428554128E-3</v>
      </c>
      <c r="P132" s="24">
        <f t="shared" si="57"/>
        <v>2068.3984869265964</v>
      </c>
      <c r="Q132" s="24">
        <f t="shared" si="58"/>
        <v>8.3048756677053408</v>
      </c>
      <c r="R132" s="10">
        <f>1.49*FX_RATE</f>
        <v>2066.206244</v>
      </c>
      <c r="S132" s="10">
        <f>1.49*FX_RATE</f>
        <v>2066.206244</v>
      </c>
      <c r="T132" s="10">
        <v>119</v>
      </c>
      <c r="U132" s="10">
        <v>7176117</v>
      </c>
      <c r="V132" s="10">
        <v>7173573</v>
      </c>
    </row>
    <row r="133" spans="1:24" ht="13.95" customHeight="1">
      <c r="A133" s="103">
        <v>119</v>
      </c>
      <c r="B133" s="19" t="s">
        <v>138</v>
      </c>
      <c r="C133" s="19" t="s">
        <v>139</v>
      </c>
      <c r="D133" s="17">
        <v>36904227804.489998</v>
      </c>
      <c r="E133" s="17">
        <v>512051781.56</v>
      </c>
      <c r="F133" s="17">
        <v>-482174885.92000002</v>
      </c>
      <c r="G133" s="17">
        <v>78614568.069999993</v>
      </c>
      <c r="H133" s="12">
        <f t="shared" si="45"/>
        <v>-48737672.430000007</v>
      </c>
      <c r="I133" s="29">
        <v>38122483020.019997</v>
      </c>
      <c r="J133" s="13">
        <f t="shared" si="46"/>
        <v>2.0762613372404877E-2</v>
      </c>
      <c r="K133" s="29">
        <v>39281661220.629997</v>
      </c>
      <c r="L133" s="13">
        <f t="shared" si="53"/>
        <v>2.1181886209859231E-2</v>
      </c>
      <c r="M133" s="13">
        <f t="shared" si="54"/>
        <v>3.0406681537539382E-2</v>
      </c>
      <c r="N133" s="20">
        <f t="shared" si="55"/>
        <v>2.0013045687770729E-3</v>
      </c>
      <c r="O133" s="21">
        <f t="shared" si="56"/>
        <v>-1.2407233023129858E-3</v>
      </c>
      <c r="P133" s="24">
        <f t="shared" si="57"/>
        <v>145843.60056816452</v>
      </c>
      <c r="Q133" s="24">
        <f t="shared" si="58"/>
        <v>-180.95155371814914</v>
      </c>
      <c r="R133" s="10">
        <v>145843.6</v>
      </c>
      <c r="S133" s="10">
        <v>145843.6</v>
      </c>
      <c r="T133" s="10">
        <v>898</v>
      </c>
      <c r="U133" s="10">
        <v>264084</v>
      </c>
      <c r="V133" s="10">
        <v>269341</v>
      </c>
    </row>
    <row r="134" spans="1:24" ht="13.95" customHeight="1">
      <c r="A134" s="103">
        <v>120</v>
      </c>
      <c r="B134" s="19" t="s">
        <v>140</v>
      </c>
      <c r="C134" s="19" t="s">
        <v>42</v>
      </c>
      <c r="D134" s="17">
        <f>1948945.53*FX_RATE</f>
        <v>2702633170.0012679</v>
      </c>
      <c r="E134" s="17">
        <f>35928.51*FX_RATE</f>
        <v>49822625.301756002</v>
      </c>
      <c r="F134" s="17">
        <v>0</v>
      </c>
      <c r="G134" s="17">
        <f>2719*FX_RATE</f>
        <v>3770479.7163999998</v>
      </c>
      <c r="H134" s="12">
        <f t="shared" ref="H134" si="59">(E134+F134)-G134</f>
        <v>46052145.585356005</v>
      </c>
      <c r="I134" s="29">
        <v>2596981733.0906444</v>
      </c>
      <c r="J134" s="13">
        <f t="shared" si="46"/>
        <v>1.4143918073500849E-3</v>
      </c>
      <c r="K134" s="29">
        <f>1972190.56*FX_RATE</f>
        <v>2734867415.7247362</v>
      </c>
      <c r="L134" s="13">
        <f t="shared" si="53"/>
        <v>1.4747250650517187E-3</v>
      </c>
      <c r="M134" s="13">
        <f t="shared" si="54"/>
        <v>5.3094590877231687E-2</v>
      </c>
      <c r="N134" s="20">
        <f t="shared" si="55"/>
        <v>1.3786700206089616E-3</v>
      </c>
      <c r="O134" s="21">
        <f t="shared" si="56"/>
        <v>1.6838895121777685E-2</v>
      </c>
      <c r="P134" s="24">
        <f t="shared" si="57"/>
        <v>217783.9284172621</v>
      </c>
      <c r="Q134" s="24">
        <f t="shared" si="58"/>
        <v>3667.2407298270155</v>
      </c>
      <c r="R134" s="10">
        <f>161.27*FX_RATE</f>
        <v>223635.62481200002</v>
      </c>
      <c r="S134" s="10">
        <f>167.664*FX_RATE</f>
        <v>232502.28435839998</v>
      </c>
      <c r="T134" s="10">
        <v>48</v>
      </c>
      <c r="U134" s="10">
        <v>12509.98</v>
      </c>
      <c r="V134" s="10">
        <v>12557.71</v>
      </c>
    </row>
    <row r="135" spans="1:24">
      <c r="A135" s="103">
        <v>121</v>
      </c>
      <c r="B135" s="19" t="s">
        <v>324</v>
      </c>
      <c r="C135" s="19" t="s">
        <v>50</v>
      </c>
      <c r="D135" s="17">
        <f>101454846*FX_RATE</f>
        <v>140689017643.79761</v>
      </c>
      <c r="E135" s="17">
        <f>696909*FX_RATE</f>
        <v>966414582.08039999</v>
      </c>
      <c r="F135" s="17">
        <v>0</v>
      </c>
      <c r="G135" s="17">
        <f>162178*FX_RATE</f>
        <v>224894762.57679999</v>
      </c>
      <c r="H135" s="12">
        <f>(E135+F135)-G135</f>
        <v>741519819.5036</v>
      </c>
      <c r="I135" s="29">
        <v>155847030014.50342</v>
      </c>
      <c r="J135" s="13">
        <f t="shared" si="46"/>
        <v>8.4878826694720771E-2</v>
      </c>
      <c r="K135" s="29">
        <f>113704628*FX_RATE</f>
        <v>157675981439.79681</v>
      </c>
      <c r="L135" s="13">
        <f t="shared" si="53"/>
        <v>8.5023764095078863E-2</v>
      </c>
      <c r="M135" s="13">
        <f t="shared" si="54"/>
        <v>1.1735555211563482E-2</v>
      </c>
      <c r="N135" s="20">
        <f t="shared" si="55"/>
        <v>1.4263095781818131E-3</v>
      </c>
      <c r="O135" s="21">
        <f t="shared" si="56"/>
        <v>4.7028076992609302E-3</v>
      </c>
      <c r="P135" s="24">
        <f t="shared" si="57"/>
        <v>175459.42590967572</v>
      </c>
      <c r="Q135" s="24">
        <f t="shared" si="58"/>
        <v>825.15193907592572</v>
      </c>
      <c r="R135" s="10">
        <f>126.53*FX_RATE</f>
        <v>175461.12486800001</v>
      </c>
      <c r="S135" s="10">
        <f>126.53*FX_RATE</f>
        <v>175461.12486800001</v>
      </c>
      <c r="T135" s="10">
        <v>879</v>
      </c>
      <c r="U135" s="10">
        <v>907587</v>
      </c>
      <c r="V135" s="10">
        <v>898646.4</v>
      </c>
    </row>
    <row r="136" spans="1:24" ht="5.55" customHeight="1">
      <c r="A136" s="120"/>
      <c r="B136" s="120"/>
      <c r="C136" s="120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</row>
    <row r="137" spans="1:24" ht="13.8" customHeight="1">
      <c r="A137" s="128" t="s">
        <v>141</v>
      </c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30"/>
    </row>
    <row r="138" spans="1:24">
      <c r="A138" s="102">
        <v>122</v>
      </c>
      <c r="B138" s="25" t="s">
        <v>325</v>
      </c>
      <c r="C138" s="10" t="s">
        <v>321</v>
      </c>
      <c r="D138" s="42">
        <f>256646.25*FX_RATE</f>
        <v>355895358.55650002</v>
      </c>
      <c r="E138" s="10">
        <f>1716.87*FX_RATE</f>
        <v>2380810.4121719999</v>
      </c>
      <c r="F138" s="10">
        <v>0</v>
      </c>
      <c r="G138" s="10">
        <f>426.16*FX_RATE</f>
        <v>590962.720096</v>
      </c>
      <c r="H138" s="12">
        <f>(E138+F138)-G138</f>
        <v>1789847.6920759999</v>
      </c>
      <c r="I138" s="10">
        <v>0</v>
      </c>
      <c r="J138" s="13">
        <f t="shared" ref="J138:J157" si="60">(I138/$I$158)</f>
        <v>0</v>
      </c>
      <c r="K138" s="10">
        <f>290076.79*FX_RATE</f>
        <v>402254009.89092398</v>
      </c>
      <c r="L138" s="13">
        <f t="shared" ref="L138" si="61">(K138/$K$158)</f>
        <v>2.1690779870822607E-4</v>
      </c>
      <c r="M138" s="13" t="e">
        <f t="shared" ref="M138" si="62">((K138-I138)/I138)</f>
        <v>#DIV/0!</v>
      </c>
      <c r="N138" s="20">
        <f t="shared" ref="N138" si="63">(G138/K138)</f>
        <v>1.4691282263568899E-3</v>
      </c>
      <c r="O138" s="21">
        <f t="shared" ref="O138" si="64">H138/K138</f>
        <v>4.4495459288555975E-3</v>
      </c>
      <c r="P138" s="22">
        <f t="shared" ref="P138" si="65">K138/V138</f>
        <v>1400.0745186921536</v>
      </c>
      <c r="Q138" s="22">
        <f t="shared" ref="Q138" si="66">H138/V138</f>
        <v>6.2296958747411324</v>
      </c>
      <c r="R138" s="10">
        <f>1.0197*FX_RATE</f>
        <v>1414.0338973200001</v>
      </c>
      <c r="S138" s="10">
        <f>1.0197*FX_RATE</f>
        <v>1414.0338973200001</v>
      </c>
      <c r="T138" s="10">
        <v>35</v>
      </c>
      <c r="U138" s="17">
        <v>287204</v>
      </c>
      <c r="V138" s="17">
        <v>287309</v>
      </c>
    </row>
    <row r="139" spans="1:24">
      <c r="A139" s="102">
        <v>123</v>
      </c>
      <c r="B139" s="25" t="s">
        <v>142</v>
      </c>
      <c r="C139" s="10" t="s">
        <v>100</v>
      </c>
      <c r="D139" s="42">
        <f>966415.3*FX_RATE</f>
        <v>1340143172.58868</v>
      </c>
      <c r="E139" s="10">
        <f>7503.73*FX_RATE</f>
        <v>10405539.449188</v>
      </c>
      <c r="F139" s="10">
        <v>0</v>
      </c>
      <c r="G139" s="10">
        <f>1970.72*FX_RATE</f>
        <v>2732828.1672319998</v>
      </c>
      <c r="H139" s="12">
        <f>(E139+F139)-G139</f>
        <v>7672711.2819560003</v>
      </c>
      <c r="I139" s="10">
        <v>1506573513.1831362</v>
      </c>
      <c r="J139" s="13">
        <f t="shared" si="60"/>
        <v>8.2052376690417285E-4</v>
      </c>
      <c r="K139" s="10">
        <f>1160631.4*FX_RATE</f>
        <v>1609465668.2298398</v>
      </c>
      <c r="L139" s="13">
        <f t="shared" ref="L139:L157" si="67">(K139/$K$158)</f>
        <v>8.6787364851095676E-4</v>
      </c>
      <c r="M139" s="13">
        <f t="shared" ref="M139:M157" si="68">((K139-I139)/I139)</f>
        <v>6.8295475890393018E-2</v>
      </c>
      <c r="N139" s="20">
        <f t="shared" ref="N139:N157" si="69">(G139/K139)</f>
        <v>1.6979723278208742E-3</v>
      </c>
      <c r="O139" s="21">
        <f t="shared" ref="O139:O157" si="70">H139/K139</f>
        <v>4.7672413481144836E-3</v>
      </c>
      <c r="P139" s="22">
        <f t="shared" ref="P139:P157" si="71">K139/V139</f>
        <v>180818.52243903378</v>
      </c>
      <c r="Q139" s="22">
        <f t="shared" ref="Q139:Q157" si="72">H139/V139</f>
        <v>862.00553667632857</v>
      </c>
      <c r="R139" s="10">
        <f>130.39*FX_RATE</f>
        <v>180813.84708399998</v>
      </c>
      <c r="S139" s="10">
        <f>130.39*FX_RATE</f>
        <v>180813.84708399998</v>
      </c>
      <c r="T139" s="10">
        <v>32</v>
      </c>
      <c r="U139" s="17">
        <v>8899</v>
      </c>
      <c r="V139" s="17">
        <v>8901</v>
      </c>
    </row>
    <row r="140" spans="1:24">
      <c r="A140" s="102">
        <v>124</v>
      </c>
      <c r="B140" s="25" t="s">
        <v>143</v>
      </c>
      <c r="C140" s="10" t="s">
        <v>28</v>
      </c>
      <c r="D140" s="42">
        <f>10671278.45*FX_RATE</f>
        <v>14798028298.558819</v>
      </c>
      <c r="E140" s="10">
        <f>105789.82*FX_RATE</f>
        <v>146700393.71519202</v>
      </c>
      <c r="F140" s="10">
        <v>0</v>
      </c>
      <c r="G140" s="10">
        <f>23411.14*FX_RATE</f>
        <v>32464593.051783998</v>
      </c>
      <c r="H140" s="12">
        <f t="shared" ref="H140:H157" si="73">(E140+F140)-G140</f>
        <v>114235800.66340803</v>
      </c>
      <c r="I140" s="10">
        <v>27815690904.183086</v>
      </c>
      <c r="J140" s="13">
        <f t="shared" si="60"/>
        <v>1.5149234524587099E-2</v>
      </c>
      <c r="K140" s="10">
        <f>20705325.04*FX_RATE</f>
        <v>28712397236.038624</v>
      </c>
      <c r="L140" s="13">
        <f t="shared" si="67"/>
        <v>1.5482612297125576E-2</v>
      </c>
      <c r="M140" s="13">
        <f t="shared" si="68"/>
        <v>3.2237427966266531E-2</v>
      </c>
      <c r="N140" s="20">
        <f t="shared" si="69"/>
        <v>1.1306820808063972E-3</v>
      </c>
      <c r="O140" s="21">
        <f t="shared" si="70"/>
        <v>3.9786228828021346E-3</v>
      </c>
      <c r="P140" s="22">
        <f t="shared" si="71"/>
        <v>190491.82951189682</v>
      </c>
      <c r="Q140" s="22">
        <f t="shared" si="72"/>
        <v>757.89515188287567</v>
      </c>
      <c r="R140" s="10">
        <f>137.2949*FX_RATE</f>
        <v>190388.97963044001</v>
      </c>
      <c r="S140" s="10">
        <f>137.3691*FX_RATE</f>
        <v>190491.87392796</v>
      </c>
      <c r="T140" s="10">
        <v>677</v>
      </c>
      <c r="U140" s="17">
        <v>149320.79999999999</v>
      </c>
      <c r="V140" s="17">
        <v>150727.71</v>
      </c>
    </row>
    <row r="141" spans="1:24">
      <c r="A141" s="102">
        <v>125</v>
      </c>
      <c r="B141" s="25" t="s">
        <v>304</v>
      </c>
      <c r="C141" s="25" t="s">
        <v>301</v>
      </c>
      <c r="D141" s="42">
        <f>408225.97*FX_RATE</f>
        <v>566093320.92413199</v>
      </c>
      <c r="E141" s="10">
        <f xml:space="preserve"> 3150.38*FX_RATE</f>
        <v>4368681.0919280006</v>
      </c>
      <c r="F141" s="10">
        <v>0</v>
      </c>
      <c r="G141" s="10">
        <f>1677.33*FX_RATE</f>
        <v>2325979.677348</v>
      </c>
      <c r="H141" s="12">
        <f t="shared" ref="H141" si="74">(E141+F141)-G141</f>
        <v>2042701.4145800006</v>
      </c>
      <c r="I141" s="10">
        <v>552516490.30629802</v>
      </c>
      <c r="J141" s="13">
        <f t="shared" si="60"/>
        <v>3.0091655530631106E-4</v>
      </c>
      <c r="K141" s="10">
        <f>412615.09*FX_RATE</f>
        <v>572179782.09840405</v>
      </c>
      <c r="L141" s="13">
        <f t="shared" si="67"/>
        <v>3.0853702871469518E-4</v>
      </c>
      <c r="M141" s="13">
        <f t="shared" si="68"/>
        <v>3.5588606199256266E-2</v>
      </c>
      <c r="N141" s="20">
        <f t="shared" si="69"/>
        <v>4.0651203522391773E-3</v>
      </c>
      <c r="O141" s="21">
        <f t="shared" si="70"/>
        <v>3.5700342418402589E-3</v>
      </c>
      <c r="P141" s="22">
        <f t="shared" si="71"/>
        <v>142688.22496219553</v>
      </c>
      <c r="Q141" s="22">
        <f t="shared" si="72"/>
        <v>509.40184902244403</v>
      </c>
      <c r="R141" s="10">
        <f>100*FX_RATE</f>
        <v>138671.56</v>
      </c>
      <c r="S141" s="10">
        <f>100*FX_RATE</f>
        <v>138671.56</v>
      </c>
      <c r="T141" s="10">
        <v>23</v>
      </c>
      <c r="U141" s="17">
        <v>3660</v>
      </c>
      <c r="V141" s="17">
        <v>4010</v>
      </c>
    </row>
    <row r="142" spans="1:24" ht="14.1" customHeight="1">
      <c r="A142" s="102">
        <v>126</v>
      </c>
      <c r="B142" s="25" t="s">
        <v>144</v>
      </c>
      <c r="C142" s="25" t="s">
        <v>62</v>
      </c>
      <c r="D142" s="42">
        <f>12481624.82*C245</f>
        <v>17308463851.241192</v>
      </c>
      <c r="E142" s="10">
        <f>90066.78*C245</f>
        <v>124897008.867768</v>
      </c>
      <c r="F142" s="10">
        <v>0</v>
      </c>
      <c r="G142" s="10">
        <f>21691.33*C245</f>
        <v>30079705.695748001</v>
      </c>
      <c r="H142" s="12">
        <f t="shared" si="73"/>
        <v>94817303.172020003</v>
      </c>
      <c r="I142" s="10">
        <v>17658751156.722027</v>
      </c>
      <c r="J142" s="13">
        <f t="shared" si="60"/>
        <v>9.6174696363294353E-3</v>
      </c>
      <c r="K142" s="10">
        <f>12960883.28*C245</f>
        <v>17973059034.155167</v>
      </c>
      <c r="L142" s="13">
        <f t="shared" si="67"/>
        <v>9.6916291082063226E-3</v>
      </c>
      <c r="M142" s="13">
        <f t="shared" si="68"/>
        <v>1.7798986725824861E-2</v>
      </c>
      <c r="N142" s="20">
        <f t="shared" si="69"/>
        <v>1.673599671518684E-3</v>
      </c>
      <c r="O142" s="21">
        <f t="shared" si="70"/>
        <v>5.2755239379024795E-3</v>
      </c>
      <c r="P142" s="22">
        <f t="shared" si="71"/>
        <v>168022.76413651902</v>
      </c>
      <c r="Q142" s="22">
        <f t="shared" si="72"/>
        <v>886.40811431474833</v>
      </c>
      <c r="R142" s="10">
        <f>120.67*FX_RATE</f>
        <v>167334.971452</v>
      </c>
      <c r="S142" s="10">
        <f>120.67*FX_RATE</f>
        <v>167334.971452</v>
      </c>
      <c r="T142" s="10">
        <v>472</v>
      </c>
      <c r="U142" s="17">
        <v>105545</v>
      </c>
      <c r="V142" s="17">
        <v>106968</v>
      </c>
    </row>
    <row r="143" spans="1:24" ht="14.1" customHeight="1">
      <c r="A143" s="102">
        <v>127</v>
      </c>
      <c r="B143" s="25" t="s">
        <v>250</v>
      </c>
      <c r="C143" s="25" t="s">
        <v>64</v>
      </c>
      <c r="D143" s="42">
        <v>152172246.74000001</v>
      </c>
      <c r="E143" s="10">
        <v>2440113.06</v>
      </c>
      <c r="F143" s="10">
        <v>2652113.23</v>
      </c>
      <c r="G143" s="10">
        <v>1249764.8899999999</v>
      </c>
      <c r="H143" s="12">
        <f t="shared" si="73"/>
        <v>3842461.4000000004</v>
      </c>
      <c r="I143" s="10">
        <v>131466117.93000001</v>
      </c>
      <c r="J143" s="13">
        <f t="shared" si="60"/>
        <v>7.1600272645360938E-5</v>
      </c>
      <c r="K143" s="10">
        <v>153700289.63</v>
      </c>
      <c r="L143" s="13">
        <f t="shared" si="67"/>
        <v>8.2879948153904799E-5</v>
      </c>
      <c r="M143" s="13">
        <f t="shared" si="68"/>
        <v>0.16912473000715453</v>
      </c>
      <c r="N143" s="20">
        <f t="shared" si="69"/>
        <v>8.131181099323476E-3</v>
      </c>
      <c r="O143" s="21">
        <f t="shared" si="70"/>
        <v>2.4999701752351215E-2</v>
      </c>
      <c r="P143" s="22">
        <f t="shared" si="71"/>
        <v>1458.2444272065582</v>
      </c>
      <c r="Q143" s="22">
        <f t="shared" si="72"/>
        <v>36.455675762192186</v>
      </c>
      <c r="R143" s="10">
        <f>1.0499*FX_RATE</f>
        <v>1455.91270844</v>
      </c>
      <c r="S143" s="10">
        <f>1.0499*FX_RATE</f>
        <v>1455.91270844</v>
      </c>
      <c r="T143" s="10">
        <v>7</v>
      </c>
      <c r="U143" s="17">
        <v>89934.2</v>
      </c>
      <c r="V143" s="17">
        <v>105400.91</v>
      </c>
    </row>
    <row r="144" spans="1:24" ht="15" customHeight="1">
      <c r="A144" s="102">
        <v>128</v>
      </c>
      <c r="B144" s="25" t="s">
        <v>145</v>
      </c>
      <c r="C144" s="10" t="s">
        <v>60</v>
      </c>
      <c r="D144" s="42">
        <f>8501071.3*FX_RATE</f>
        <v>11788568188.422281</v>
      </c>
      <c r="E144" s="10">
        <f>57471.35*FX_RATE</f>
        <v>79696417.598059997</v>
      </c>
      <c r="F144" s="10">
        <v>0</v>
      </c>
      <c r="G144" s="10">
        <f>10528.45*FX_RATE</f>
        <v>14599965.858820001</v>
      </c>
      <c r="H144" s="12">
        <f t="shared" si="73"/>
        <v>65096451.739239998</v>
      </c>
      <c r="I144" s="10">
        <v>10934017603.809135</v>
      </c>
      <c r="J144" s="13">
        <f t="shared" si="60"/>
        <v>5.954984096805528E-3</v>
      </c>
      <c r="K144" s="10">
        <f>8794519.01*FX_RATE</f>
        <v>12195496705.663555</v>
      </c>
      <c r="L144" s="13">
        <f t="shared" si="67"/>
        <v>6.5761888745278366E-3</v>
      </c>
      <c r="M144" s="13">
        <f t="shared" si="68"/>
        <v>0.11537196550835553</v>
      </c>
      <c r="N144" s="20">
        <f t="shared" si="69"/>
        <v>1.1971604118461052E-3</v>
      </c>
      <c r="O144" s="21">
        <f t="shared" si="70"/>
        <v>5.337745014437123E-3</v>
      </c>
      <c r="P144" s="22">
        <f t="shared" si="71"/>
        <v>1925.2496600850957</v>
      </c>
      <c r="Q144" s="22">
        <f t="shared" si="72"/>
        <v>10.276491774665985</v>
      </c>
      <c r="R144" s="10">
        <f>1.36*FX_RATE</f>
        <v>1885.9332160000001</v>
      </c>
      <c r="S144" s="10">
        <f>1.36*FX_RATE</f>
        <v>1885.9332160000001</v>
      </c>
      <c r="T144" s="10">
        <v>326</v>
      </c>
      <c r="U144" s="17">
        <v>5797335.9699999997</v>
      </c>
      <c r="V144" s="17">
        <v>6334501.4199999999</v>
      </c>
    </row>
    <row r="145" spans="1:22" ht="15" customHeight="1">
      <c r="A145" s="102">
        <v>129</v>
      </c>
      <c r="B145" s="25" t="s">
        <v>305</v>
      </c>
      <c r="C145" s="10" t="s">
        <v>76</v>
      </c>
      <c r="D145" s="42">
        <v>0</v>
      </c>
      <c r="E145" s="10">
        <f>837.71*FX_RATE</f>
        <v>1161665.5252760001</v>
      </c>
      <c r="F145" s="10">
        <v>0</v>
      </c>
      <c r="G145" s="10">
        <f>350.59*FX_RATE</f>
        <v>486168.62220399996</v>
      </c>
      <c r="H145" s="12">
        <f t="shared" si="73"/>
        <v>675496.90307200025</v>
      </c>
      <c r="I145" s="10">
        <v>415254613.31819803</v>
      </c>
      <c r="J145" s="13">
        <f t="shared" si="60"/>
        <v>2.261597436584998E-4</v>
      </c>
      <c r="K145" s="10">
        <f>202293.42*FX_RATE</f>
        <v>280523441.29135203</v>
      </c>
      <c r="L145" s="13">
        <f t="shared" si="67"/>
        <v>1.5126691254877249E-4</v>
      </c>
      <c r="M145" s="13">
        <f t="shared" si="68"/>
        <v>-0.32445436535970584</v>
      </c>
      <c r="N145" s="20">
        <f t="shared" si="69"/>
        <v>1.7330766368970376E-3</v>
      </c>
      <c r="O145" s="21">
        <f t="shared" si="70"/>
        <v>2.4079873680518137E-3</v>
      </c>
      <c r="P145" s="22">
        <f t="shared" si="71"/>
        <v>966.46239308254053</v>
      </c>
      <c r="Q145" s="22">
        <f t="shared" si="72"/>
        <v>2.3272292342398839</v>
      </c>
      <c r="R145" s="10">
        <f>1.05*FX_RATE</f>
        <v>1456.0513800000001</v>
      </c>
      <c r="S145" s="10">
        <f>1.05*FX_RATE</f>
        <v>1456.0513800000001</v>
      </c>
      <c r="T145" s="10">
        <v>16</v>
      </c>
      <c r="U145" s="17">
        <v>290258</v>
      </c>
      <c r="V145" s="17">
        <v>290258</v>
      </c>
    </row>
    <row r="146" spans="1:22" ht="15" customHeight="1">
      <c r="A146" s="102">
        <v>130</v>
      </c>
      <c r="B146" s="10" t="s">
        <v>262</v>
      </c>
      <c r="C146" s="10" t="s">
        <v>36</v>
      </c>
      <c r="D146" s="42">
        <f>97828919.04*C245</f>
        <v>135660888163.90503</v>
      </c>
      <c r="E146" s="10">
        <f>510285.24*C245</f>
        <v>707620502.75774395</v>
      </c>
      <c r="F146" s="10">
        <v>0</v>
      </c>
      <c r="G146" s="10">
        <f>83411.9*C245</f>
        <v>115668582.95563999</v>
      </c>
      <c r="H146" s="12">
        <f t="shared" ref="H146" si="75">(E146+F146)-G146</f>
        <v>591951919.802104</v>
      </c>
      <c r="I146" s="10">
        <v>126053502932.56421</v>
      </c>
      <c r="J146" s="13">
        <f t="shared" si="60"/>
        <v>6.8652405045382642E-2</v>
      </c>
      <c r="K146" s="10">
        <f>98352956*C245</f>
        <v>136387578391.3136</v>
      </c>
      <c r="L146" s="13">
        <f t="shared" si="67"/>
        <v>7.3544398993132185E-2</v>
      </c>
      <c r="M146" s="13">
        <f t="shared" si="68"/>
        <v>8.1981660313540733E-2</v>
      </c>
      <c r="N146" s="20">
        <f t="shared" si="69"/>
        <v>8.4808737217821899E-4</v>
      </c>
      <c r="O146" s="21">
        <f t="shared" si="70"/>
        <v>4.3402187118809117E-3</v>
      </c>
      <c r="P146" s="22">
        <f t="shared" si="71"/>
        <v>138671.56</v>
      </c>
      <c r="Q146" s="22">
        <f t="shared" si="72"/>
        <v>601.86489951771659</v>
      </c>
      <c r="R146" s="10">
        <f>100*C245</f>
        <v>138671.56</v>
      </c>
      <c r="S146" s="10">
        <f>100*C245</f>
        <v>138671.56</v>
      </c>
      <c r="T146" s="10">
        <v>3039</v>
      </c>
      <c r="U146" s="17">
        <v>924555.73</v>
      </c>
      <c r="V146" s="17">
        <v>983529.56</v>
      </c>
    </row>
    <row r="147" spans="1:22" ht="15" customHeight="1">
      <c r="A147" s="102">
        <v>131</v>
      </c>
      <c r="B147" s="25" t="s">
        <v>226</v>
      </c>
      <c r="C147" s="25" t="s">
        <v>227</v>
      </c>
      <c r="D147" s="42">
        <f>1124196.52*FX_RATE</f>
        <v>1558940851.749712</v>
      </c>
      <c r="E147" s="10">
        <f>7629.47   *FX_RATE</f>
        <v>10579905.068732001</v>
      </c>
      <c r="F147" s="10">
        <v>0</v>
      </c>
      <c r="G147" s="10">
        <f>2041.88*FX_RATE</f>
        <v>2831506.8493280001</v>
      </c>
      <c r="H147" s="12">
        <f t="shared" si="73"/>
        <v>7748398.2194040008</v>
      </c>
      <c r="I147" s="10">
        <v>1496504020.1168962</v>
      </c>
      <c r="J147" s="13">
        <f t="shared" si="60"/>
        <v>8.1503962802264565E-4</v>
      </c>
      <c r="K147" s="10">
        <f>1094060.55*FX_RATE</f>
        <v>1517150832.0295801</v>
      </c>
      <c r="L147" s="13">
        <f t="shared" si="67"/>
        <v>8.180946347138326E-4</v>
      </c>
      <c r="M147" s="13">
        <f t="shared" si="68"/>
        <v>1.3796696590946133E-2</v>
      </c>
      <c r="N147" s="20">
        <f t="shared" si="69"/>
        <v>1.8663318040304075E-3</v>
      </c>
      <c r="O147" s="21">
        <f t="shared" si="70"/>
        <v>5.1072036186662617E-3</v>
      </c>
      <c r="P147" s="22">
        <f t="shared" si="71"/>
        <v>1576.8557469265102</v>
      </c>
      <c r="Q147" s="22">
        <f t="shared" si="72"/>
        <v>8.0533233768177634</v>
      </c>
      <c r="R147" s="10">
        <f>1.15*FX_RATE</f>
        <v>1594.7229399999999</v>
      </c>
      <c r="S147" s="10">
        <f>1.15*FX_RATE</f>
        <v>1594.7229399999999</v>
      </c>
      <c r="T147" s="10">
        <v>62</v>
      </c>
      <c r="U147" s="17">
        <v>964229.33</v>
      </c>
      <c r="V147" s="17">
        <v>962136.73</v>
      </c>
    </row>
    <row r="148" spans="1:22" ht="15" customHeight="1">
      <c r="A148" s="102">
        <v>132</v>
      </c>
      <c r="B148" s="25" t="s">
        <v>228</v>
      </c>
      <c r="C148" s="25" t="s">
        <v>40</v>
      </c>
      <c r="D148" s="42">
        <f>6156195.11*FX_RATE</f>
        <v>8536891795.6807165</v>
      </c>
      <c r="E148" s="10">
        <f>176971.12*FX_RATE</f>
        <v>245408612.85347199</v>
      </c>
      <c r="F148" s="10">
        <f>119938.9*FX_RATE</f>
        <v>166321143.67683998</v>
      </c>
      <c r="G148" s="10">
        <f>13750.61*FX_RATE</f>
        <v>19068185.396515999</v>
      </c>
      <c r="H148" s="12">
        <f t="shared" si="73"/>
        <v>392661571.13379592</v>
      </c>
      <c r="I148" s="10">
        <v>11369364793.280397</v>
      </c>
      <c r="J148" s="13">
        <f t="shared" si="60"/>
        <v>6.1920868420020595E-3</v>
      </c>
      <c r="K148" s="10">
        <f>7672698.29*FX_RATE</f>
        <v>10639850412.836325</v>
      </c>
      <c r="L148" s="13">
        <f t="shared" si="67"/>
        <v>5.7373362971793454E-3</v>
      </c>
      <c r="M148" s="13">
        <f t="shared" si="68"/>
        <v>-6.4164919826940156E-2</v>
      </c>
      <c r="N148" s="20">
        <f t="shared" si="69"/>
        <v>1.7921478833491313E-3</v>
      </c>
      <c r="O148" s="21">
        <f t="shared" si="70"/>
        <v>3.6904801843837383E-2</v>
      </c>
      <c r="P148" s="22">
        <f t="shared" si="71"/>
        <v>14818.616969391069</v>
      </c>
      <c r="Q148" s="22">
        <f t="shared" si="72"/>
        <v>546.87812285510336</v>
      </c>
      <c r="R148" s="10">
        <f>10.66*FX_RATE</f>
        <v>14782.388296000001</v>
      </c>
      <c r="S148" s="10">
        <f>10.66*FX_RATE</f>
        <v>14782.388296000001</v>
      </c>
      <c r="T148" s="10">
        <v>170</v>
      </c>
      <c r="U148" s="17">
        <v>772040.59</v>
      </c>
      <c r="V148" s="17">
        <v>718005.63</v>
      </c>
    </row>
    <row r="149" spans="1:22">
      <c r="A149" s="102">
        <v>133</v>
      </c>
      <c r="B149" s="10" t="s">
        <v>146</v>
      </c>
      <c r="C149" s="10" t="s">
        <v>44</v>
      </c>
      <c r="D149" s="42">
        <f>21941940.95*FX_RATE</f>
        <v>30427231809.643818</v>
      </c>
      <c r="E149" s="10">
        <f>208929.18*FX_RATE</f>
        <v>289725353.201208</v>
      </c>
      <c r="F149" s="10">
        <f>168430.77*FX_RATE</f>
        <v>233565576.27901199</v>
      </c>
      <c r="G149" s="10">
        <f>38092.12*FX_RATE</f>
        <v>52822937.041072004</v>
      </c>
      <c r="H149" s="12">
        <f t="shared" si="73"/>
        <v>470467992.43914795</v>
      </c>
      <c r="I149" s="10">
        <v>30363914291.084953</v>
      </c>
      <c r="J149" s="13">
        <f t="shared" si="60"/>
        <v>1.6537071118047683E-2</v>
      </c>
      <c r="K149" s="10">
        <f>22436576.68*FX_RATE</f>
        <v>31113150892.752209</v>
      </c>
      <c r="L149" s="13">
        <f t="shared" si="67"/>
        <v>1.6777172893450452E-2</v>
      </c>
      <c r="M149" s="13">
        <f t="shared" si="68"/>
        <v>2.4675231081364112E-2</v>
      </c>
      <c r="N149" s="20">
        <f t="shared" si="69"/>
        <v>1.6977688059674175E-3</v>
      </c>
      <c r="O149" s="21">
        <f t="shared" si="70"/>
        <v>1.5121194059092975E-2</v>
      </c>
      <c r="P149" s="22">
        <f t="shared" si="71"/>
        <v>1500.8904281374807</v>
      </c>
      <c r="Q149" s="22">
        <f t="shared" si="72"/>
        <v>22.695255425301983</v>
      </c>
      <c r="R149" s="10">
        <f>1.08*FX_RATE</f>
        <v>1497.6528480000002</v>
      </c>
      <c r="S149" s="10">
        <f>1.09*FX_RATE</f>
        <v>1511.5200040000002</v>
      </c>
      <c r="T149" s="10">
        <v>586</v>
      </c>
      <c r="U149" s="17">
        <v>20346874</v>
      </c>
      <c r="V149" s="17">
        <v>20729795</v>
      </c>
    </row>
    <row r="150" spans="1:22">
      <c r="A150" s="102">
        <v>134</v>
      </c>
      <c r="B150" s="25" t="s">
        <v>147</v>
      </c>
      <c r="C150" s="10" t="s">
        <v>82</v>
      </c>
      <c r="D150" s="42">
        <f>307541.28*FX_RATE</f>
        <v>426472290.61996806</v>
      </c>
      <c r="E150" s="10">
        <f>4484.7*FX_RATE</f>
        <v>6219003.45132</v>
      </c>
      <c r="F150" s="10">
        <v>0</v>
      </c>
      <c r="G150" s="10">
        <f>6.27*FX_RATE</f>
        <v>8694.7068119999985</v>
      </c>
      <c r="H150" s="12">
        <f t="shared" si="73"/>
        <v>6210308.7445080001</v>
      </c>
      <c r="I150" s="10">
        <v>407478992.110596</v>
      </c>
      <c r="J150" s="13">
        <f t="shared" si="60"/>
        <v>2.2192491412814284E-4</v>
      </c>
      <c r="K150" s="10">
        <f>277968.21*FX_RATE</f>
        <v>385462853.11107606</v>
      </c>
      <c r="L150" s="13">
        <f t="shared" si="67"/>
        <v>2.0785348783667224E-4</v>
      </c>
      <c r="M150" s="13">
        <f t="shared" si="68"/>
        <v>-5.4030120388499511E-2</v>
      </c>
      <c r="N150" s="20">
        <f t="shared" si="69"/>
        <v>2.2556536231247443E-5</v>
      </c>
      <c r="O150" s="21">
        <f t="shared" si="70"/>
        <v>1.6111302799697847E-2</v>
      </c>
      <c r="P150" s="22">
        <f t="shared" si="71"/>
        <v>1605.9948466182366</v>
      </c>
      <c r="Q150" s="22">
        <f t="shared" si="72"/>
        <v>25.87466926862071</v>
      </c>
      <c r="R150" s="10">
        <f>1.11*FX_RATE</f>
        <v>1539.254316</v>
      </c>
      <c r="S150" s="10">
        <f>1.11*FX_RATE</f>
        <v>1539.254316</v>
      </c>
      <c r="T150" s="10">
        <v>2</v>
      </c>
      <c r="U150" s="17">
        <v>240015</v>
      </c>
      <c r="V150" s="17">
        <v>240015</v>
      </c>
    </row>
    <row r="151" spans="1:22">
      <c r="A151" s="102">
        <v>135</v>
      </c>
      <c r="B151" s="25" t="s">
        <v>295</v>
      </c>
      <c r="C151" s="10" t="s">
        <v>290</v>
      </c>
      <c r="D151" s="42">
        <f>443777.41*FX_RATE</f>
        <v>615393057.374596</v>
      </c>
      <c r="E151" s="10">
        <f>2787.01*FX_RATE</f>
        <v>3864790.2443560003</v>
      </c>
      <c r="F151" s="10">
        <v>0</v>
      </c>
      <c r="G151" s="10">
        <f>379.35*FX_RATE</f>
        <v>526050.56286000006</v>
      </c>
      <c r="H151" s="12">
        <f t="shared" si="73"/>
        <v>3338739.6814960004</v>
      </c>
      <c r="I151" s="10">
        <v>754448533.0798161</v>
      </c>
      <c r="J151" s="13">
        <f t="shared" si="60"/>
        <v>4.1089462072782935E-4</v>
      </c>
      <c r="K151" s="10">
        <f>550115.84*FX_RATE</f>
        <v>762854217.13510394</v>
      </c>
      <c r="L151" s="13">
        <f t="shared" si="67"/>
        <v>4.1135457920961788E-4</v>
      </c>
      <c r="M151" s="13">
        <f t="shared" si="68"/>
        <v>1.1141494332256283E-2</v>
      </c>
      <c r="N151" s="20">
        <f t="shared" si="69"/>
        <v>6.8958203421301241E-4</v>
      </c>
      <c r="O151" s="21">
        <f t="shared" si="70"/>
        <v>4.3766418360176654E-3</v>
      </c>
      <c r="P151" s="22">
        <f t="shared" si="71"/>
        <v>1484.7028999805723</v>
      </c>
      <c r="Q151" s="22">
        <f t="shared" si="72"/>
        <v>6.4980128261117249</v>
      </c>
      <c r="R151" s="10">
        <f>1.0707*FX_RATE</f>
        <v>1484.7563929200001</v>
      </c>
      <c r="S151" s="10">
        <f>1.0707*FX_RATE</f>
        <v>1484.7563929200001</v>
      </c>
      <c r="T151" s="10">
        <v>12</v>
      </c>
      <c r="U151" s="17">
        <v>512879.3</v>
      </c>
      <c r="V151" s="17">
        <v>513809.34</v>
      </c>
    </row>
    <row r="152" spans="1:22">
      <c r="A152" s="102">
        <v>136</v>
      </c>
      <c r="B152" s="25" t="s">
        <v>148</v>
      </c>
      <c r="C152" s="25" t="s">
        <v>46</v>
      </c>
      <c r="D152" s="42">
        <f>638313490.27*FX_RATE</f>
        <v>885159274647.85718</v>
      </c>
      <c r="E152" s="10">
        <f>3024253.94*FX_RATE</f>
        <v>4193780116.9594641</v>
      </c>
      <c r="F152" s="10">
        <v>0</v>
      </c>
      <c r="G152" s="10">
        <f>1134145.82*FX_RATE</f>
        <v>1572737701.2687922</v>
      </c>
      <c r="H152" s="12">
        <f t="shared" si="73"/>
        <v>2621042415.6906719</v>
      </c>
      <c r="I152" s="10">
        <v>904677287965.54382</v>
      </c>
      <c r="J152" s="13">
        <f t="shared" si="60"/>
        <v>0.49271357133165361</v>
      </c>
      <c r="K152" s="10">
        <f>645779728.96*FX_RATE</f>
        <v>895512824312.60388</v>
      </c>
      <c r="L152" s="13">
        <f t="shared" si="67"/>
        <v>0.48288820163484469</v>
      </c>
      <c r="M152" s="13">
        <f t="shared" si="68"/>
        <v>-1.0130091442385128E-2</v>
      </c>
      <c r="N152" s="20">
        <f t="shared" si="69"/>
        <v>1.7562425222397305E-3</v>
      </c>
      <c r="O152" s="21">
        <f t="shared" si="70"/>
        <v>2.9268619549949891E-3</v>
      </c>
      <c r="P152" s="22">
        <f t="shared" si="71"/>
        <v>2339.932399333904</v>
      </c>
      <c r="Q152" s="22">
        <f t="shared" si="72"/>
        <v>6.8486591168705457</v>
      </c>
      <c r="R152" s="10">
        <f>1.6874*FX_RATE</f>
        <v>2339.9439034400002</v>
      </c>
      <c r="S152" s="10">
        <f>1.6874*FX_RATE</f>
        <v>2339.9439034400002</v>
      </c>
      <c r="T152" s="10">
        <v>13413</v>
      </c>
      <c r="U152" s="17">
        <v>394381705.81</v>
      </c>
      <c r="V152" s="17">
        <v>382708844.31</v>
      </c>
    </row>
    <row r="153" spans="1:22">
      <c r="A153" s="102">
        <v>137</v>
      </c>
      <c r="B153" s="25" t="s">
        <v>293</v>
      </c>
      <c r="C153" s="25" t="s">
        <v>292</v>
      </c>
      <c r="D153" s="42">
        <v>426845371.26999998</v>
      </c>
      <c r="E153" s="10">
        <v>22504340.059999999</v>
      </c>
      <c r="F153" s="10">
        <v>8021241.7000000002</v>
      </c>
      <c r="G153" s="10">
        <v>9350905.8699999992</v>
      </c>
      <c r="H153" s="12">
        <f t="shared" si="73"/>
        <v>21174675.890000001</v>
      </c>
      <c r="I153" s="10">
        <v>557137507.57000005</v>
      </c>
      <c r="J153" s="13">
        <f t="shared" si="60"/>
        <v>3.0343329575008196E-4</v>
      </c>
      <c r="K153" s="10">
        <v>564408340.94000006</v>
      </c>
      <c r="L153" s="13">
        <f t="shared" si="67"/>
        <v>3.0434642737074084E-4</v>
      </c>
      <c r="M153" s="13">
        <f t="shared" si="68"/>
        <v>1.3050339047737655E-2</v>
      </c>
      <c r="N153" s="20">
        <f t="shared" si="69"/>
        <v>1.6567625231098518E-2</v>
      </c>
      <c r="O153" s="21">
        <f t="shared" si="70"/>
        <v>3.7516589238802536E-2</v>
      </c>
      <c r="P153" s="22">
        <f t="shared" si="71"/>
        <v>160065.41965901013</v>
      </c>
      <c r="Q153" s="22">
        <f t="shared" si="72"/>
        <v>6005.1086006836313</v>
      </c>
      <c r="R153" s="10">
        <v>160065.39000000001</v>
      </c>
      <c r="S153" s="10">
        <v>160065.39000000001</v>
      </c>
      <c r="T153" s="10">
        <v>2</v>
      </c>
      <c r="U153" s="17">
        <v>3526.1104</v>
      </c>
      <c r="V153" s="17">
        <v>3526.1104</v>
      </c>
    </row>
    <row r="154" spans="1:22">
      <c r="A154" s="102">
        <v>138</v>
      </c>
      <c r="B154" s="25" t="s">
        <v>149</v>
      </c>
      <c r="C154" s="25" t="s">
        <v>50</v>
      </c>
      <c r="D154" s="42">
        <f>67609356*FX_RATE</f>
        <v>93754948671.153595</v>
      </c>
      <c r="E154" s="10">
        <f>1091509*FX_RATE</f>
        <v>1513612557.8404</v>
      </c>
      <c r="F154" s="10">
        <v>0</v>
      </c>
      <c r="G154" s="10">
        <f>270655*FX_RATE</f>
        <v>375321510.71799999</v>
      </c>
      <c r="H154" s="12">
        <f t="shared" si="73"/>
        <v>1138291047.1224</v>
      </c>
      <c r="I154" s="10">
        <v>188079749180.58041</v>
      </c>
      <c r="J154" s="13">
        <f t="shared" si="60"/>
        <v>0.10243370331792269</v>
      </c>
      <c r="K154" s="10">
        <f>136316548*FX_RATE</f>
        <v>189032283649.74881</v>
      </c>
      <c r="L154" s="13">
        <f t="shared" si="67"/>
        <v>0.1019320516963258</v>
      </c>
      <c r="M154" s="13">
        <f t="shared" si="68"/>
        <v>5.0645243484126624E-3</v>
      </c>
      <c r="N154" s="20">
        <f t="shared" si="69"/>
        <v>1.9854889517888904E-3</v>
      </c>
      <c r="O154" s="21">
        <f t="shared" si="70"/>
        <v>6.021675372824142E-3</v>
      </c>
      <c r="P154" s="22">
        <f t="shared" si="71"/>
        <v>1756.2477210642958</v>
      </c>
      <c r="Q154" s="22">
        <f t="shared" si="72"/>
        <v>10.575553650511392</v>
      </c>
      <c r="R154" s="10">
        <f>1.27*FX_RATE</f>
        <v>1761.1288119999999</v>
      </c>
      <c r="S154" s="10">
        <f>1.27*FX_RATE</f>
        <v>1761.1288119999999</v>
      </c>
      <c r="T154" s="10">
        <v>446</v>
      </c>
      <c r="U154" s="17">
        <v>109588340.67</v>
      </c>
      <c r="V154" s="17">
        <v>107634180.18000001</v>
      </c>
    </row>
    <row r="155" spans="1:22">
      <c r="A155" s="102">
        <v>139</v>
      </c>
      <c r="B155" s="25" t="s">
        <v>225</v>
      </c>
      <c r="C155" s="10" t="s">
        <v>205</v>
      </c>
      <c r="D155" s="42">
        <f>1739050.06*FX_RATE</f>
        <v>2411567847.382936</v>
      </c>
      <c r="E155" s="10">
        <f>10500.58*FX_RATE</f>
        <v>14561318.095047999</v>
      </c>
      <c r="F155" s="10">
        <v>0</v>
      </c>
      <c r="G155" s="10">
        <f>2815.91*FX_RATE</f>
        <v>3904866.3251959998</v>
      </c>
      <c r="H155" s="12">
        <f t="shared" ref="H155:H156" si="76">(E155+F155)-G155</f>
        <v>10656451.769851999</v>
      </c>
      <c r="I155" s="10">
        <v>2343246200.50245</v>
      </c>
      <c r="J155" s="13">
        <f t="shared" si="60"/>
        <v>1.2762000542262571E-3</v>
      </c>
      <c r="K155" s="10">
        <f>1780885.79*FX_RATE</f>
        <v>2469582106.8113241</v>
      </c>
      <c r="L155" s="13">
        <f t="shared" si="67"/>
        <v>1.3316750246017968E-3</v>
      </c>
      <c r="M155" s="13">
        <f t="shared" si="68"/>
        <v>5.3914909274912978E-2</v>
      </c>
      <c r="N155" s="20">
        <f t="shared" si="69"/>
        <v>1.5811850573528355E-3</v>
      </c>
      <c r="O155" s="21">
        <f t="shared" si="70"/>
        <v>4.3150830014764725E-3</v>
      </c>
      <c r="P155" s="22">
        <f t="shared" si="71"/>
        <v>157614.05381811733</v>
      </c>
      <c r="Q155" s="22">
        <f t="shared" si="72"/>
        <v>680.11772442435597</v>
      </c>
      <c r="R155" s="10">
        <f>113.66*FX_RATE</f>
        <v>157614.095096</v>
      </c>
      <c r="S155" s="10">
        <f>113.66*FX_RATE</f>
        <v>157614.095096</v>
      </c>
      <c r="T155" s="10">
        <v>33</v>
      </c>
      <c r="U155" s="17">
        <v>15006.01</v>
      </c>
      <c r="V155" s="17">
        <v>15668.54</v>
      </c>
    </row>
    <row r="156" spans="1:22">
      <c r="A156" s="102">
        <v>140</v>
      </c>
      <c r="B156" s="25" t="s">
        <v>306</v>
      </c>
      <c r="C156" s="25" t="s">
        <v>91</v>
      </c>
      <c r="D156" s="42">
        <f>4320617.34*FX_RATE</f>
        <v>5991467467.0085039</v>
      </c>
      <c r="E156" s="10">
        <f>25981.8*FX_RATE</f>
        <v>36029367.376079999</v>
      </c>
      <c r="F156" s="10">
        <f>62183.2*FX_RATE</f>
        <v>86230413.497919992</v>
      </c>
      <c r="G156" s="10">
        <f>7460.58*FX_RATE</f>
        <v>10345702.671048</v>
      </c>
      <c r="H156" s="12">
        <f t="shared" si="76"/>
        <v>111914078.20295198</v>
      </c>
      <c r="I156" s="10">
        <v>5915365285.3223877</v>
      </c>
      <c r="J156" s="13">
        <f t="shared" si="60"/>
        <v>3.2216800335695909E-3</v>
      </c>
      <c r="K156" s="10">
        <f>4301891.82*FX_RATE</f>
        <v>5965500496.3063927</v>
      </c>
      <c r="L156" s="13">
        <f t="shared" si="67"/>
        <v>3.2167823042895797E-3</v>
      </c>
      <c r="M156" s="13">
        <f t="shared" si="68"/>
        <v>8.4754209699279132E-3</v>
      </c>
      <c r="N156" s="20">
        <f t="shared" si="69"/>
        <v>1.734255604781805E-3</v>
      </c>
      <c r="O156" s="21">
        <f t="shared" si="70"/>
        <v>1.8760216057687844E-2</v>
      </c>
      <c r="P156" s="22">
        <f t="shared" si="71"/>
        <v>1608.1201221034664</v>
      </c>
      <c r="Q156" s="22">
        <f t="shared" si="72"/>
        <v>30.168680937376386</v>
      </c>
      <c r="R156" s="10">
        <f>1.16*FX_RATE</f>
        <v>1608.5900959999999</v>
      </c>
      <c r="S156" s="10">
        <f>1.16*FX_RATE</f>
        <v>1608.5900959999999</v>
      </c>
      <c r="T156" s="10">
        <v>57</v>
      </c>
      <c r="U156" s="17">
        <v>3703733.48</v>
      </c>
      <c r="V156" s="17">
        <v>3709611.25</v>
      </c>
    </row>
    <row r="157" spans="1:22">
      <c r="A157" s="102">
        <v>141</v>
      </c>
      <c r="B157" s="25" t="s">
        <v>284</v>
      </c>
      <c r="C157" s="10" t="s">
        <v>285</v>
      </c>
      <c r="D157" s="42">
        <f>1032801.9*FX_RATE</f>
        <v>1432202506.43964</v>
      </c>
      <c r="E157" s="10">
        <f>9701.84*FX_RATE</f>
        <v>13453692.876704</v>
      </c>
      <c r="F157" s="10">
        <v>0</v>
      </c>
      <c r="G157" s="10">
        <f>2577.09*FX_RATE</f>
        <v>3573690.9056040002</v>
      </c>
      <c r="H157" s="12">
        <f t="shared" si="73"/>
        <v>9880001.9710999988</v>
      </c>
      <c r="I157" s="10">
        <v>1868811010.2713482</v>
      </c>
      <c r="J157" s="13">
        <f t="shared" si="60"/>
        <v>1.0178088466058423E-3</v>
      </c>
      <c r="K157" s="10">
        <f>1374729.67*FX_RATE</f>
        <v>1906359079.1718519</v>
      </c>
      <c r="L157" s="13">
        <f t="shared" si="67"/>
        <v>1.0279677548092904E-3</v>
      </c>
      <c r="M157" s="13">
        <f t="shared" si="68"/>
        <v>2.00919561657825E-2</v>
      </c>
      <c r="N157" s="20">
        <f t="shared" si="69"/>
        <v>1.8746158290160423E-3</v>
      </c>
      <c r="O157" s="21">
        <f t="shared" si="70"/>
        <v>5.1826552925128902E-3</v>
      </c>
      <c r="P157" s="22">
        <f t="shared" si="71"/>
        <v>2078.4244166512408</v>
      </c>
      <c r="Q157" s="22">
        <f t="shared" si="72"/>
        <v>10.77175730304557</v>
      </c>
      <c r="R157" s="10">
        <f>1.4988*FX_RATE</f>
        <v>2078.4093412799998</v>
      </c>
      <c r="S157" s="10">
        <f>1.4988*FX_RATE</f>
        <v>2078.4093412799998</v>
      </c>
      <c r="T157" s="10">
        <v>11</v>
      </c>
      <c r="U157" s="17">
        <v>908764.67</v>
      </c>
      <c r="V157" s="17">
        <v>917213.57</v>
      </c>
    </row>
    <row r="158" spans="1:22" ht="15" customHeight="1">
      <c r="A158" s="118" t="s">
        <v>51</v>
      </c>
      <c r="B158" s="118"/>
      <c r="C158" s="118"/>
      <c r="D158" s="118"/>
      <c r="E158" s="118"/>
      <c r="F158" s="118"/>
      <c r="G158" s="118"/>
      <c r="H158" s="118"/>
      <c r="I158" s="36">
        <f>SUM(I119:I157)</f>
        <v>1836111973779.1648</v>
      </c>
      <c r="J158" s="34">
        <f>(I158/$I$243)</f>
        <v>0.2210282868468616</v>
      </c>
      <c r="K158" s="36">
        <f>SUM(K119:K157)</f>
        <v>1854493071648.4597</v>
      </c>
      <c r="L158" s="34">
        <f>(K158/$K$243)</f>
        <v>0.21573780422790051</v>
      </c>
      <c r="M158" s="34">
        <f t="shared" ref="M158" si="77">((K158-I158)/I158)</f>
        <v>1.001088067165215E-2</v>
      </c>
      <c r="N158" s="20"/>
      <c r="O158" s="20"/>
      <c r="P158" s="35"/>
      <c r="Q158" s="35"/>
      <c r="R158" s="36"/>
      <c r="S158" s="36"/>
      <c r="T158" s="38">
        <f>SUM(T119:T157)</f>
        <v>26679</v>
      </c>
      <c r="U158" s="38"/>
      <c r="V158" s="36"/>
    </row>
    <row r="159" spans="1:22" ht="4.2" customHeight="1">
      <c r="A159" s="124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  <c r="R159" s="124"/>
      <c r="S159" s="124"/>
      <c r="T159" s="124"/>
      <c r="U159" s="124"/>
      <c r="V159" s="124"/>
    </row>
    <row r="160" spans="1:22">
      <c r="A160" s="117" t="s">
        <v>150</v>
      </c>
      <c r="B160" s="117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</row>
    <row r="161" spans="1:22">
      <c r="A161" s="102">
        <v>142</v>
      </c>
      <c r="B161" s="79" t="s">
        <v>221</v>
      </c>
      <c r="C161" s="79" t="s">
        <v>222</v>
      </c>
      <c r="D161" s="27">
        <v>2325684101.0599999</v>
      </c>
      <c r="E161" s="27">
        <v>60905069.149999999</v>
      </c>
      <c r="F161" s="27">
        <v>0</v>
      </c>
      <c r="G161" s="27">
        <v>3973311.07</v>
      </c>
      <c r="H161" s="12">
        <f t="shared" ref="H161:H166" si="78">(E161+F161)-G161</f>
        <v>56931758.079999998</v>
      </c>
      <c r="I161" s="28">
        <v>2391310118.9299998</v>
      </c>
      <c r="J161" s="13">
        <f>(I161/$I$167)</f>
        <v>4.7674842862065686E-3</v>
      </c>
      <c r="K161" s="28">
        <v>2448241877.0100002</v>
      </c>
      <c r="L161" s="13">
        <f>(K161/$K$167)</f>
        <v>4.6597211407283078E-3</v>
      </c>
      <c r="M161" s="13">
        <f t="shared" ref="M161:M167" si="79">((K161-I161)/I161)</f>
        <v>2.3807768649210047E-2</v>
      </c>
      <c r="N161" s="20">
        <f>(G161/K161)</f>
        <v>1.6229242328182633E-3</v>
      </c>
      <c r="O161" s="21">
        <f>H161/K161</f>
        <v>2.3254139476418838E-2</v>
      </c>
      <c r="P161" s="22">
        <f>K161/V161</f>
        <v>115.37426376107447</v>
      </c>
      <c r="Q161" s="22">
        <f>H161/V161</f>
        <v>2.6829292214891609</v>
      </c>
      <c r="R161" s="27">
        <v>115.37426379999999</v>
      </c>
      <c r="S161" s="27">
        <v>115.37426379999999</v>
      </c>
      <c r="T161" s="27">
        <v>8</v>
      </c>
      <c r="U161" s="27">
        <v>21220000</v>
      </c>
      <c r="V161" s="27">
        <v>21220000</v>
      </c>
    </row>
    <row r="162" spans="1:22">
      <c r="A162" s="102">
        <v>143</v>
      </c>
      <c r="B162" s="79" t="s">
        <v>275</v>
      </c>
      <c r="C162" s="79" t="s">
        <v>58</v>
      </c>
      <c r="D162" s="27">
        <v>23837049627</v>
      </c>
      <c r="E162" s="27">
        <v>2961088940</v>
      </c>
      <c r="F162" s="27">
        <v>0</v>
      </c>
      <c r="G162" s="27">
        <v>555419559</v>
      </c>
      <c r="H162" s="12">
        <f t="shared" si="78"/>
        <v>2405669381</v>
      </c>
      <c r="I162" s="28">
        <v>257469354459</v>
      </c>
      <c r="J162" s="13">
        <f t="shared" ref="J162:J166" si="80">(I162/$I$167)</f>
        <v>0.51330904003043842</v>
      </c>
      <c r="K162" s="28">
        <v>259875023841</v>
      </c>
      <c r="L162" s="13">
        <f t="shared" ref="L162:L166" si="81">(K162/$K$167)</f>
        <v>0.49461826215393767</v>
      </c>
      <c r="M162" s="13">
        <f t="shared" ref="M162:M166" si="82">((K162-I162)/I162)</f>
        <v>9.3435173558998625E-3</v>
      </c>
      <c r="N162" s="20">
        <f t="shared" ref="N162:N166" si="83">(G162/K162)</f>
        <v>2.1372564042161425E-3</v>
      </c>
      <c r="O162" s="21">
        <f t="shared" ref="O162:O166" si="84">H162/K162</f>
        <v>9.2570241858712324E-3</v>
      </c>
      <c r="P162" s="22">
        <f t="shared" ref="P162:P166" si="85">K162/V162</f>
        <v>103.9500095364</v>
      </c>
      <c r="Q162" s="22">
        <f t="shared" ref="Q162:Q166" si="86">H162/V162</f>
        <v>0.96226775239999995</v>
      </c>
      <c r="R162" s="27">
        <v>103.95</v>
      </c>
      <c r="S162" s="27">
        <v>103.95</v>
      </c>
      <c r="T162" s="27">
        <v>45</v>
      </c>
      <c r="U162" s="27">
        <v>2500000000</v>
      </c>
      <c r="V162" s="27">
        <v>2500000000</v>
      </c>
    </row>
    <row r="163" spans="1:22">
      <c r="A163" s="102">
        <v>144</v>
      </c>
      <c r="B163" s="25" t="s">
        <v>151</v>
      </c>
      <c r="C163" s="25" t="s">
        <v>44</v>
      </c>
      <c r="D163" s="27">
        <v>193110264454</v>
      </c>
      <c r="E163" s="27">
        <v>1324315335</v>
      </c>
      <c r="F163" s="27">
        <v>0</v>
      </c>
      <c r="G163" s="27">
        <v>453581293</v>
      </c>
      <c r="H163" s="12">
        <f t="shared" si="78"/>
        <v>870734042</v>
      </c>
      <c r="I163" s="28">
        <v>173361201216</v>
      </c>
      <c r="J163" s="13">
        <f t="shared" si="80"/>
        <v>0.34562510152593423</v>
      </c>
      <c r="K163" s="28">
        <v>192019422572</v>
      </c>
      <c r="L163" s="13">
        <f t="shared" si="81"/>
        <v>0.36546918472040174</v>
      </c>
      <c r="M163" s="13">
        <f t="shared" si="82"/>
        <v>0.10762628099670769</v>
      </c>
      <c r="N163" s="20">
        <f t="shared" si="83"/>
        <v>2.3621636130580709E-3</v>
      </c>
      <c r="O163" s="21">
        <f t="shared" si="84"/>
        <v>4.5346144173176424E-3</v>
      </c>
      <c r="P163" s="22">
        <f t="shared" si="85"/>
        <v>115.89950164766528</v>
      </c>
      <c r="Q163" s="22">
        <f t="shared" si="86"/>
        <v>0.52555955113143282</v>
      </c>
      <c r="R163" s="27">
        <v>103</v>
      </c>
      <c r="S163" s="27">
        <v>103</v>
      </c>
      <c r="T163" s="27">
        <v>1238</v>
      </c>
      <c r="U163" s="27">
        <v>1656775222</v>
      </c>
      <c r="V163" s="27">
        <v>1656775222</v>
      </c>
    </row>
    <row r="164" spans="1:22">
      <c r="A164" s="102">
        <v>145</v>
      </c>
      <c r="B164" s="25" t="s">
        <v>152</v>
      </c>
      <c r="C164" s="25" t="s">
        <v>121</v>
      </c>
      <c r="D164" s="27">
        <v>6782747893.9899998</v>
      </c>
      <c r="E164" s="27">
        <v>78712482.590000004</v>
      </c>
      <c r="F164" s="27">
        <v>0</v>
      </c>
      <c r="G164" s="27">
        <v>12797685</v>
      </c>
      <c r="H164" s="12">
        <f t="shared" si="78"/>
        <v>65914797.590000004</v>
      </c>
      <c r="I164" s="28">
        <v>6517487103.6999998</v>
      </c>
      <c r="J164" s="13">
        <f t="shared" si="80"/>
        <v>1.2993721352355166E-2</v>
      </c>
      <c r="K164" s="28">
        <v>6578845645.6599998</v>
      </c>
      <c r="L164" s="13">
        <f t="shared" si="81"/>
        <v>1.2521469559253462E-2</v>
      </c>
      <c r="M164" s="13">
        <f t="shared" si="82"/>
        <v>9.4144477746901222E-3</v>
      </c>
      <c r="N164" s="20">
        <f t="shared" si="83"/>
        <v>1.9452781976185302E-3</v>
      </c>
      <c r="O164" s="21">
        <f t="shared" si="84"/>
        <v>1.0019204149208661E-2</v>
      </c>
      <c r="P164" s="22">
        <f t="shared" si="85"/>
        <v>328.942282283</v>
      </c>
      <c r="Q164" s="22">
        <f t="shared" si="86"/>
        <v>3.2957398795000001</v>
      </c>
      <c r="R164" s="27">
        <v>418.75</v>
      </c>
      <c r="S164" s="27">
        <v>418.75</v>
      </c>
      <c r="T164" s="27">
        <v>5533</v>
      </c>
      <c r="U164" s="27">
        <v>20000000</v>
      </c>
      <c r="V164" s="27">
        <v>20000000</v>
      </c>
    </row>
    <row r="165" spans="1:22">
      <c r="A165" s="102">
        <v>146</v>
      </c>
      <c r="B165" s="25" t="s">
        <v>153</v>
      </c>
      <c r="C165" s="25" t="s">
        <v>121</v>
      </c>
      <c r="D165" s="27">
        <v>29362408259.200001</v>
      </c>
      <c r="E165" s="27">
        <v>206869992.81999999</v>
      </c>
      <c r="F165" s="27">
        <v>0</v>
      </c>
      <c r="G165" s="27">
        <v>38951821.170000002</v>
      </c>
      <c r="H165" s="12">
        <f t="shared" si="78"/>
        <v>167918171.64999998</v>
      </c>
      <c r="I165" s="28">
        <v>27972286463.360001</v>
      </c>
      <c r="J165" s="13">
        <f t="shared" si="80"/>
        <v>5.5767520535148649E-2</v>
      </c>
      <c r="K165" s="28">
        <v>28253496525.119999</v>
      </c>
      <c r="L165" s="13">
        <f t="shared" si="81"/>
        <v>5.3774676552131244E-2</v>
      </c>
      <c r="M165" s="13">
        <f t="shared" si="82"/>
        <v>1.0053166805950824E-2</v>
      </c>
      <c r="N165" s="20">
        <f t="shared" si="83"/>
        <v>1.3786548909218437E-3</v>
      </c>
      <c r="O165" s="21">
        <f t="shared" si="84"/>
        <v>5.9432704727609567E-3</v>
      </c>
      <c r="P165" s="22">
        <f t="shared" si="85"/>
        <v>150.18304981761634</v>
      </c>
      <c r="Q165" s="22">
        <f t="shared" si="86"/>
        <v>0.892578485490227</v>
      </c>
      <c r="R165" s="27">
        <v>72.5</v>
      </c>
      <c r="S165" s="27">
        <v>72.5</v>
      </c>
      <c r="T165" s="27">
        <v>8119</v>
      </c>
      <c r="U165" s="27">
        <v>188127066</v>
      </c>
      <c r="V165" s="27">
        <v>188127066</v>
      </c>
    </row>
    <row r="166" spans="1:22" ht="16.05" customHeight="1">
      <c r="A166" s="102">
        <v>147</v>
      </c>
      <c r="B166" s="25" t="s">
        <v>154</v>
      </c>
      <c r="C166" s="25" t="s">
        <v>121</v>
      </c>
      <c r="D166" s="27">
        <v>37593156654.160004</v>
      </c>
      <c r="E166" s="27">
        <v>325851594.47000003</v>
      </c>
      <c r="F166" s="27">
        <v>0</v>
      </c>
      <c r="G166" s="27">
        <v>105573828.36</v>
      </c>
      <c r="H166" s="12">
        <f t="shared" si="78"/>
        <v>220277766.11000001</v>
      </c>
      <c r="I166" s="28">
        <v>33875775588.360001</v>
      </c>
      <c r="J166" s="13">
        <f t="shared" si="80"/>
        <v>6.7537132269917019E-2</v>
      </c>
      <c r="K166" s="28">
        <v>36230203687.480003</v>
      </c>
      <c r="L166" s="13">
        <f t="shared" si="81"/>
        <v>6.8956685873547655E-2</v>
      </c>
      <c r="M166" s="13">
        <f t="shared" si="82"/>
        <v>6.9501821234434075E-2</v>
      </c>
      <c r="N166" s="20">
        <f t="shared" si="83"/>
        <v>2.9139728076241242E-3</v>
      </c>
      <c r="O166" s="21">
        <f t="shared" si="84"/>
        <v>6.0799483218506156E-3</v>
      </c>
      <c r="P166" s="22">
        <f t="shared" si="85"/>
        <v>1.9520615503372012</v>
      </c>
      <c r="Q166" s="22">
        <f t="shared" si="86"/>
        <v>1.1868433347121775E-2</v>
      </c>
      <c r="R166" s="27">
        <v>7</v>
      </c>
      <c r="S166" s="27">
        <v>7</v>
      </c>
      <c r="T166" s="27">
        <v>215231</v>
      </c>
      <c r="U166" s="27">
        <v>18559969936</v>
      </c>
      <c r="V166" s="27">
        <v>18559969936</v>
      </c>
    </row>
    <row r="167" spans="1:22" ht="15" customHeight="1">
      <c r="A167" s="118" t="s">
        <v>51</v>
      </c>
      <c r="B167" s="118"/>
      <c r="C167" s="118"/>
      <c r="D167" s="118"/>
      <c r="E167" s="118"/>
      <c r="F167" s="118"/>
      <c r="G167" s="118"/>
      <c r="H167" s="118"/>
      <c r="I167" s="36">
        <f>SUM(I161:I166)</f>
        <v>501587414949.34998</v>
      </c>
      <c r="J167" s="34">
        <f>(I167/$I$243)</f>
        <v>6.0380308289158198E-2</v>
      </c>
      <c r="K167" s="36">
        <f>SUM(K161:K166)</f>
        <v>525405234148.26996</v>
      </c>
      <c r="L167" s="34">
        <f>(K167/$K$243)</f>
        <v>6.1121701276692843E-2</v>
      </c>
      <c r="M167" s="34">
        <f t="shared" si="79"/>
        <v>4.74848819748101E-2</v>
      </c>
      <c r="N167" s="20"/>
      <c r="O167" s="20"/>
      <c r="P167" s="37"/>
      <c r="Q167" s="37"/>
      <c r="R167" s="36"/>
      <c r="S167" s="36"/>
      <c r="T167" s="36">
        <f>SUM(T161:T166)</f>
        <v>230174</v>
      </c>
      <c r="U167" s="36"/>
      <c r="V167" s="36"/>
    </row>
    <row r="168" spans="1:22" ht="4.95" customHeight="1">
      <c r="A168" s="124"/>
      <c r="B168" s="124"/>
      <c r="C168" s="124"/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  <c r="U168" s="124"/>
      <c r="V168" s="124"/>
    </row>
    <row r="169" spans="1:22" ht="13.95" customHeight="1">
      <c r="A169" s="125" t="s">
        <v>155</v>
      </c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7"/>
    </row>
    <row r="170" spans="1:22">
      <c r="A170" s="102">
        <v>148</v>
      </c>
      <c r="B170" s="25" t="s">
        <v>156</v>
      </c>
      <c r="C170" s="25" t="s">
        <v>55</v>
      </c>
      <c r="D170" s="29">
        <v>824233545.11000001</v>
      </c>
      <c r="E170" s="29">
        <v>16158216.369999999</v>
      </c>
      <c r="F170" s="29">
        <v>0</v>
      </c>
      <c r="G170" s="10">
        <v>1587123.75</v>
      </c>
      <c r="H170" s="12">
        <f>(E170+F170)-G170</f>
        <v>14571092.619999999</v>
      </c>
      <c r="I170" s="10">
        <v>777641357.58000004</v>
      </c>
      <c r="J170" s="13">
        <f t="shared" ref="J170:J198" si="87">(I170/$I$199)</f>
        <v>6.7528530225129009E-3</v>
      </c>
      <c r="K170" s="10">
        <v>817907844.14999998</v>
      </c>
      <c r="L170" s="13">
        <f t="shared" ref="L170" si="88">(K170/$K$199)</f>
        <v>6.7011876413958782E-3</v>
      </c>
      <c r="M170" s="13">
        <f t="shared" ref="M170:M199" si="89">((K170-I170)/I170)</f>
        <v>5.1780279144756663E-2</v>
      </c>
      <c r="N170" s="20">
        <f t="shared" ref="N170" si="90">(G170/K170)</f>
        <v>1.9404676961490663E-3</v>
      </c>
      <c r="O170" s="21">
        <f t="shared" ref="O170" si="91">H170/K170</f>
        <v>1.7815078708705644E-2</v>
      </c>
      <c r="P170" s="22">
        <f t="shared" ref="P170" si="92">K170/V170</f>
        <v>8.9486377866608198</v>
      </c>
      <c r="Q170" s="22">
        <f t="shared" ref="Q170" si="93">H170/V170</f>
        <v>0.15942068650505997</v>
      </c>
      <c r="R170" s="10">
        <v>8.8653999999999993</v>
      </c>
      <c r="S170" s="10">
        <v>9.0104000000000006</v>
      </c>
      <c r="T170" s="10">
        <v>11968</v>
      </c>
      <c r="U170" s="10">
        <v>87237782.890000001</v>
      </c>
      <c r="V170" s="10">
        <v>91400262.659999996</v>
      </c>
    </row>
    <row r="171" spans="1:22">
      <c r="A171" s="102">
        <v>149</v>
      </c>
      <c r="B171" s="25" t="s">
        <v>215</v>
      </c>
      <c r="C171" s="25" t="s">
        <v>216</v>
      </c>
      <c r="D171" s="29">
        <v>1421601530.6600001</v>
      </c>
      <c r="E171" s="29">
        <v>15258277.26</v>
      </c>
      <c r="F171" s="29">
        <v>878270337.49000001</v>
      </c>
      <c r="G171" s="10">
        <v>7800868.2300000004</v>
      </c>
      <c r="H171" s="12">
        <f>(E171+F171)-G171</f>
        <v>885727746.51999998</v>
      </c>
      <c r="I171" s="10">
        <v>2663776860.71</v>
      </c>
      <c r="J171" s="13">
        <f t="shared" si="87"/>
        <v>2.3131606170129552E-2</v>
      </c>
      <c r="K171" s="10">
        <v>2663776860.71</v>
      </c>
      <c r="L171" s="13">
        <f t="shared" ref="L171:L198" si="94">(K171/$K$199)</f>
        <v>2.182454747940097E-2</v>
      </c>
      <c r="M171" s="13">
        <f t="shared" ref="M171:M198" si="95">((K171-I171)/I171)</f>
        <v>0</v>
      </c>
      <c r="N171" s="20">
        <f t="shared" ref="N171:N198" si="96">(G171/K171)</f>
        <v>2.9284991340906706E-3</v>
      </c>
      <c r="O171" s="21">
        <f t="shared" ref="O171:O198" si="97">H171/K171</f>
        <v>0.33250823655098466</v>
      </c>
      <c r="P171" s="22">
        <f t="shared" ref="P171:P198" si="98">K171/V171</f>
        <v>2665.1254141695699</v>
      </c>
      <c r="Q171" s="22">
        <f t="shared" ref="Q171:Q198" si="99">H171/V171</f>
        <v>886.17615165273628</v>
      </c>
      <c r="R171" s="10">
        <v>2707.11</v>
      </c>
      <c r="S171" s="10">
        <v>2726.53</v>
      </c>
      <c r="T171" s="10">
        <v>212</v>
      </c>
      <c r="U171" s="10">
        <v>980661</v>
      </c>
      <c r="V171" s="10">
        <v>999494</v>
      </c>
    </row>
    <row r="172" spans="1:22">
      <c r="A172" s="102">
        <v>150</v>
      </c>
      <c r="B172" s="25" t="s">
        <v>157</v>
      </c>
      <c r="C172" s="10" t="s">
        <v>58</v>
      </c>
      <c r="D172" s="29">
        <v>10363489510</v>
      </c>
      <c r="E172" s="29">
        <v>94607432</v>
      </c>
      <c r="F172" s="29">
        <v>278368194</v>
      </c>
      <c r="G172" s="10">
        <v>27341062</v>
      </c>
      <c r="H172" s="12">
        <f t="shared" ref="H172:H198" si="100">(E172+F172)-G172</f>
        <v>345634564</v>
      </c>
      <c r="I172" s="10">
        <v>12208302063</v>
      </c>
      <c r="J172" s="13">
        <f t="shared" si="87"/>
        <v>0.1060139982040486</v>
      </c>
      <c r="K172" s="10">
        <v>12934002636</v>
      </c>
      <c r="L172" s="13">
        <f t="shared" si="94"/>
        <v>0.10596936957881713</v>
      </c>
      <c r="M172" s="13">
        <f t="shared" si="95"/>
        <v>5.9443202605495689E-2</v>
      </c>
      <c r="N172" s="20">
        <f t="shared" si="96"/>
        <v>2.1138902449192296E-3</v>
      </c>
      <c r="O172" s="21">
        <f t="shared" si="97"/>
        <v>2.6722939041157624E-2</v>
      </c>
      <c r="P172" s="22">
        <f t="shared" si="98"/>
        <v>1242.1241370965186</v>
      </c>
      <c r="Q172" s="22">
        <f t="shared" si="99"/>
        <v>33.193207597180781</v>
      </c>
      <c r="R172" s="10">
        <v>1235.9136000000001</v>
      </c>
      <c r="S172" s="10">
        <v>1273.1773000000001</v>
      </c>
      <c r="T172" s="10">
        <v>22665</v>
      </c>
      <c r="U172" s="10">
        <v>10113437</v>
      </c>
      <c r="V172" s="10">
        <v>10412810</v>
      </c>
    </row>
    <row r="173" spans="1:22">
      <c r="A173" s="102">
        <v>151</v>
      </c>
      <c r="B173" s="25" t="s">
        <v>158</v>
      </c>
      <c r="C173" s="25" t="s">
        <v>104</v>
      </c>
      <c r="D173" s="29">
        <v>3284512750.3899999</v>
      </c>
      <c r="E173" s="29">
        <v>19293329.329999998</v>
      </c>
      <c r="F173" s="29">
        <v>35220456.159999996</v>
      </c>
      <c r="G173" s="10">
        <v>4841937.0199999996</v>
      </c>
      <c r="H173" s="12">
        <f t="shared" si="100"/>
        <v>49671848.469999999</v>
      </c>
      <c r="I173" s="10">
        <v>3103506838.0100002</v>
      </c>
      <c r="J173" s="13">
        <f t="shared" si="87"/>
        <v>2.6950116949366696E-2</v>
      </c>
      <c r="K173" s="10">
        <v>3153178686.6999998</v>
      </c>
      <c r="L173" s="13">
        <f t="shared" si="94"/>
        <v>2.5834257731549261E-2</v>
      </c>
      <c r="M173" s="13">
        <f t="shared" si="95"/>
        <v>1.6005071450672127E-2</v>
      </c>
      <c r="N173" s="20">
        <f t="shared" si="96"/>
        <v>1.5355733058906953E-3</v>
      </c>
      <c r="O173" s="21">
        <f t="shared" si="97"/>
        <v>1.5752944379433417E-2</v>
      </c>
      <c r="P173" s="22">
        <f t="shared" si="98"/>
        <v>7.6318396760313334</v>
      </c>
      <c r="Q173" s="22">
        <f t="shared" si="99"/>
        <v>0.12022394592927473</v>
      </c>
      <c r="R173" s="10">
        <v>7.7675999999999998</v>
      </c>
      <c r="S173" s="10">
        <v>7.5769000000000002</v>
      </c>
      <c r="T173" s="10">
        <v>2734</v>
      </c>
      <c r="U173" s="10">
        <v>413161022.83999997</v>
      </c>
      <c r="V173" s="10">
        <v>413161022.83999997</v>
      </c>
    </row>
    <row r="174" spans="1:22">
      <c r="A174" s="102">
        <v>152</v>
      </c>
      <c r="B174" s="25" t="s">
        <v>271</v>
      </c>
      <c r="C174" s="10" t="s">
        <v>102</v>
      </c>
      <c r="D174" s="29">
        <v>1796256720.47</v>
      </c>
      <c r="E174" s="29">
        <v>11397224.619999999</v>
      </c>
      <c r="F174" s="29">
        <v>74040587.329999998</v>
      </c>
      <c r="G174" s="10">
        <v>2612816.15</v>
      </c>
      <c r="H174" s="12">
        <f t="shared" ref="H174" si="101">(E174+F174)-G174</f>
        <v>82824995.799999997</v>
      </c>
      <c r="I174" s="10">
        <v>1509680414.24</v>
      </c>
      <c r="J174" s="13">
        <f t="shared" si="87"/>
        <v>1.3109706484817888E-2</v>
      </c>
      <c r="K174" s="10">
        <v>1848313546.01</v>
      </c>
      <c r="L174" s="13">
        <f t="shared" si="94"/>
        <v>1.5143388073039799E-2</v>
      </c>
      <c r="M174" s="13">
        <f t="shared" si="95"/>
        <v>0.22430782606428257</v>
      </c>
      <c r="N174" s="20">
        <f t="shared" si="96"/>
        <v>1.4136217070098039E-3</v>
      </c>
      <c r="O174" s="21">
        <f t="shared" si="97"/>
        <v>4.4811117669291751E-2</v>
      </c>
      <c r="P174" s="22">
        <f t="shared" si="98"/>
        <v>1.5695860372038886</v>
      </c>
      <c r="Q174" s="22">
        <f t="shared" si="99"/>
        <v>7.0334904605220794E-2</v>
      </c>
      <c r="R174" s="10">
        <v>1.5605</v>
      </c>
      <c r="S174" s="10">
        <v>1.5732999999999999</v>
      </c>
      <c r="T174" s="10">
        <v>399</v>
      </c>
      <c r="U174" s="10">
        <v>1013479170.1</v>
      </c>
      <c r="V174" s="10">
        <v>1177580267.79</v>
      </c>
    </row>
    <row r="175" spans="1:22">
      <c r="A175" s="102">
        <v>153</v>
      </c>
      <c r="B175" s="25" t="s">
        <v>159</v>
      </c>
      <c r="C175" s="25" t="s">
        <v>60</v>
      </c>
      <c r="D175" s="29">
        <v>9014189482.6599998</v>
      </c>
      <c r="E175" s="29">
        <v>207130099.49000001</v>
      </c>
      <c r="F175" s="29">
        <v>2552928668.4000001</v>
      </c>
      <c r="G175" s="10">
        <v>23184715.870000001</v>
      </c>
      <c r="H175" s="12">
        <f t="shared" si="100"/>
        <v>2736874052.0200005</v>
      </c>
      <c r="I175" s="10">
        <v>8718612334.3700008</v>
      </c>
      <c r="J175" s="13">
        <f t="shared" si="87"/>
        <v>7.5710360669972332E-2</v>
      </c>
      <c r="K175" s="10">
        <v>8921406875.0900002</v>
      </c>
      <c r="L175" s="13">
        <f t="shared" si="94"/>
        <v>7.3093835598736792E-2</v>
      </c>
      <c r="M175" s="13">
        <f t="shared" si="95"/>
        <v>2.3259956165335462E-2</v>
      </c>
      <c r="N175" s="20">
        <f t="shared" si="96"/>
        <v>2.5987735112424307E-3</v>
      </c>
      <c r="O175" s="21">
        <f t="shared" si="97"/>
        <v>0.30677606013708353</v>
      </c>
      <c r="P175" s="22">
        <f t="shared" si="98"/>
        <v>13294.674891906527</v>
      </c>
      <c r="Q175" s="22">
        <f t="shared" si="99"/>
        <v>4078.4879841424909</v>
      </c>
      <c r="R175" s="10">
        <v>13294.67</v>
      </c>
      <c r="S175" s="10">
        <v>13391.2</v>
      </c>
      <c r="T175" s="10">
        <v>1576</v>
      </c>
      <c r="U175" s="10">
        <v>649300.54</v>
      </c>
      <c r="V175" s="10">
        <v>671051.15</v>
      </c>
    </row>
    <row r="176" spans="1:22" ht="14.1" customHeight="1">
      <c r="A176" s="102">
        <v>154</v>
      </c>
      <c r="B176" s="25" t="s">
        <v>160</v>
      </c>
      <c r="C176" s="10" t="s">
        <v>62</v>
      </c>
      <c r="D176" s="29">
        <v>1448352876.04</v>
      </c>
      <c r="E176" s="29">
        <v>11204276.68</v>
      </c>
      <c r="F176" s="29">
        <v>17789994.949999999</v>
      </c>
      <c r="G176" s="10">
        <v>3155828</v>
      </c>
      <c r="H176" s="12">
        <f t="shared" si="100"/>
        <v>25838443.629999999</v>
      </c>
      <c r="I176" s="10">
        <v>1603109044.47</v>
      </c>
      <c r="J176" s="13">
        <f t="shared" si="87"/>
        <v>1.3921018540032224E-2</v>
      </c>
      <c r="K176" s="10">
        <v>1727021630.1900001</v>
      </c>
      <c r="L176" s="13">
        <f t="shared" si="94"/>
        <v>1.4149633222652095E-2</v>
      </c>
      <c r="M176" s="13">
        <f t="shared" si="95"/>
        <v>7.729516974995701E-2</v>
      </c>
      <c r="N176" s="20">
        <f t="shared" si="96"/>
        <v>1.8273239575191703E-3</v>
      </c>
      <c r="O176" s="21">
        <f t="shared" si="97"/>
        <v>1.4961273893921847E-2</v>
      </c>
      <c r="P176" s="22">
        <f t="shared" si="98"/>
        <v>274.93134048920609</v>
      </c>
      <c r="Q176" s="22">
        <f t="shared" si="99"/>
        <v>4.1133230870820983</v>
      </c>
      <c r="R176" s="10">
        <v>276.47000000000003</v>
      </c>
      <c r="S176" s="10">
        <v>278.58</v>
      </c>
      <c r="T176" s="10">
        <v>553</v>
      </c>
      <c r="U176" s="10">
        <v>5972336</v>
      </c>
      <c r="V176" s="10">
        <v>6281647</v>
      </c>
    </row>
    <row r="177" spans="1:22">
      <c r="A177" s="102">
        <v>155</v>
      </c>
      <c r="B177" s="25" t="s">
        <v>161</v>
      </c>
      <c r="C177" s="10" t="s">
        <v>64</v>
      </c>
      <c r="D177" s="29">
        <v>4469723344.5600004</v>
      </c>
      <c r="E177" s="29">
        <v>35807618.950000003</v>
      </c>
      <c r="F177" s="29">
        <v>274929967.35000002</v>
      </c>
      <c r="G177" s="10">
        <v>7661652.3899999997</v>
      </c>
      <c r="H177" s="12">
        <f t="shared" si="100"/>
        <v>303075933.91000003</v>
      </c>
      <c r="I177" s="10">
        <v>4264980109.0799999</v>
      </c>
      <c r="J177" s="13">
        <f t="shared" si="87"/>
        <v>3.7036075229056206E-2</v>
      </c>
      <c r="K177" s="10">
        <v>4520107471.2399998</v>
      </c>
      <c r="L177" s="13">
        <f t="shared" si="94"/>
        <v>3.7033620035192644E-2</v>
      </c>
      <c r="M177" s="13">
        <f t="shared" si="95"/>
        <v>5.981912122329533E-2</v>
      </c>
      <c r="N177" s="20">
        <f t="shared" si="96"/>
        <v>1.6950155364111688E-3</v>
      </c>
      <c r="O177" s="21">
        <f t="shared" si="97"/>
        <v>6.705060351736665E-2</v>
      </c>
      <c r="P177" s="22">
        <f t="shared" si="98"/>
        <v>2.45279449479189</v>
      </c>
      <c r="Q177" s="22">
        <f t="shared" si="99"/>
        <v>0.16446135117987068</v>
      </c>
      <c r="R177" s="10">
        <v>2.4255</v>
      </c>
      <c r="S177" s="10">
        <v>2.4704000000000002</v>
      </c>
      <c r="T177" s="10">
        <v>4561</v>
      </c>
      <c r="U177" s="10">
        <v>1640843729.5899999</v>
      </c>
      <c r="V177" s="10">
        <v>1842839863.2</v>
      </c>
    </row>
    <row r="178" spans="1:22">
      <c r="A178" s="102">
        <v>156</v>
      </c>
      <c r="B178" s="25" t="s">
        <v>217</v>
      </c>
      <c r="C178" s="25" t="s">
        <v>48</v>
      </c>
      <c r="D178" s="29">
        <v>646262257.70000005</v>
      </c>
      <c r="E178" s="29">
        <v>14097257.32</v>
      </c>
      <c r="F178" s="29">
        <v>134945512.08000001</v>
      </c>
      <c r="G178" s="10">
        <v>1090570.67</v>
      </c>
      <c r="H178" s="12">
        <f>(E178+F178)-G178</f>
        <v>147952198.73000002</v>
      </c>
      <c r="I178" s="10">
        <v>675719730.14999998</v>
      </c>
      <c r="J178" s="13">
        <f t="shared" si="87"/>
        <v>5.8677897949191904E-3</v>
      </c>
      <c r="K178" s="10">
        <v>725353096.90999997</v>
      </c>
      <c r="L178" s="13">
        <f t="shared" si="94"/>
        <v>5.9428788260527882E-3</v>
      </c>
      <c r="M178" s="13">
        <f t="shared" si="95"/>
        <v>7.345259365000649E-2</v>
      </c>
      <c r="N178" s="20">
        <f t="shared" si="96"/>
        <v>1.5035031554229584E-3</v>
      </c>
      <c r="O178" s="21">
        <f t="shared" si="97"/>
        <v>0.20397265739992776</v>
      </c>
      <c r="P178" s="22">
        <f t="shared" si="98"/>
        <v>253.03788392299873</v>
      </c>
      <c r="Q178" s="22">
        <f t="shared" si="99"/>
        <v>51.61280960662851</v>
      </c>
      <c r="R178" s="10">
        <v>253.04</v>
      </c>
      <c r="S178" s="10">
        <v>253.04</v>
      </c>
      <c r="T178" s="10">
        <v>196</v>
      </c>
      <c r="U178" s="10">
        <v>2718498.33</v>
      </c>
      <c r="V178" s="10">
        <v>2866579.05</v>
      </c>
    </row>
    <row r="179" spans="1:22">
      <c r="A179" s="102">
        <v>157</v>
      </c>
      <c r="B179" s="25" t="s">
        <v>162</v>
      </c>
      <c r="C179" s="25" t="s">
        <v>163</v>
      </c>
      <c r="D179" s="29">
        <v>1177336003.0699999</v>
      </c>
      <c r="E179" s="29">
        <v>8721101.0600000005</v>
      </c>
      <c r="F179" s="29">
        <v>0</v>
      </c>
      <c r="G179" s="10">
        <v>2616660.4</v>
      </c>
      <c r="H179" s="12">
        <f>(E179+F179)-G179</f>
        <v>6104440.6600000001</v>
      </c>
      <c r="I179" s="10">
        <v>1060069274.3</v>
      </c>
      <c r="J179" s="13">
        <f t="shared" si="87"/>
        <v>9.2053900339185354E-3</v>
      </c>
      <c r="K179" s="10">
        <v>1653474961.04</v>
      </c>
      <c r="L179" s="13">
        <f t="shared" si="94"/>
        <v>1.3547059187082109E-2</v>
      </c>
      <c r="M179" s="13">
        <f t="shared" si="95"/>
        <v>0.55978010223138119</v>
      </c>
      <c r="N179" s="20">
        <f t="shared" si="96"/>
        <v>1.5825219381333583E-3</v>
      </c>
      <c r="O179" s="21">
        <f t="shared" si="97"/>
        <v>3.6918857580766989E-3</v>
      </c>
      <c r="P179" s="22">
        <f t="shared" si="98"/>
        <v>190.52446597493773</v>
      </c>
      <c r="Q179" s="22">
        <f t="shared" si="99"/>
        <v>0.70339456249804111</v>
      </c>
      <c r="R179" s="10">
        <v>175.05</v>
      </c>
      <c r="S179" s="10">
        <v>176.13</v>
      </c>
      <c r="T179" s="10">
        <v>181</v>
      </c>
      <c r="U179" s="10">
        <v>5671427</v>
      </c>
      <c r="V179" s="10">
        <v>8678544</v>
      </c>
    </row>
    <row r="180" spans="1:22">
      <c r="A180" s="102">
        <v>158</v>
      </c>
      <c r="B180" s="25" t="s">
        <v>164</v>
      </c>
      <c r="C180" s="10" t="s">
        <v>69</v>
      </c>
      <c r="D180" s="29">
        <v>838944304.12</v>
      </c>
      <c r="E180" s="29">
        <v>4655968.99</v>
      </c>
      <c r="F180" s="29">
        <v>28380609</v>
      </c>
      <c r="G180" s="10">
        <v>1607330.0589999999</v>
      </c>
      <c r="H180" s="12">
        <f t="shared" si="100"/>
        <v>31429247.931000002</v>
      </c>
      <c r="I180" s="10">
        <v>304823434.22000003</v>
      </c>
      <c r="J180" s="13">
        <f t="shared" si="87"/>
        <v>2.6470143711376983E-3</v>
      </c>
      <c r="K180" s="10">
        <v>838876972.55999994</v>
      </c>
      <c r="L180" s="13">
        <f t="shared" si="94"/>
        <v>6.8729894710970792E-3</v>
      </c>
      <c r="M180" s="13">
        <f t="shared" si="95"/>
        <v>1.75200945329734</v>
      </c>
      <c r="N180" s="20">
        <f t="shared" si="96"/>
        <v>1.9160498041743983E-3</v>
      </c>
      <c r="O180" s="21">
        <f t="shared" si="97"/>
        <v>3.7465860858103425E-2</v>
      </c>
      <c r="P180" s="22">
        <f t="shared" si="98"/>
        <v>2.3831937982741702</v>
      </c>
      <c r="Q180" s="22">
        <f t="shared" si="99"/>
        <v>8.928840724403507E-2</v>
      </c>
      <c r="R180" s="10">
        <v>2.3580999999999999</v>
      </c>
      <c r="S180" s="10">
        <v>1.3854</v>
      </c>
      <c r="T180" s="10">
        <v>163</v>
      </c>
      <c r="U180" s="10">
        <v>326375886.19</v>
      </c>
      <c r="V180" s="10">
        <v>351996960.19999999</v>
      </c>
    </row>
    <row r="181" spans="1:22">
      <c r="A181" s="102">
        <v>159</v>
      </c>
      <c r="B181" s="10" t="s">
        <v>165</v>
      </c>
      <c r="C181" s="10" t="s">
        <v>72</v>
      </c>
      <c r="D181" s="29">
        <v>18095751588.119999</v>
      </c>
      <c r="E181" s="29">
        <v>85596603.290000007</v>
      </c>
      <c r="F181" s="29">
        <v>169218531.91999999</v>
      </c>
      <c r="G181" s="10">
        <v>53487167.780000001</v>
      </c>
      <c r="H181" s="12">
        <f>(E181+F181)-G181</f>
        <v>201327967.42999998</v>
      </c>
      <c r="I181" s="10">
        <v>17402658263.34</v>
      </c>
      <c r="J181" s="13">
        <f t="shared" si="87"/>
        <v>0.151120554877722</v>
      </c>
      <c r="K181" s="10">
        <v>17847036143.349998</v>
      </c>
      <c r="L181" s="13">
        <f t="shared" si="94"/>
        <v>0.14622226561924162</v>
      </c>
      <c r="M181" s="13">
        <f t="shared" si="95"/>
        <v>2.5535057534636162E-2</v>
      </c>
      <c r="N181" s="20">
        <f t="shared" si="96"/>
        <v>2.9969776129987785E-3</v>
      </c>
      <c r="O181" s="21">
        <f t="shared" si="97"/>
        <v>1.1280750809989085E-2</v>
      </c>
      <c r="P181" s="22">
        <f t="shared" si="98"/>
        <v>534.53249462039219</v>
      </c>
      <c r="Q181" s="22">
        <f t="shared" si="99"/>
        <v>6.0299278716544755</v>
      </c>
      <c r="R181" s="10">
        <v>534.53</v>
      </c>
      <c r="S181" s="10">
        <v>539.87</v>
      </c>
      <c r="T181" s="10">
        <v>5602</v>
      </c>
      <c r="U181" s="10">
        <v>33135746</v>
      </c>
      <c r="V181" s="10">
        <v>33388122</v>
      </c>
    </row>
    <row r="182" spans="1:22" ht="15.6" customHeight="1">
      <c r="A182" s="102">
        <v>160</v>
      </c>
      <c r="B182" s="10" t="s">
        <v>166</v>
      </c>
      <c r="C182" s="25" t="s">
        <v>244</v>
      </c>
      <c r="D182" s="29">
        <v>5226797667.1700001</v>
      </c>
      <c r="E182" s="29">
        <v>40947516.590000004</v>
      </c>
      <c r="F182" s="29">
        <v>17792761.370000001</v>
      </c>
      <c r="G182" s="10">
        <v>117385884.62</v>
      </c>
      <c r="H182" s="12">
        <f>(E182+F182)-G182</f>
        <v>-58645606.659999996</v>
      </c>
      <c r="I182" s="10">
        <v>5846416594.6999998</v>
      </c>
      <c r="J182" s="13">
        <f t="shared" si="87"/>
        <v>5.0768894410721931E-2</v>
      </c>
      <c r="K182" s="10">
        <v>5239572655.8299999</v>
      </c>
      <c r="L182" s="13">
        <f t="shared" si="94"/>
        <v>4.2928258701238883E-2</v>
      </c>
      <c r="M182" s="13">
        <f t="shared" si="95"/>
        <v>-0.10379758764028672</v>
      </c>
      <c r="N182" s="20">
        <f t="shared" si="96"/>
        <v>2.2403713495486383E-2</v>
      </c>
      <c r="O182" s="21">
        <f t="shared" si="97"/>
        <v>-1.119282248996888E-2</v>
      </c>
      <c r="P182" s="22">
        <f t="shared" si="98"/>
        <v>3.6530438860222887</v>
      </c>
      <c r="Q182" s="22">
        <f t="shared" si="99"/>
        <v>-4.0887871764313584E-2</v>
      </c>
      <c r="R182" s="10">
        <v>3.6194000000000002</v>
      </c>
      <c r="S182" s="10">
        <v>3.6812999999999998</v>
      </c>
      <c r="T182" s="10">
        <v>10284</v>
      </c>
      <c r="U182" s="10">
        <v>1592435477.25</v>
      </c>
      <c r="V182" s="10">
        <v>1434303232.95</v>
      </c>
    </row>
    <row r="183" spans="1:22">
      <c r="A183" s="102">
        <v>161</v>
      </c>
      <c r="B183" s="25" t="s">
        <v>167</v>
      </c>
      <c r="C183" s="10" t="s">
        <v>76</v>
      </c>
      <c r="D183" s="29">
        <v>267598583.28</v>
      </c>
      <c r="E183" s="29">
        <v>2278751.27</v>
      </c>
      <c r="F183" s="29">
        <v>101537807.67</v>
      </c>
      <c r="G183" s="10">
        <v>606541.84</v>
      </c>
      <c r="H183" s="12">
        <f t="shared" si="100"/>
        <v>103210017.09999999</v>
      </c>
      <c r="I183" s="10">
        <v>341360354.57999998</v>
      </c>
      <c r="J183" s="13">
        <f t="shared" si="87"/>
        <v>2.964292317688987E-3</v>
      </c>
      <c r="K183" s="10">
        <v>326820070.81</v>
      </c>
      <c r="L183" s="13">
        <f t="shared" si="94"/>
        <v>2.6776642810512627E-3</v>
      </c>
      <c r="M183" s="13">
        <f t="shared" si="95"/>
        <v>-4.2595115615842179E-2</v>
      </c>
      <c r="N183" s="20">
        <f t="shared" si="96"/>
        <v>1.8558892007358352E-3</v>
      </c>
      <c r="O183" s="21">
        <f t="shared" si="97"/>
        <v>0.31580073048819002</v>
      </c>
      <c r="P183" s="22">
        <f t="shared" si="98"/>
        <v>372.54967967482838</v>
      </c>
      <c r="Q183" s="22">
        <f t="shared" si="99"/>
        <v>117.651460984452</v>
      </c>
      <c r="R183" s="10">
        <v>375.46</v>
      </c>
      <c r="S183" s="10">
        <v>378.01</v>
      </c>
      <c r="T183" s="10">
        <v>66</v>
      </c>
      <c r="U183" s="10">
        <v>877252.32</v>
      </c>
      <c r="V183" s="10">
        <v>877252.32</v>
      </c>
    </row>
    <row r="184" spans="1:22">
      <c r="A184" s="102">
        <v>162</v>
      </c>
      <c r="B184" s="25" t="s">
        <v>220</v>
      </c>
      <c r="C184" s="25" t="s">
        <v>219</v>
      </c>
      <c r="D184" s="29">
        <v>78308061.810000002</v>
      </c>
      <c r="E184" s="29">
        <v>554302.74</v>
      </c>
      <c r="F184" s="29">
        <v>0</v>
      </c>
      <c r="G184" s="10">
        <v>124922</v>
      </c>
      <c r="H184" s="12">
        <f>(E184+F184)-G184</f>
        <v>429380.74</v>
      </c>
      <c r="I184" s="10">
        <v>78803738.459999993</v>
      </c>
      <c r="J184" s="13">
        <f t="shared" si="87"/>
        <v>6.8431296542787335E-4</v>
      </c>
      <c r="K184" s="10">
        <v>79257779.730000004</v>
      </c>
      <c r="L184" s="13">
        <f t="shared" si="94"/>
        <v>6.4936564407584772E-4</v>
      </c>
      <c r="M184" s="13">
        <f t="shared" si="95"/>
        <v>5.7616717033098326E-3</v>
      </c>
      <c r="N184" s="20">
        <f t="shared" si="96"/>
        <v>1.5761481134793326E-3</v>
      </c>
      <c r="O184" s="21">
        <f t="shared" si="97"/>
        <v>5.4175216800512304E-3</v>
      </c>
      <c r="P184" s="22">
        <f t="shared" si="98"/>
        <v>1.5539522337463729</v>
      </c>
      <c r="Q184" s="22">
        <f t="shared" si="99"/>
        <v>8.4185699160850124E-3</v>
      </c>
      <c r="R184" s="10">
        <v>1.635</v>
      </c>
      <c r="S184" s="10">
        <v>1.635</v>
      </c>
      <c r="T184" s="10">
        <v>29</v>
      </c>
      <c r="U184" s="10">
        <v>50668000</v>
      </c>
      <c r="V184" s="10">
        <v>51004000</v>
      </c>
    </row>
    <row r="185" spans="1:22">
      <c r="A185" s="102">
        <v>163</v>
      </c>
      <c r="B185" s="10" t="s">
        <v>168</v>
      </c>
      <c r="C185" s="10" t="s">
        <v>36</v>
      </c>
      <c r="D185" s="29">
        <v>12719224047.34</v>
      </c>
      <c r="E185" s="29">
        <v>99485023.409999996</v>
      </c>
      <c r="F185" s="29">
        <v>62574563.859999999</v>
      </c>
      <c r="G185" s="10">
        <v>25578440.440000001</v>
      </c>
      <c r="H185" s="12">
        <f t="shared" si="100"/>
        <v>136481146.82999998</v>
      </c>
      <c r="I185" s="10">
        <v>11053665599.540001</v>
      </c>
      <c r="J185" s="13">
        <f t="shared" si="87"/>
        <v>9.5987409139336552E-2</v>
      </c>
      <c r="K185" s="10">
        <v>12183259775.450001</v>
      </c>
      <c r="L185" s="13">
        <f t="shared" si="94"/>
        <v>9.9818470287452457E-2</v>
      </c>
      <c r="M185" s="13">
        <f t="shared" si="95"/>
        <v>0.10219181734220438</v>
      </c>
      <c r="N185" s="20">
        <f t="shared" si="96"/>
        <v>2.099474271372108E-3</v>
      </c>
      <c r="O185" s="21">
        <f t="shared" si="97"/>
        <v>1.1202350548661671E-2</v>
      </c>
      <c r="P185" s="22">
        <f t="shared" si="98"/>
        <v>7.3202463134718059</v>
      </c>
      <c r="Q185" s="22">
        <f t="shared" si="99"/>
        <v>8.2003965306059454E-2</v>
      </c>
      <c r="R185" s="10">
        <v>7.33</v>
      </c>
      <c r="S185" s="10">
        <v>7.42</v>
      </c>
      <c r="T185" s="10">
        <v>8183</v>
      </c>
      <c r="U185" s="10">
        <v>1480158804.3399999</v>
      </c>
      <c r="V185" s="10">
        <v>1664323747.28</v>
      </c>
    </row>
    <row r="186" spans="1:22">
      <c r="A186" s="102">
        <v>164</v>
      </c>
      <c r="B186" s="25" t="s">
        <v>248</v>
      </c>
      <c r="C186" s="25" t="s">
        <v>249</v>
      </c>
      <c r="D186" s="17">
        <v>144098333.15000001</v>
      </c>
      <c r="E186" s="17">
        <v>2426848.52</v>
      </c>
      <c r="F186" s="17">
        <v>1183927.6100000001</v>
      </c>
      <c r="G186" s="17">
        <v>423077.29</v>
      </c>
      <c r="H186" s="12">
        <f t="shared" si="100"/>
        <v>3187698.84</v>
      </c>
      <c r="I186" s="17">
        <v>119240355.01000001</v>
      </c>
      <c r="J186" s="13">
        <f t="shared" si="87"/>
        <v>1.0354549483332404E-3</v>
      </c>
      <c r="K186" s="17">
        <v>143122912.43000001</v>
      </c>
      <c r="L186" s="13">
        <f t="shared" si="94"/>
        <v>1.1726180386168394E-3</v>
      </c>
      <c r="M186" s="13">
        <f t="shared" si="95"/>
        <v>0.20028921767296909</v>
      </c>
      <c r="N186" s="20">
        <f t="shared" si="96"/>
        <v>2.9560416485160815E-3</v>
      </c>
      <c r="O186" s="21">
        <f t="shared" si="97"/>
        <v>2.2272456491262863E-2</v>
      </c>
      <c r="P186" s="22">
        <f t="shared" si="98"/>
        <v>3.0258673716929483</v>
      </c>
      <c r="Q186" s="22">
        <f t="shared" si="99"/>
        <v>6.7393499384363106E-2</v>
      </c>
      <c r="R186" s="17">
        <v>3.0154999999999998</v>
      </c>
      <c r="S186" s="17">
        <v>3.0318000000000001</v>
      </c>
      <c r="T186" s="17">
        <v>118</v>
      </c>
      <c r="U186" s="17">
        <v>39997053</v>
      </c>
      <c r="V186" s="17">
        <v>47299797</v>
      </c>
    </row>
    <row r="187" spans="1:22">
      <c r="A187" s="102">
        <v>165</v>
      </c>
      <c r="B187" s="10" t="s">
        <v>169</v>
      </c>
      <c r="C187" s="10" t="s">
        <v>114</v>
      </c>
      <c r="D187" s="29">
        <v>836337514</v>
      </c>
      <c r="E187" s="29">
        <v>11050552.1</v>
      </c>
      <c r="F187" s="29">
        <v>15032259.35</v>
      </c>
      <c r="G187" s="10">
        <v>2394820.39</v>
      </c>
      <c r="H187" s="12">
        <f t="shared" si="100"/>
        <v>23687991.059999999</v>
      </c>
      <c r="I187" s="10">
        <v>1211551548.99</v>
      </c>
      <c r="J187" s="13">
        <f t="shared" si="87"/>
        <v>1.0520826162059729E-2</v>
      </c>
      <c r="K187" s="10">
        <v>1626033587.3</v>
      </c>
      <c r="L187" s="13">
        <f t="shared" si="94"/>
        <v>1.3322229707960879E-2</v>
      </c>
      <c r="M187" s="13">
        <f t="shared" si="95"/>
        <v>0.34210846303281894</v>
      </c>
      <c r="N187" s="20">
        <f t="shared" si="96"/>
        <v>1.4727988454264079E-3</v>
      </c>
      <c r="O187" s="21">
        <f t="shared" si="97"/>
        <v>1.4567959262965465E-2</v>
      </c>
      <c r="P187" s="22">
        <f t="shared" si="98"/>
        <v>444.53207340236452</v>
      </c>
      <c r="Q187" s="22">
        <f t="shared" si="99"/>
        <v>6.4759251364072208</v>
      </c>
      <c r="R187" s="10">
        <v>440.72</v>
      </c>
      <c r="S187" s="10">
        <v>445.5</v>
      </c>
      <c r="T187" s="10">
        <v>284</v>
      </c>
      <c r="U187" s="10">
        <v>3128252.47</v>
      </c>
      <c r="V187" s="10">
        <v>3657854.37</v>
      </c>
    </row>
    <row r="188" spans="1:22">
      <c r="A188" s="102">
        <v>166</v>
      </c>
      <c r="B188" s="25" t="s">
        <v>170</v>
      </c>
      <c r="C188" s="10" t="s">
        <v>32</v>
      </c>
      <c r="D188" s="29">
        <v>2648359104.3499999</v>
      </c>
      <c r="E188" s="29">
        <v>79117135.090000004</v>
      </c>
      <c r="F188" s="29">
        <v>674993761.97000003</v>
      </c>
      <c r="G188" s="10">
        <v>7458343.5</v>
      </c>
      <c r="H188" s="12">
        <f t="shared" si="100"/>
        <v>746652553.56000006</v>
      </c>
      <c r="I188" s="10">
        <v>2667193179.6999998</v>
      </c>
      <c r="J188" s="13">
        <f t="shared" si="87"/>
        <v>2.3161272673579526E-2</v>
      </c>
      <c r="K188" s="10">
        <v>2658192863.0700002</v>
      </c>
      <c r="L188" s="13">
        <f t="shared" si="94"/>
        <v>2.1778797317885353E-2</v>
      </c>
      <c r="M188" s="13">
        <f t="shared" si="95"/>
        <v>-3.3744524762964389E-3</v>
      </c>
      <c r="N188" s="20">
        <f t="shared" si="96"/>
        <v>2.8057947200212591E-3</v>
      </c>
      <c r="O188" s="21">
        <f t="shared" si="97"/>
        <v>0.28088727644000822</v>
      </c>
      <c r="P188" s="22">
        <f t="shared" si="98"/>
        <v>3563.5000510355926</v>
      </c>
      <c r="Q188" s="22">
        <f t="shared" si="99"/>
        <v>1000.9418239292179</v>
      </c>
      <c r="R188" s="10">
        <v>552.22</v>
      </c>
      <c r="S188" s="10">
        <v>552.22</v>
      </c>
      <c r="T188" s="10">
        <v>823</v>
      </c>
      <c r="U188" s="10">
        <v>745950</v>
      </c>
      <c r="V188" s="10">
        <v>745950</v>
      </c>
    </row>
    <row r="189" spans="1:22">
      <c r="A189" s="102">
        <v>167</v>
      </c>
      <c r="B189" s="25" t="s">
        <v>171</v>
      </c>
      <c r="C189" s="10" t="s">
        <v>82</v>
      </c>
      <c r="D189" s="29">
        <v>72732398.790000007</v>
      </c>
      <c r="E189" s="29">
        <v>363476.76</v>
      </c>
      <c r="F189" s="29">
        <v>309368.12</v>
      </c>
      <c r="G189" s="10">
        <v>1066.26</v>
      </c>
      <c r="H189" s="12">
        <f t="shared" si="100"/>
        <v>671778.62</v>
      </c>
      <c r="I189" s="10">
        <v>52956009.969999999</v>
      </c>
      <c r="J189" s="13">
        <f t="shared" si="87"/>
        <v>4.5985742463465777E-4</v>
      </c>
      <c r="K189" s="10">
        <v>52956009.969999999</v>
      </c>
      <c r="L189" s="13">
        <f t="shared" si="94"/>
        <v>4.338730360477139E-4</v>
      </c>
      <c r="M189" s="13">
        <f t="shared" si="95"/>
        <v>0</v>
      </c>
      <c r="N189" s="20">
        <f t="shared" si="96"/>
        <v>2.0134825123796993E-5</v>
      </c>
      <c r="O189" s="21">
        <f t="shared" si="97"/>
        <v>1.2685597354871863E-2</v>
      </c>
      <c r="P189" s="22">
        <f t="shared" si="98"/>
        <v>3.1679292060009701</v>
      </c>
      <c r="Q189" s="22">
        <f t="shared" si="99"/>
        <v>4.0187074356067227E-2</v>
      </c>
      <c r="R189" s="10">
        <v>3.1</v>
      </c>
      <c r="S189" s="10">
        <v>3.1</v>
      </c>
      <c r="T189" s="10">
        <v>8</v>
      </c>
      <c r="U189" s="10">
        <v>16716285.789999999</v>
      </c>
      <c r="V189" s="10">
        <v>16716285.789999999</v>
      </c>
    </row>
    <row r="190" spans="1:22">
      <c r="A190" s="102">
        <v>168</v>
      </c>
      <c r="B190" s="10" t="s">
        <v>172</v>
      </c>
      <c r="C190" s="10" t="s">
        <v>42</v>
      </c>
      <c r="D190" s="29">
        <v>562163784.30999994</v>
      </c>
      <c r="E190" s="29">
        <v>9742623.2100000009</v>
      </c>
      <c r="F190" s="29">
        <v>224137796.63</v>
      </c>
      <c r="G190" s="10">
        <v>795654.89</v>
      </c>
      <c r="H190" s="12">
        <f t="shared" si="100"/>
        <v>233084764.95000002</v>
      </c>
      <c r="I190" s="10">
        <v>565040203.32000005</v>
      </c>
      <c r="J190" s="13">
        <f t="shared" si="87"/>
        <v>4.906675047100015E-3</v>
      </c>
      <c r="K190" s="10">
        <v>565476869.04999995</v>
      </c>
      <c r="L190" s="13">
        <f t="shared" si="94"/>
        <v>4.6329994674536284E-3</v>
      </c>
      <c r="M190" s="13">
        <f t="shared" si="95"/>
        <v>7.7280470917677751E-4</v>
      </c>
      <c r="N190" s="20">
        <f t="shared" si="96"/>
        <v>1.4070511696379353E-3</v>
      </c>
      <c r="O190" s="21">
        <f t="shared" si="97"/>
        <v>0.4121915107537148</v>
      </c>
      <c r="P190" s="22">
        <f t="shared" si="98"/>
        <v>4.2681441531573467</v>
      </c>
      <c r="Q190" s="22">
        <f t="shared" si="99"/>
        <v>1.7592927866045613</v>
      </c>
      <c r="R190" s="10">
        <v>4.2</v>
      </c>
      <c r="S190" s="10">
        <v>4.2699999999999996</v>
      </c>
      <c r="T190" s="10">
        <v>137</v>
      </c>
      <c r="U190" s="10">
        <v>132518910.31999999</v>
      </c>
      <c r="V190" s="10">
        <v>132487762.54000001</v>
      </c>
    </row>
    <row r="191" spans="1:22">
      <c r="A191" s="102">
        <v>169</v>
      </c>
      <c r="B191" s="10" t="s">
        <v>311</v>
      </c>
      <c r="C191" s="10" t="s">
        <v>299</v>
      </c>
      <c r="D191" s="29">
        <v>205434413.5</v>
      </c>
      <c r="E191" s="29">
        <v>1651748.97</v>
      </c>
      <c r="F191" s="29">
        <v>398867</v>
      </c>
      <c r="G191" s="10">
        <v>355438.6</v>
      </c>
      <c r="H191" s="12">
        <f t="shared" ref="H191" si="102">(E191+F191)-G191</f>
        <v>1695177.37</v>
      </c>
      <c r="I191" s="10">
        <v>218606720.69999999</v>
      </c>
      <c r="J191" s="13">
        <f t="shared" si="87"/>
        <v>1.8983288893154864E-3</v>
      </c>
      <c r="K191" s="10">
        <v>204653810.66</v>
      </c>
      <c r="L191" s="13">
        <f t="shared" si="94"/>
        <v>1.6767458541549973E-3</v>
      </c>
      <c r="M191" s="13">
        <f t="shared" si="95"/>
        <v>-6.382653742447357E-2</v>
      </c>
      <c r="N191" s="20">
        <f t="shared" si="96"/>
        <v>1.7367797787577242E-3</v>
      </c>
      <c r="O191" s="21">
        <f t="shared" si="97"/>
        <v>8.2831458868668217E-3</v>
      </c>
      <c r="P191" s="22">
        <f t="shared" si="98"/>
        <v>122.82268845042675</v>
      </c>
      <c r="Q191" s="22">
        <f t="shared" si="99"/>
        <v>1.0173582466520772</v>
      </c>
      <c r="R191" s="10">
        <v>122.39</v>
      </c>
      <c r="S191" s="10">
        <v>123.11</v>
      </c>
      <c r="T191" s="10">
        <v>113</v>
      </c>
      <c r="U191" s="10">
        <v>1753870.14</v>
      </c>
      <c r="V191" s="10">
        <v>1666254.12</v>
      </c>
    </row>
    <row r="192" spans="1:22">
      <c r="A192" s="102">
        <v>170</v>
      </c>
      <c r="B192" s="25" t="s">
        <v>173</v>
      </c>
      <c r="C192" s="25" t="s">
        <v>46</v>
      </c>
      <c r="D192" s="29">
        <v>10333398392.879999</v>
      </c>
      <c r="E192" s="29">
        <v>52535636.359999999</v>
      </c>
      <c r="F192" s="29">
        <v>76302085.379999995</v>
      </c>
      <c r="G192" s="10">
        <v>19344208.199999999</v>
      </c>
      <c r="H192" s="12">
        <f t="shared" si="100"/>
        <v>109493513.53999999</v>
      </c>
      <c r="I192" s="10">
        <v>8844473222.4500008</v>
      </c>
      <c r="J192" s="13">
        <f t="shared" si="87"/>
        <v>7.6803306756497505E-2</v>
      </c>
      <c r="K192" s="10">
        <v>10632177207.83</v>
      </c>
      <c r="L192" s="13">
        <f t="shared" si="94"/>
        <v>8.7110320576867808E-2</v>
      </c>
      <c r="M192" s="13">
        <f t="shared" si="95"/>
        <v>0.20212667735171103</v>
      </c>
      <c r="N192" s="20">
        <f t="shared" si="96"/>
        <v>1.819402350231153E-3</v>
      </c>
      <c r="O192" s="21">
        <f t="shared" si="97"/>
        <v>1.0298315330877309E-2</v>
      </c>
      <c r="P192" s="22">
        <f t="shared" si="98"/>
        <v>11883.006605643439</v>
      </c>
      <c r="Q192" s="22">
        <f t="shared" si="99"/>
        <v>122.37494910381416</v>
      </c>
      <c r="R192" s="10">
        <v>11818.57</v>
      </c>
      <c r="S192" s="10">
        <v>11927.17</v>
      </c>
      <c r="T192" s="10">
        <v>6138</v>
      </c>
      <c r="U192" s="10">
        <v>751453.85</v>
      </c>
      <c r="V192" s="10">
        <v>894737.97</v>
      </c>
    </row>
    <row r="193" spans="1:22">
      <c r="A193" s="102">
        <v>171</v>
      </c>
      <c r="B193" s="25" t="s">
        <v>294</v>
      </c>
      <c r="C193" s="25" t="s">
        <v>292</v>
      </c>
      <c r="D193" s="29">
        <v>187339054.454</v>
      </c>
      <c r="E193" s="29">
        <v>7902059.6299999999</v>
      </c>
      <c r="F193" s="29">
        <v>20806426.600000001</v>
      </c>
      <c r="G193" s="10">
        <v>2044087.54</v>
      </c>
      <c r="H193" s="12">
        <f t="shared" si="100"/>
        <v>26664398.690000001</v>
      </c>
      <c r="I193" s="10">
        <v>184615048.00999999</v>
      </c>
      <c r="J193" s="13">
        <f t="shared" si="87"/>
        <v>1.6031532695680226E-3</v>
      </c>
      <c r="K193" s="10">
        <v>193047891.72999999</v>
      </c>
      <c r="L193" s="13">
        <f t="shared" si="94"/>
        <v>1.5816575858897826E-3</v>
      </c>
      <c r="M193" s="13">
        <f t="shared" si="95"/>
        <v>4.5677986767054979E-2</v>
      </c>
      <c r="N193" s="20">
        <f t="shared" si="96"/>
        <v>1.0588499680995714E-2</v>
      </c>
      <c r="O193" s="21">
        <f t="shared" si="97"/>
        <v>0.13812323175895272</v>
      </c>
      <c r="P193" s="22">
        <f t="shared" si="98"/>
        <v>1673.557081686753</v>
      </c>
      <c r="Q193" s="22">
        <f t="shared" si="99"/>
        <v>231.15711265565594</v>
      </c>
      <c r="R193" s="10">
        <v>1656.8054</v>
      </c>
      <c r="S193" s="10">
        <v>1684.326</v>
      </c>
      <c r="T193" s="10">
        <v>53</v>
      </c>
      <c r="U193" s="10">
        <v>110727.2991</v>
      </c>
      <c r="V193" s="10">
        <v>115351.84179999999</v>
      </c>
    </row>
    <row r="194" spans="1:22">
      <c r="A194" s="102">
        <v>172</v>
      </c>
      <c r="B194" s="25" t="s">
        <v>218</v>
      </c>
      <c r="C194" s="25" t="s">
        <v>219</v>
      </c>
      <c r="D194" s="29">
        <v>805489501.78999996</v>
      </c>
      <c r="E194" s="29">
        <v>12887508.060000001</v>
      </c>
      <c r="F194" s="29">
        <v>0</v>
      </c>
      <c r="G194" s="10">
        <v>1268440</v>
      </c>
      <c r="H194" s="12">
        <f t="shared" si="100"/>
        <v>11619068.060000001</v>
      </c>
      <c r="I194" s="10">
        <v>750294152.41999996</v>
      </c>
      <c r="J194" s="13">
        <f t="shared" si="87"/>
        <v>6.5153763821285977E-3</v>
      </c>
      <c r="K194" s="10">
        <v>803334433.34000003</v>
      </c>
      <c r="L194" s="13">
        <f t="shared" si="94"/>
        <v>6.5817864629972925E-3</v>
      </c>
      <c r="M194" s="13">
        <f t="shared" si="95"/>
        <v>7.0692648675088121E-2</v>
      </c>
      <c r="N194" s="20">
        <f t="shared" si="96"/>
        <v>1.578968792270293E-3</v>
      </c>
      <c r="O194" s="21">
        <f t="shared" si="97"/>
        <v>1.4463550394188559E-2</v>
      </c>
      <c r="P194" s="22">
        <f t="shared" si="98"/>
        <v>1.528123327639338</v>
      </c>
      <c r="Q194" s="22">
        <f t="shared" si="99"/>
        <v>2.210208875784668E-2</v>
      </c>
      <c r="R194" s="10">
        <v>1.585</v>
      </c>
      <c r="S194" s="10">
        <v>1.585</v>
      </c>
      <c r="T194" s="10">
        <v>47</v>
      </c>
      <c r="U194" s="10">
        <v>525700000</v>
      </c>
      <c r="V194" s="10">
        <v>525700000</v>
      </c>
    </row>
    <row r="195" spans="1:22">
      <c r="A195" s="102">
        <v>173</v>
      </c>
      <c r="B195" s="25" t="s">
        <v>174</v>
      </c>
      <c r="C195" s="25" t="s">
        <v>50</v>
      </c>
      <c r="D195" s="29">
        <v>5005704228</v>
      </c>
      <c r="E195" s="29">
        <v>36070765</v>
      </c>
      <c r="F195" s="29">
        <v>23617688</v>
      </c>
      <c r="G195" s="10">
        <v>9459042</v>
      </c>
      <c r="H195" s="12">
        <f t="shared" si="100"/>
        <v>50229411</v>
      </c>
      <c r="I195" s="10">
        <v>5191174441.4700003</v>
      </c>
      <c r="J195" s="13">
        <f t="shared" si="87"/>
        <v>4.5078927034646686E-2</v>
      </c>
      <c r="K195" s="10">
        <v>5883474294.3500004</v>
      </c>
      <c r="L195" s="13">
        <f t="shared" si="94"/>
        <v>4.8203798889765864E-2</v>
      </c>
      <c r="M195" s="13">
        <f t="shared" si="95"/>
        <v>0.13336093030307791</v>
      </c>
      <c r="N195" s="20">
        <f t="shared" si="96"/>
        <v>1.6077306582411141E-3</v>
      </c>
      <c r="O195" s="21">
        <f t="shared" si="97"/>
        <v>8.5373723903639977E-3</v>
      </c>
      <c r="P195" s="22">
        <f t="shared" si="98"/>
        <v>2.7463328783406729</v>
      </c>
      <c r="Q195" s="22">
        <f t="shared" si="99"/>
        <v>2.3446466490294547E-2</v>
      </c>
      <c r="R195" s="10">
        <v>2.75</v>
      </c>
      <c r="S195" s="10">
        <v>2.77</v>
      </c>
      <c r="T195" s="10">
        <v>1700</v>
      </c>
      <c r="U195" s="10">
        <v>1867233475</v>
      </c>
      <c r="V195" s="10">
        <v>2142301955</v>
      </c>
    </row>
    <row r="196" spans="1:22">
      <c r="A196" s="102">
        <v>174</v>
      </c>
      <c r="B196" s="25" t="s">
        <v>326</v>
      </c>
      <c r="C196" s="25" t="s">
        <v>50</v>
      </c>
      <c r="D196" s="29">
        <v>2688550160.3299999</v>
      </c>
      <c r="E196" s="29">
        <v>24971760</v>
      </c>
      <c r="F196" s="29">
        <v>84185487.5</v>
      </c>
      <c r="G196" s="10">
        <v>6045388</v>
      </c>
      <c r="H196" s="12">
        <f>(E196+F196)-G196</f>
        <v>103111859.5</v>
      </c>
      <c r="I196" s="10">
        <v>3410030163</v>
      </c>
      <c r="J196" s="13">
        <f t="shared" si="87"/>
        <v>2.9611892768583566E-2</v>
      </c>
      <c r="K196" s="10">
        <v>3775907229</v>
      </c>
      <c r="L196" s="13">
        <f t="shared" si="94"/>
        <v>3.0936324964981884E-2</v>
      </c>
      <c r="M196" s="13">
        <f t="shared" si="95"/>
        <v>0.10729437820518188</v>
      </c>
      <c r="N196" s="20">
        <f t="shared" si="96"/>
        <v>1.6010425133249481E-3</v>
      </c>
      <c r="O196" s="21">
        <f t="shared" si="97"/>
        <v>2.7307837096227555E-2</v>
      </c>
      <c r="P196" s="22">
        <f t="shared" si="98"/>
        <v>2.2367165768429533</v>
      </c>
      <c r="Q196" s="22">
        <f t="shared" si="99"/>
        <v>6.1079891910859108E-2</v>
      </c>
      <c r="R196" s="10">
        <v>2.2400000000000002</v>
      </c>
      <c r="S196" s="10">
        <v>2.25</v>
      </c>
      <c r="T196" s="10">
        <v>520</v>
      </c>
      <c r="U196" s="10">
        <v>1569650695</v>
      </c>
      <c r="V196" s="10">
        <v>1688147380</v>
      </c>
    </row>
    <row r="197" spans="1:22">
      <c r="A197" s="102">
        <v>175</v>
      </c>
      <c r="B197" s="107" t="s">
        <v>175</v>
      </c>
      <c r="C197" s="25" t="s">
        <v>89</v>
      </c>
      <c r="D197" s="29">
        <v>11051343765.91</v>
      </c>
      <c r="E197" s="29">
        <v>244214310.47999999</v>
      </c>
      <c r="F197" s="29">
        <v>357815856.07999998</v>
      </c>
      <c r="G197" s="10">
        <v>24364115.510000002</v>
      </c>
      <c r="H197" s="12">
        <f t="shared" si="100"/>
        <v>577666051.04999995</v>
      </c>
      <c r="I197" s="10">
        <v>12972259962.74</v>
      </c>
      <c r="J197" s="13">
        <f t="shared" si="87"/>
        <v>0.11264802732563006</v>
      </c>
      <c r="K197" s="10">
        <v>12839294301.309999</v>
      </c>
      <c r="L197" s="13">
        <f t="shared" si="94"/>
        <v>0.1051934162406738</v>
      </c>
      <c r="M197" s="13">
        <f t="shared" si="95"/>
        <v>-1.0249999754238298E-2</v>
      </c>
      <c r="N197" s="20">
        <f t="shared" si="96"/>
        <v>1.8976210793387701E-3</v>
      </c>
      <c r="O197" s="21">
        <f t="shared" si="97"/>
        <v>4.4992040644403673E-2</v>
      </c>
      <c r="P197" s="22">
        <f t="shared" si="98"/>
        <v>818.30797196020012</v>
      </c>
      <c r="Q197" s="22">
        <f t="shared" si="99"/>
        <v>36.817345534072864</v>
      </c>
      <c r="R197" s="10">
        <v>812.37</v>
      </c>
      <c r="S197" s="10">
        <v>821.35</v>
      </c>
      <c r="T197" s="10">
        <v>42</v>
      </c>
      <c r="U197" s="10">
        <v>15683983.710000001</v>
      </c>
      <c r="V197" s="10">
        <v>15690051.595799999</v>
      </c>
    </row>
    <row r="198" spans="1:22">
      <c r="A198" s="102">
        <v>176</v>
      </c>
      <c r="B198" s="25" t="s">
        <v>176</v>
      </c>
      <c r="C198" s="25" t="s">
        <v>93</v>
      </c>
      <c r="D198" s="29">
        <v>7022923389.71</v>
      </c>
      <c r="E198" s="29">
        <v>29443824.09</v>
      </c>
      <c r="F198" s="29">
        <v>147750647.5</v>
      </c>
      <c r="G198" s="10">
        <v>68454595.370000005</v>
      </c>
      <c r="H198" s="12">
        <f t="shared" si="100"/>
        <v>108739876.22</v>
      </c>
      <c r="I198" s="10">
        <v>7356892429.29</v>
      </c>
      <c r="J198" s="13">
        <f t="shared" si="87"/>
        <v>6.3885508137113731E-2</v>
      </c>
      <c r="K198" s="10">
        <v>7197123908.71</v>
      </c>
      <c r="L198" s="13">
        <f t="shared" si="94"/>
        <v>5.8966640478627388E-2</v>
      </c>
      <c r="M198" s="13">
        <f t="shared" si="95"/>
        <v>-2.1716848807509188E-2</v>
      </c>
      <c r="N198" s="20">
        <f t="shared" si="96"/>
        <v>9.5113820796048631E-3</v>
      </c>
      <c r="O198" s="21">
        <f t="shared" si="97"/>
        <v>1.5108795902263456E-2</v>
      </c>
      <c r="P198" s="22">
        <f t="shared" si="98"/>
        <v>42.126867331102034</v>
      </c>
      <c r="Q198" s="22">
        <f t="shared" si="99"/>
        <v>0.6364862405073507</v>
      </c>
      <c r="R198" s="10">
        <v>42.126899999999999</v>
      </c>
      <c r="S198" s="10">
        <v>42.692999999999998</v>
      </c>
      <c r="T198" s="10">
        <v>6275</v>
      </c>
      <c r="U198" s="10">
        <v>170791361.41999999</v>
      </c>
      <c r="V198" s="10">
        <v>170844032.91</v>
      </c>
    </row>
    <row r="199" spans="1:22" ht="15" customHeight="1">
      <c r="A199" s="118" t="s">
        <v>51</v>
      </c>
      <c r="B199" s="118"/>
      <c r="C199" s="118"/>
      <c r="D199" s="118"/>
      <c r="E199" s="118"/>
      <c r="F199" s="118"/>
      <c r="G199" s="118"/>
      <c r="H199" s="118"/>
      <c r="I199" s="36">
        <f>SUM(I170:I198)</f>
        <v>115157453447.82001</v>
      </c>
      <c r="J199" s="34">
        <f>(I199/$I$243)</f>
        <v>1.3862474084753284E-2</v>
      </c>
      <c r="K199" s="36">
        <f>SUM(K170:K198)</f>
        <v>122054162324.52002</v>
      </c>
      <c r="L199" s="34">
        <f>(K199/$K$243)</f>
        <v>1.4198865112697041E-2</v>
      </c>
      <c r="M199" s="34">
        <f t="shared" si="89"/>
        <v>5.9889383363492317E-2</v>
      </c>
      <c r="N199" s="20"/>
      <c r="O199" s="20"/>
      <c r="P199" s="35"/>
      <c r="Q199" s="35"/>
      <c r="R199" s="36"/>
      <c r="S199" s="36"/>
      <c r="T199" s="36">
        <f>SUM(T170:T198)</f>
        <v>85630</v>
      </c>
      <c r="U199" s="36"/>
      <c r="V199" s="39"/>
    </row>
    <row r="200" spans="1:22" ht="6" customHeight="1">
      <c r="A200" s="124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U200" s="124"/>
      <c r="V200" s="124"/>
    </row>
    <row r="201" spans="1:22">
      <c r="A201" s="117" t="s">
        <v>177</v>
      </c>
      <c r="B201" s="117"/>
      <c r="C201" s="117"/>
      <c r="D201" s="117"/>
      <c r="E201" s="117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7"/>
      <c r="U201" s="117"/>
      <c r="V201" s="117"/>
    </row>
    <row r="202" spans="1:22">
      <c r="A202" s="102">
        <v>177</v>
      </c>
      <c r="B202" s="10" t="s">
        <v>327</v>
      </c>
      <c r="C202" s="25" t="s">
        <v>328</v>
      </c>
      <c r="D202" s="10">
        <f>125000000+443820321.92+6538891.15</f>
        <v>575359213.07000005</v>
      </c>
      <c r="E202" s="10">
        <v>8209797.5499999998</v>
      </c>
      <c r="F202" s="25">
        <v>0</v>
      </c>
      <c r="G202" s="10">
        <v>1655455.62</v>
      </c>
      <c r="H202" s="12">
        <f>(E202+F202)-G202</f>
        <v>6554341.9299999997</v>
      </c>
      <c r="I202" s="10">
        <v>0</v>
      </c>
      <c r="J202" s="13">
        <f t="shared" ref="J202:J204" si="103">(I202/$I$205)</f>
        <v>0</v>
      </c>
      <c r="K202" s="10">
        <v>594744908.17999995</v>
      </c>
      <c r="L202" s="13">
        <f t="shared" ref="L202" si="104">(K202/$K$205)</f>
        <v>3.9945603552141516E-2</v>
      </c>
      <c r="M202" s="13" t="e">
        <f t="shared" ref="M202" si="105">((K202-I202)/I202)</f>
        <v>#DIV/0!</v>
      </c>
      <c r="N202" s="20">
        <f t="shared" ref="N202" si="106">(G202/K202)</f>
        <v>2.7834716989270556E-3</v>
      </c>
      <c r="O202" s="21">
        <f t="shared" ref="O202" si="107">H202/K202</f>
        <v>1.1020425462837798E-2</v>
      </c>
      <c r="P202" s="22">
        <f t="shared" ref="P202" si="108">K202/V202</f>
        <v>1027.5926019264825</v>
      </c>
      <c r="Q202" s="22">
        <f t="shared" ref="Q202" si="109">H202/V202</f>
        <v>11.324507675694354</v>
      </c>
      <c r="R202" s="10">
        <v>1000</v>
      </c>
      <c r="S202" s="10">
        <v>1000</v>
      </c>
      <c r="T202" s="10">
        <v>34</v>
      </c>
      <c r="U202" s="10">
        <v>577735</v>
      </c>
      <c r="V202" s="10">
        <v>578775</v>
      </c>
    </row>
    <row r="203" spans="1:22">
      <c r="A203" s="102">
        <v>178</v>
      </c>
      <c r="B203" s="10" t="s">
        <v>178</v>
      </c>
      <c r="C203" s="25" t="s">
        <v>46</v>
      </c>
      <c r="D203" s="10">
        <v>12285904378.219999</v>
      </c>
      <c r="E203" s="10">
        <v>27822707.469999999</v>
      </c>
      <c r="F203" s="25">
        <v>17293606.890000001</v>
      </c>
      <c r="G203" s="10">
        <v>43469234.75</v>
      </c>
      <c r="H203" s="12">
        <f>(E203+F203)-G203</f>
        <v>1647079.6099999994</v>
      </c>
      <c r="I203" s="10">
        <v>11634504057.34</v>
      </c>
      <c r="J203" s="13">
        <f t="shared" si="103"/>
        <v>0.86468818059023811</v>
      </c>
      <c r="K203" s="10">
        <v>12518507604.719999</v>
      </c>
      <c r="L203" s="13">
        <f t="shared" ref="L203:L204" si="110">(K203/$K$205)</f>
        <v>0.84079633968260981</v>
      </c>
      <c r="M203" s="13">
        <f t="shared" ref="M203:M204" si="111">((K203-I203)/I203)</f>
        <v>7.5981197223640759E-2</v>
      </c>
      <c r="N203" s="20">
        <f t="shared" ref="N203:N204" si="112">(G203/K203)</f>
        <v>3.4723975191427998E-3</v>
      </c>
      <c r="O203" s="21">
        <f t="shared" ref="O203:O204" si="113">H203/K203</f>
        <v>1.3157156284180247E-4</v>
      </c>
      <c r="P203" s="22">
        <f t="shared" ref="P203:P204" si="114">K203/V203</f>
        <v>5.9216521219681004</v>
      </c>
      <c r="Q203" s="22">
        <f t="shared" ref="Q203:Q204" si="115">H203/V203</f>
        <v>7.7912102429281876E-4</v>
      </c>
      <c r="R203" s="10">
        <v>5.87</v>
      </c>
      <c r="S203" s="10">
        <v>5.95</v>
      </c>
      <c r="T203" s="10">
        <v>14203</v>
      </c>
      <c r="U203" s="10">
        <v>1967704428.77</v>
      </c>
      <c r="V203" s="10">
        <v>2114022800.8800001</v>
      </c>
    </row>
    <row r="204" spans="1:22">
      <c r="A204" s="102">
        <v>179</v>
      </c>
      <c r="B204" s="10" t="s">
        <v>179</v>
      </c>
      <c r="C204" s="25" t="s">
        <v>93</v>
      </c>
      <c r="D204" s="10">
        <v>1770543893.26</v>
      </c>
      <c r="E204" s="10">
        <v>7212489.3600000003</v>
      </c>
      <c r="F204" s="10">
        <v>43758788.899999999</v>
      </c>
      <c r="G204" s="10">
        <v>15200995.84</v>
      </c>
      <c r="H204" s="12">
        <f>(E204+F204)-G204</f>
        <v>35770282.420000002</v>
      </c>
      <c r="I204" s="10">
        <v>1820640026.3900001</v>
      </c>
      <c r="J204" s="13">
        <f t="shared" si="103"/>
        <v>0.13531181940976192</v>
      </c>
      <c r="K204" s="10">
        <v>1775617732.95</v>
      </c>
      <c r="L204" s="13">
        <f t="shared" si="110"/>
        <v>0.11925805676524859</v>
      </c>
      <c r="M204" s="13">
        <f t="shared" si="111"/>
        <v>-2.4728827658079738E-2</v>
      </c>
      <c r="N204" s="20">
        <f t="shared" si="112"/>
        <v>8.5609619446327338E-3</v>
      </c>
      <c r="O204" s="21">
        <f t="shared" si="113"/>
        <v>2.0145260861171667E-2</v>
      </c>
      <c r="P204" s="22">
        <f t="shared" si="114"/>
        <v>48.668441929944592</v>
      </c>
      <c r="Q204" s="22">
        <f t="shared" si="115"/>
        <v>0.98043845838551891</v>
      </c>
      <c r="R204" s="10">
        <v>48.666899999999998</v>
      </c>
      <c r="S204" s="10">
        <v>49.162500000000001</v>
      </c>
      <c r="T204" s="10">
        <v>1548</v>
      </c>
      <c r="U204" s="10">
        <v>36272670</v>
      </c>
      <c r="V204" s="10">
        <v>36483965.020000003</v>
      </c>
    </row>
    <row r="205" spans="1:22" ht="15" customHeight="1">
      <c r="A205" s="118" t="s">
        <v>51</v>
      </c>
      <c r="B205" s="118"/>
      <c r="C205" s="118"/>
      <c r="D205" s="118"/>
      <c r="E205" s="118"/>
      <c r="F205" s="118"/>
      <c r="G205" s="118"/>
      <c r="H205" s="118"/>
      <c r="I205" s="36">
        <f>SUM(I202:I204)</f>
        <v>13455144083.73</v>
      </c>
      <c r="J205" s="34">
        <f>(I205/$I$243)</f>
        <v>1.6197091945233488E-3</v>
      </c>
      <c r="K205" s="36">
        <f>SUM(K202:K204)</f>
        <v>14888870245.85</v>
      </c>
      <c r="L205" s="34">
        <f>(K205/$K$243)</f>
        <v>1.7320594093234169E-3</v>
      </c>
      <c r="M205" s="34">
        <f t="shared" ref="M205" si="116">((K205-I205)/I205)</f>
        <v>0.10655598730106999</v>
      </c>
      <c r="N205" s="20"/>
      <c r="O205" s="40"/>
      <c r="P205" s="35"/>
      <c r="Q205" s="35"/>
      <c r="R205" s="36"/>
      <c r="S205" s="36"/>
      <c r="T205" s="36">
        <f>SUM(T202:T204)</f>
        <v>15785</v>
      </c>
      <c r="U205" s="36"/>
      <c r="V205" s="39"/>
    </row>
    <row r="206" spans="1:22" ht="4.95" customHeight="1">
      <c r="A206" s="120"/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</row>
    <row r="207" spans="1:22">
      <c r="A207" s="117" t="s">
        <v>180</v>
      </c>
      <c r="B207" s="117"/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</row>
    <row r="208" spans="1:22" ht="13.05" customHeight="1">
      <c r="A208" s="121" t="s">
        <v>181</v>
      </c>
      <c r="B208" s="121"/>
      <c r="C208" s="121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</row>
    <row r="209" spans="1:22" ht="15" customHeight="1">
      <c r="A209" s="60">
        <v>180</v>
      </c>
      <c r="B209" s="76" t="s">
        <v>182</v>
      </c>
      <c r="C209" s="19" t="s">
        <v>117</v>
      </c>
      <c r="D209" s="68">
        <v>10169421698.99</v>
      </c>
      <c r="E209" s="29">
        <v>83478398.769999996</v>
      </c>
      <c r="F209" s="29">
        <v>321044982.74000001</v>
      </c>
      <c r="G209" s="17">
        <v>35788286.409999996</v>
      </c>
      <c r="H209" s="12">
        <f>(E209+F209)-G209</f>
        <v>368735095.10000002</v>
      </c>
      <c r="I209" s="29">
        <v>12136533901.1</v>
      </c>
      <c r="J209" s="13">
        <f>(I209/$I$233)</f>
        <v>0.11627140256974927</v>
      </c>
      <c r="K209" s="29">
        <v>13519212301.6</v>
      </c>
      <c r="L209" s="13">
        <f>(K209/$K$233)</f>
        <v>0.11883305839776409</v>
      </c>
      <c r="M209" s="13">
        <f>((K209-I209)/I209)</f>
        <v>0.11392695902861362</v>
      </c>
      <c r="N209" s="20">
        <f>(G209/K209)</f>
        <v>2.647216835685349E-3</v>
      </c>
      <c r="O209" s="21">
        <f>H209/K209</f>
        <v>2.7274894932773575E-2</v>
      </c>
      <c r="P209" s="22">
        <f>K209/V209</f>
        <v>3.6976776943072398</v>
      </c>
      <c r="Q209" s="22">
        <f>H209/V209</f>
        <v>0.10085377060749041</v>
      </c>
      <c r="R209" s="29">
        <v>3.66</v>
      </c>
      <c r="S209" s="29">
        <v>3.73</v>
      </c>
      <c r="T209" s="29">
        <v>16124</v>
      </c>
      <c r="U209" s="10">
        <v>3380917620.1999998</v>
      </c>
      <c r="V209" s="10">
        <v>3656135937</v>
      </c>
    </row>
    <row r="210" spans="1:22">
      <c r="A210" s="60">
        <v>181</v>
      </c>
      <c r="B210" s="19" t="s">
        <v>183</v>
      </c>
      <c r="C210" s="19" t="s">
        <v>46</v>
      </c>
      <c r="D210" s="17">
        <v>20915828599.23</v>
      </c>
      <c r="E210" s="17">
        <v>63639804.909999996</v>
      </c>
      <c r="F210" s="17">
        <v>659354061.25</v>
      </c>
      <c r="G210" s="17">
        <v>66413106.32</v>
      </c>
      <c r="H210" s="12">
        <f>(E210+F210)-G210</f>
        <v>656580759.83999991</v>
      </c>
      <c r="I210" s="17">
        <v>17353724809.34</v>
      </c>
      <c r="J210" s="13">
        <f>(I210/$I$233)</f>
        <v>0.16625355639706471</v>
      </c>
      <c r="K210" s="17">
        <v>21597398432.900002</v>
      </c>
      <c r="L210" s="13">
        <f>(K210/$K$233)</f>
        <v>0.1898398258686152</v>
      </c>
      <c r="M210" s="13">
        <f>((K210-I210)/I210)</f>
        <v>0.24453964034718362</v>
      </c>
      <c r="N210" s="20">
        <f>(G210/K210)</f>
        <v>3.0750512162997746E-3</v>
      </c>
      <c r="O210" s="21">
        <f>H210/K210</f>
        <v>3.0400918975491496E-2</v>
      </c>
      <c r="P210" s="22">
        <f>K210/V210</f>
        <v>1259.5419011761303</v>
      </c>
      <c r="Q210" s="22">
        <f>H210/V210</f>
        <v>38.291231283892053</v>
      </c>
      <c r="R210" s="17">
        <v>1250.26</v>
      </c>
      <c r="S210" s="17">
        <v>1265.9100000000001</v>
      </c>
      <c r="T210" s="17">
        <v>5690</v>
      </c>
      <c r="U210" s="17">
        <v>14313507.09</v>
      </c>
      <c r="V210" s="17">
        <v>17147026.559999999</v>
      </c>
    </row>
    <row r="211" spans="1:22" ht="7.05" customHeight="1">
      <c r="A211" s="120"/>
      <c r="B211" s="120"/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</row>
    <row r="212" spans="1:22">
      <c r="A212" s="122" t="s">
        <v>141</v>
      </c>
      <c r="B212" s="122"/>
      <c r="C212" s="122"/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</row>
    <row r="213" spans="1:22">
      <c r="A213" s="104">
        <v>182</v>
      </c>
      <c r="B213" s="74" t="s">
        <v>265</v>
      </c>
      <c r="C213" s="75" t="s">
        <v>58</v>
      </c>
      <c r="D213" s="50">
        <v>886448819</v>
      </c>
      <c r="E213" s="50">
        <v>19443770</v>
      </c>
      <c r="F213" s="10">
        <v>0</v>
      </c>
      <c r="G213" s="50">
        <v>3203799</v>
      </c>
      <c r="H213" s="50">
        <f>(E213+F213)-G213</f>
        <v>16239971</v>
      </c>
      <c r="I213" s="50">
        <v>1399804142</v>
      </c>
      <c r="J213" s="13">
        <f t="shared" ref="J213:J226" si="117">(I213/$I$233)</f>
        <v>1.3410516729041798E-2</v>
      </c>
      <c r="K213" s="50">
        <v>1528381403</v>
      </c>
      <c r="L213" s="13">
        <f t="shared" ref="L213" si="118">(K213/$K$233)</f>
        <v>1.3434380085536537E-2</v>
      </c>
      <c r="M213" s="13">
        <f t="shared" ref="M213:M233" si="119">((K213-I213)/I213)</f>
        <v>9.1853750922820179E-2</v>
      </c>
      <c r="N213" s="20">
        <f>(G213/K213)</f>
        <v>2.0962038622763849E-3</v>
      </c>
      <c r="O213" s="21">
        <f>H213/K213</f>
        <v>1.0625601023490076E-2</v>
      </c>
      <c r="P213" s="22">
        <f>K213/V213</f>
        <v>1.1727313398088226</v>
      </c>
      <c r="Q213" s="22">
        <f>H213/V213</f>
        <v>1.2460975324551517E-2</v>
      </c>
      <c r="R213" s="50">
        <v>1.1727000000000001</v>
      </c>
      <c r="S213" s="50">
        <v>1.1727000000000001</v>
      </c>
      <c r="T213" s="50">
        <v>904</v>
      </c>
      <c r="U213" s="50">
        <v>1206923282</v>
      </c>
      <c r="V213" s="50">
        <v>1303266444</v>
      </c>
    </row>
    <row r="214" spans="1:22">
      <c r="A214" s="104">
        <v>183</v>
      </c>
      <c r="B214" s="74" t="s">
        <v>184</v>
      </c>
      <c r="C214" s="75" t="s">
        <v>185</v>
      </c>
      <c r="D214" s="50">
        <v>255861372</v>
      </c>
      <c r="E214" s="50">
        <v>3414736</v>
      </c>
      <c r="F214" s="10">
        <v>0</v>
      </c>
      <c r="G214" s="50">
        <v>1503506</v>
      </c>
      <c r="H214" s="50">
        <f>(E214+F214)-G214</f>
        <v>1911230</v>
      </c>
      <c r="I214" s="50">
        <v>374656959</v>
      </c>
      <c r="J214" s="13">
        <f t="shared" si="117"/>
        <v>3.5893188665257051E-3</v>
      </c>
      <c r="K214" s="50">
        <v>371320825</v>
      </c>
      <c r="L214" s="13">
        <f t="shared" ref="L214:L226" si="120">(K214/$K$233)</f>
        <v>3.2638875917577474E-3</v>
      </c>
      <c r="M214" s="13">
        <f t="shared" ref="M214:M226" si="121">((K214-I214)/I214)</f>
        <v>-8.9045029589320934E-3</v>
      </c>
      <c r="N214" s="20">
        <f t="shared" ref="N214:N226" si="122">(G214/K214)</f>
        <v>4.0490753514834509E-3</v>
      </c>
      <c r="O214" s="21">
        <f t="shared" ref="O214:O226" si="123">H214/K214</f>
        <v>5.1471123387706571E-3</v>
      </c>
      <c r="P214" s="22">
        <f t="shared" ref="P214:P226" si="124">K214/V214</f>
        <v>1134.4344796192083</v>
      </c>
      <c r="Q214" s="22">
        <f t="shared" ref="Q214:Q226" si="125">H214/V214</f>
        <v>5.8390617075748965</v>
      </c>
      <c r="R214" s="50">
        <v>1134.43</v>
      </c>
      <c r="S214" s="50">
        <v>1134.43</v>
      </c>
      <c r="T214" s="50">
        <v>19</v>
      </c>
      <c r="U214" s="50">
        <v>327318</v>
      </c>
      <c r="V214" s="50">
        <v>327318</v>
      </c>
    </row>
    <row r="215" spans="1:22" ht="15" customHeight="1">
      <c r="A215" s="104">
        <v>184</v>
      </c>
      <c r="B215" s="74" t="s">
        <v>186</v>
      </c>
      <c r="C215" s="75" t="s">
        <v>62</v>
      </c>
      <c r="D215" s="50">
        <v>123234195.2</v>
      </c>
      <c r="E215" s="50">
        <v>5187975.2300000004</v>
      </c>
      <c r="F215" s="10">
        <v>0</v>
      </c>
      <c r="G215" s="50">
        <v>558603.80000000005</v>
      </c>
      <c r="H215" s="50">
        <f t="shared" ref="H215:H225" si="126">(E215+F215)-G215</f>
        <v>4629371.4300000006</v>
      </c>
      <c r="I215" s="50">
        <v>315089560.37</v>
      </c>
      <c r="J215" s="13">
        <f t="shared" si="117"/>
        <v>3.018646461819307E-3</v>
      </c>
      <c r="K215" s="50">
        <v>330707423.74000001</v>
      </c>
      <c r="L215" s="13">
        <f t="shared" si="120"/>
        <v>2.9068982512552525E-3</v>
      </c>
      <c r="M215" s="13">
        <f t="shared" si="121"/>
        <v>4.9566425976349159E-2</v>
      </c>
      <c r="N215" s="20">
        <f t="shared" si="122"/>
        <v>1.6891178120004063E-3</v>
      </c>
      <c r="O215" s="21">
        <f t="shared" si="123"/>
        <v>1.3998389808266239E-2</v>
      </c>
      <c r="P215" s="22">
        <f t="shared" si="124"/>
        <v>125.93566105598509</v>
      </c>
      <c r="Q215" s="22">
        <f t="shared" si="125"/>
        <v>1.7628964742233733</v>
      </c>
      <c r="R215" s="50">
        <v>127</v>
      </c>
      <c r="S215" s="50">
        <v>127</v>
      </c>
      <c r="T215" s="50">
        <v>82</v>
      </c>
      <c r="U215" s="50">
        <v>2577161</v>
      </c>
      <c r="V215" s="50">
        <v>2626003</v>
      </c>
    </row>
    <row r="216" spans="1:22" ht="15" customHeight="1">
      <c r="A216" s="104">
        <v>185</v>
      </c>
      <c r="B216" s="74" t="s">
        <v>307</v>
      </c>
      <c r="C216" s="75" t="s">
        <v>308</v>
      </c>
      <c r="D216" s="50">
        <v>49995000</v>
      </c>
      <c r="E216" s="50">
        <v>783414.8</v>
      </c>
      <c r="F216" s="10">
        <v>5000</v>
      </c>
      <c r="G216" s="50">
        <v>118154.73</v>
      </c>
      <c r="H216" s="50">
        <f t="shared" ref="H216" si="127">(E216+F216)-G216</f>
        <v>670260.07000000007</v>
      </c>
      <c r="I216" s="50">
        <v>55402992.369999997</v>
      </c>
      <c r="J216" s="13">
        <f t="shared" si="117"/>
        <v>5.3077622341887601E-4</v>
      </c>
      <c r="K216" s="50">
        <v>54526960.560000002</v>
      </c>
      <c r="L216" s="13">
        <f t="shared" si="120"/>
        <v>4.7928868516342461E-4</v>
      </c>
      <c r="M216" s="13">
        <f t="shared" si="121"/>
        <v>-1.581199448848461E-2</v>
      </c>
      <c r="N216" s="20">
        <f t="shared" si="122"/>
        <v>2.1669047529246695E-3</v>
      </c>
      <c r="O216" s="21">
        <f t="shared" si="123"/>
        <v>1.2292269055827235E-2</v>
      </c>
      <c r="P216" s="22">
        <f t="shared" si="124"/>
        <v>106.63960056324807</v>
      </c>
      <c r="Q216" s="22">
        <f t="shared" si="125"/>
        <v>1.3108426621293907</v>
      </c>
      <c r="R216" s="50">
        <v>106.64</v>
      </c>
      <c r="S216" s="50">
        <v>106.64</v>
      </c>
      <c r="T216" s="50">
        <v>14</v>
      </c>
      <c r="U216" s="50">
        <v>511320</v>
      </c>
      <c r="V216" s="50">
        <v>511320</v>
      </c>
    </row>
    <row r="217" spans="1:22" ht="15" customHeight="1">
      <c r="A217" s="104">
        <v>186</v>
      </c>
      <c r="B217" s="74" t="s">
        <v>187</v>
      </c>
      <c r="C217" s="75" t="s">
        <v>163</v>
      </c>
      <c r="D217" s="50">
        <v>59172077.659999996</v>
      </c>
      <c r="E217" s="50">
        <v>731095.56</v>
      </c>
      <c r="F217" s="10">
        <v>0</v>
      </c>
      <c r="G217" s="50">
        <v>211784.5</v>
      </c>
      <c r="H217" s="50">
        <f t="shared" si="126"/>
        <v>519311.06000000006</v>
      </c>
      <c r="I217" s="50">
        <v>74089173.629999995</v>
      </c>
      <c r="J217" s="13">
        <f t="shared" si="117"/>
        <v>7.0979508675149882E-4</v>
      </c>
      <c r="K217" s="50">
        <v>75196022.349999994</v>
      </c>
      <c r="L217" s="13">
        <f t="shared" si="120"/>
        <v>6.6096848809302103E-4</v>
      </c>
      <c r="M217" s="13">
        <f t="shared" si="121"/>
        <v>1.4939412410341914E-2</v>
      </c>
      <c r="N217" s="20">
        <f t="shared" si="122"/>
        <v>2.8164322178405761E-3</v>
      </c>
      <c r="O217" s="21">
        <f t="shared" si="123"/>
        <v>6.9060974739177826E-3</v>
      </c>
      <c r="P217" s="22">
        <f t="shared" si="124"/>
        <v>107.37579711469398</v>
      </c>
      <c r="Q217" s="22">
        <f t="shared" si="125"/>
        <v>0.74154772121369639</v>
      </c>
      <c r="R217" s="50">
        <v>103.93</v>
      </c>
      <c r="S217" s="50">
        <v>104.95</v>
      </c>
      <c r="T217" s="50">
        <v>24</v>
      </c>
      <c r="U217" s="50">
        <v>699743</v>
      </c>
      <c r="V217" s="50">
        <v>700307</v>
      </c>
    </row>
    <row r="218" spans="1:22" ht="15" customHeight="1">
      <c r="A218" s="104">
        <v>187</v>
      </c>
      <c r="B218" s="19" t="s">
        <v>252</v>
      </c>
      <c r="C218" s="76" t="s">
        <v>69</v>
      </c>
      <c r="D218" s="16">
        <v>232928647.37</v>
      </c>
      <c r="E218" s="29">
        <v>3793027.83</v>
      </c>
      <c r="F218" s="29">
        <v>0</v>
      </c>
      <c r="G218" s="10">
        <v>793129.34</v>
      </c>
      <c r="H218" s="12">
        <f t="shared" si="126"/>
        <v>2999898.49</v>
      </c>
      <c r="I218" s="17">
        <v>260540090.78999999</v>
      </c>
      <c r="J218" s="13">
        <f t="shared" si="117"/>
        <v>2.4960472263878784E-3</v>
      </c>
      <c r="K218" s="17">
        <v>319145381.69999999</v>
      </c>
      <c r="L218" s="13">
        <f t="shared" si="120"/>
        <v>2.8052686010740712E-3</v>
      </c>
      <c r="M218" s="13">
        <f t="shared" si="121"/>
        <v>0.22493770817496536</v>
      </c>
      <c r="N218" s="20">
        <f t="shared" si="122"/>
        <v>2.4851662768084481E-3</v>
      </c>
      <c r="O218" s="21">
        <f t="shared" si="123"/>
        <v>9.3997866239528931E-3</v>
      </c>
      <c r="P218" s="22">
        <f t="shared" si="124"/>
        <v>1.1898181976264111</v>
      </c>
      <c r="Q218" s="22">
        <f t="shared" si="125"/>
        <v>1.1184037178984477E-2</v>
      </c>
      <c r="R218" s="10">
        <v>1.2064999999999999</v>
      </c>
      <c r="S218" s="10">
        <v>1.2064999999999999</v>
      </c>
      <c r="T218" s="10">
        <v>58</v>
      </c>
      <c r="U218" s="10">
        <v>233532401.88</v>
      </c>
      <c r="V218" s="10">
        <v>268230375.31</v>
      </c>
    </row>
    <row r="219" spans="1:22" ht="15" customHeight="1">
      <c r="A219" s="104">
        <v>188</v>
      </c>
      <c r="B219" s="75" t="s">
        <v>188</v>
      </c>
      <c r="C219" s="75" t="s">
        <v>72</v>
      </c>
      <c r="D219" s="50">
        <v>5743661744.3599997</v>
      </c>
      <c r="E219" s="50">
        <v>71777151.469999999</v>
      </c>
      <c r="F219" s="10">
        <v>0</v>
      </c>
      <c r="G219" s="50">
        <v>9284985.1500000004</v>
      </c>
      <c r="H219" s="50">
        <f t="shared" si="126"/>
        <v>62492166.32</v>
      </c>
      <c r="I219" s="50">
        <v>5329114408.1199999</v>
      </c>
      <c r="J219" s="13">
        <f t="shared" si="117"/>
        <v>5.1054412382979607E-2</v>
      </c>
      <c r="K219" s="50">
        <v>5705461971.9200001</v>
      </c>
      <c r="L219" s="13">
        <f t="shared" si="120"/>
        <v>5.0150665628288904E-2</v>
      </c>
      <c r="M219" s="13">
        <f t="shared" si="121"/>
        <v>7.0621032873033729E-2</v>
      </c>
      <c r="N219" s="20">
        <f t="shared" si="122"/>
        <v>1.6273853363140409E-3</v>
      </c>
      <c r="O219" s="21">
        <f t="shared" si="123"/>
        <v>1.0953042300090934E-2</v>
      </c>
      <c r="P219" s="22">
        <f t="shared" si="124"/>
        <v>147.0875471771854</v>
      </c>
      <c r="Q219" s="22">
        <f t="shared" si="125"/>
        <v>1.6110561260483329</v>
      </c>
      <c r="R219" s="50">
        <v>147.08000000000001</v>
      </c>
      <c r="S219" s="50">
        <v>147.08000000000001</v>
      </c>
      <c r="T219" s="50">
        <v>795</v>
      </c>
      <c r="U219" s="50">
        <v>36642735</v>
      </c>
      <c r="V219" s="50">
        <v>38789565</v>
      </c>
    </row>
    <row r="220" spans="1:22" ht="15" customHeight="1">
      <c r="A220" s="104">
        <v>189</v>
      </c>
      <c r="B220" s="75" t="s">
        <v>214</v>
      </c>
      <c r="C220" s="75" t="s">
        <v>60</v>
      </c>
      <c r="D220" s="50">
        <v>979397236.71000004</v>
      </c>
      <c r="E220" s="50">
        <v>11608156.960000001</v>
      </c>
      <c r="F220" s="10">
        <v>0</v>
      </c>
      <c r="G220" s="50">
        <v>1545023.58</v>
      </c>
      <c r="H220" s="50">
        <f t="shared" si="126"/>
        <v>10063133.380000001</v>
      </c>
      <c r="I220" s="50">
        <v>1066372057.61</v>
      </c>
      <c r="J220" s="13">
        <f t="shared" si="117"/>
        <v>1.0216143736744015E-2</v>
      </c>
      <c r="K220" s="50">
        <v>973100290.74000001</v>
      </c>
      <c r="L220" s="13">
        <f t="shared" si="120"/>
        <v>8.5534926959244546E-3</v>
      </c>
      <c r="M220" s="13">
        <f t="shared" si="121"/>
        <v>-8.7466439320479566E-2</v>
      </c>
      <c r="N220" s="20">
        <f t="shared" si="122"/>
        <v>1.5877331398442781E-3</v>
      </c>
      <c r="O220" s="21">
        <f t="shared" si="123"/>
        <v>1.03413116569387E-2</v>
      </c>
      <c r="P220" s="22">
        <f t="shared" si="124"/>
        <v>1363.1706815820553</v>
      </c>
      <c r="Q220" s="22">
        <f t="shared" si="125"/>
        <v>14.096972859841582</v>
      </c>
      <c r="R220" s="50">
        <v>1363.17</v>
      </c>
      <c r="S220" s="50">
        <v>1363.17</v>
      </c>
      <c r="T220" s="50">
        <v>348</v>
      </c>
      <c r="U220" s="50">
        <v>789991.74</v>
      </c>
      <c r="V220" s="50">
        <v>713850.66</v>
      </c>
    </row>
    <row r="221" spans="1:22" ht="15" customHeight="1">
      <c r="A221" s="104">
        <v>190</v>
      </c>
      <c r="B221" s="74" t="s">
        <v>116</v>
      </c>
      <c r="C221" s="75" t="s">
        <v>117</v>
      </c>
      <c r="D221" s="50">
        <v>20450897177.66</v>
      </c>
      <c r="E221" s="50">
        <v>669486089.63</v>
      </c>
      <c r="F221" s="10">
        <v>0</v>
      </c>
      <c r="G221" s="50">
        <v>73597765.099999994</v>
      </c>
      <c r="H221" s="50">
        <f t="shared" si="126"/>
        <v>595888324.52999997</v>
      </c>
      <c r="I221" s="50">
        <v>43498326976.330002</v>
      </c>
      <c r="J221" s="13">
        <f t="shared" si="117"/>
        <v>0.41672618625627961</v>
      </c>
      <c r="K221" s="50">
        <v>45501826920</v>
      </c>
      <c r="L221" s="13">
        <f t="shared" si="120"/>
        <v>0.39995830636888369</v>
      </c>
      <c r="M221" s="13">
        <f t="shared" si="121"/>
        <v>4.6059241422324593E-2</v>
      </c>
      <c r="N221" s="20">
        <f t="shared" si="122"/>
        <v>1.6174683541695471E-3</v>
      </c>
      <c r="O221" s="21">
        <f t="shared" si="123"/>
        <v>1.3095920864401195E-2</v>
      </c>
      <c r="P221" s="22">
        <f t="shared" si="124"/>
        <v>1308.2091493829025</v>
      </c>
      <c r="Q221" s="22">
        <f t="shared" si="125"/>
        <v>17.132203494404092</v>
      </c>
      <c r="R221" s="50">
        <v>1308.21</v>
      </c>
      <c r="S221" s="50">
        <v>1308.21</v>
      </c>
      <c r="T221" s="50">
        <v>12861</v>
      </c>
      <c r="U221" s="50">
        <v>33673309.030000001</v>
      </c>
      <c r="V221" s="50">
        <v>34781767.840000004</v>
      </c>
    </row>
    <row r="222" spans="1:22" ht="15" customHeight="1">
      <c r="A222" s="104">
        <v>191</v>
      </c>
      <c r="B222" s="77" t="s">
        <v>211</v>
      </c>
      <c r="C222" s="77" t="s">
        <v>212</v>
      </c>
      <c r="D222" s="50">
        <v>405744909.31999999</v>
      </c>
      <c r="E222" s="50">
        <v>3652500.01</v>
      </c>
      <c r="F222" s="10">
        <v>97418052.620000005</v>
      </c>
      <c r="G222" s="50">
        <v>871759.91</v>
      </c>
      <c r="H222" s="50">
        <f t="shared" si="126"/>
        <v>100198792.72000001</v>
      </c>
      <c r="I222" s="50">
        <v>434619163.17000002</v>
      </c>
      <c r="J222" s="13">
        <f t="shared" si="117"/>
        <v>4.1637736191620957E-3</v>
      </c>
      <c r="K222" s="50">
        <v>485531431.16000003</v>
      </c>
      <c r="L222" s="13">
        <f t="shared" si="120"/>
        <v>4.2677919116750453E-3</v>
      </c>
      <c r="M222" s="13">
        <f t="shared" si="121"/>
        <v>0.11714225304438733</v>
      </c>
      <c r="N222" s="20">
        <f t="shared" si="122"/>
        <v>1.7954757489484217E-3</v>
      </c>
      <c r="O222" s="21">
        <f t="shared" si="123"/>
        <v>0.20636932295116631</v>
      </c>
      <c r="P222" s="22">
        <f t="shared" si="124"/>
        <v>131.61277102397833</v>
      </c>
      <c r="Q222" s="22">
        <f t="shared" si="125"/>
        <v>27.160838447945288</v>
      </c>
      <c r="R222" s="50">
        <v>135.19999999999999</v>
      </c>
      <c r="S222" s="50">
        <v>135.69</v>
      </c>
      <c r="T222" s="50">
        <v>137</v>
      </c>
      <c r="U222" s="50">
        <v>3211385.11</v>
      </c>
      <c r="V222" s="50">
        <v>3689090.56</v>
      </c>
    </row>
    <row r="223" spans="1:22" ht="15" customHeight="1">
      <c r="A223" s="104">
        <v>192</v>
      </c>
      <c r="B223" s="77" t="s">
        <v>213</v>
      </c>
      <c r="C223" s="77" t="s">
        <v>212</v>
      </c>
      <c r="D223" s="50">
        <v>858762576.11000001</v>
      </c>
      <c r="E223" s="50">
        <v>2375000</v>
      </c>
      <c r="F223" s="10">
        <v>52962826.5</v>
      </c>
      <c r="G223" s="50">
        <v>1830429.65</v>
      </c>
      <c r="H223" s="50">
        <f>(E223+F223)-G223</f>
        <v>53507396.850000001</v>
      </c>
      <c r="I223" s="50">
        <v>863432685.76999998</v>
      </c>
      <c r="J223" s="13">
        <f t="shared" si="117"/>
        <v>8.2719275715074109E-3</v>
      </c>
      <c r="K223" s="50">
        <v>954257670.78999996</v>
      </c>
      <c r="L223" s="13">
        <f t="shared" si="120"/>
        <v>8.3878672062929153E-3</v>
      </c>
      <c r="M223" s="13">
        <f t="shared" si="121"/>
        <v>0.10519058001493566</v>
      </c>
      <c r="N223" s="20">
        <f t="shared" si="122"/>
        <v>1.9181712717956407E-3</v>
      </c>
      <c r="O223" s="21">
        <f t="shared" si="123"/>
        <v>5.6072273231718331E-2</v>
      </c>
      <c r="P223" s="22">
        <f t="shared" si="124"/>
        <v>142.37130494883766</v>
      </c>
      <c r="Q223" s="22">
        <f t="shared" si="125"/>
        <v>7.9830827114475174</v>
      </c>
      <c r="R223" s="50">
        <v>141.47999999999999</v>
      </c>
      <c r="S223" s="50">
        <v>141.47999999999999</v>
      </c>
      <c r="T223" s="50">
        <v>134</v>
      </c>
      <c r="U223" s="50">
        <v>5844304.8600000003</v>
      </c>
      <c r="V223" s="50">
        <v>6702598.3300000001</v>
      </c>
    </row>
    <row r="224" spans="1:22" ht="13.95" customHeight="1">
      <c r="A224" s="104">
        <v>193</v>
      </c>
      <c r="B224" s="75" t="s">
        <v>189</v>
      </c>
      <c r="C224" s="75" t="s">
        <v>139</v>
      </c>
      <c r="D224" s="50">
        <v>2182725294.9299998</v>
      </c>
      <c r="E224" s="50">
        <v>51245998.109999999</v>
      </c>
      <c r="F224" s="10">
        <v>0</v>
      </c>
      <c r="G224" s="50">
        <v>5888549.1399999997</v>
      </c>
      <c r="H224" s="50">
        <f t="shared" si="126"/>
        <v>45357448.969999999</v>
      </c>
      <c r="I224" s="50">
        <v>2901924198</v>
      </c>
      <c r="J224" s="13">
        <f t="shared" si="117"/>
        <v>2.7801248643319277E-2</v>
      </c>
      <c r="K224" s="50">
        <v>3194362329</v>
      </c>
      <c r="L224" s="13">
        <f t="shared" si="120"/>
        <v>2.8078251655294258E-2</v>
      </c>
      <c r="M224" s="13">
        <f t="shared" si="121"/>
        <v>0.10077386969706091</v>
      </c>
      <c r="N224" s="20">
        <f t="shared" si="122"/>
        <v>1.8434192910869378E-3</v>
      </c>
      <c r="O224" s="21">
        <f t="shared" si="123"/>
        <v>1.4199218591523779E-2</v>
      </c>
      <c r="P224" s="22">
        <f t="shared" si="124"/>
        <v>108.30885343771757</v>
      </c>
      <c r="Q224" s="22">
        <f t="shared" si="125"/>
        <v>1.5379010853594635</v>
      </c>
      <c r="R224" s="50">
        <v>108.31</v>
      </c>
      <c r="S224" s="50">
        <v>108.31</v>
      </c>
      <c r="T224" s="50">
        <v>854</v>
      </c>
      <c r="U224" s="50">
        <v>27192954</v>
      </c>
      <c r="V224" s="50">
        <v>29493086</v>
      </c>
    </row>
    <row r="225" spans="1:22">
      <c r="A225" s="104">
        <v>194</v>
      </c>
      <c r="B225" s="74" t="s">
        <v>190</v>
      </c>
      <c r="C225" s="74" t="s">
        <v>46</v>
      </c>
      <c r="D225" s="50">
        <v>2299926015.5999999</v>
      </c>
      <c r="E225" s="50">
        <v>31470645.510000002</v>
      </c>
      <c r="F225" s="10">
        <v>0</v>
      </c>
      <c r="G225" s="50">
        <v>4761374.3499999996</v>
      </c>
      <c r="H225" s="50">
        <f t="shared" si="126"/>
        <v>26709271.160000004</v>
      </c>
      <c r="I225" s="50">
        <v>3759589188.4899998</v>
      </c>
      <c r="J225" s="13">
        <f t="shared" si="117"/>
        <v>3.60179200745427E-2</v>
      </c>
      <c r="K225" s="50">
        <v>2285760077.5500002</v>
      </c>
      <c r="L225" s="13">
        <f t="shared" si="120"/>
        <v>2.0091692823451721E-2</v>
      </c>
      <c r="M225" s="13">
        <f t="shared" si="121"/>
        <v>-0.3920186587013641</v>
      </c>
      <c r="N225" s="20">
        <f t="shared" si="122"/>
        <v>2.08305954625977E-3</v>
      </c>
      <c r="O225" s="21">
        <f t="shared" si="123"/>
        <v>1.1685072034606723E-2</v>
      </c>
      <c r="P225" s="22">
        <f t="shared" si="124"/>
        <v>148.9635992348544</v>
      </c>
      <c r="Q225" s="22">
        <f t="shared" si="125"/>
        <v>1.7406503875935606</v>
      </c>
      <c r="R225" s="50">
        <v>148.96</v>
      </c>
      <c r="S225" s="50">
        <v>148.96</v>
      </c>
      <c r="T225" s="50">
        <v>2550</v>
      </c>
      <c r="U225" s="50">
        <v>25505950.109999999</v>
      </c>
      <c r="V225" s="50">
        <v>15344420.310000001</v>
      </c>
    </row>
    <row r="226" spans="1:22" ht="15" customHeight="1">
      <c r="A226" s="104">
        <v>195</v>
      </c>
      <c r="B226" s="75" t="s">
        <v>191</v>
      </c>
      <c r="C226" s="75" t="s">
        <v>50</v>
      </c>
      <c r="D226" s="50">
        <v>2537357374</v>
      </c>
      <c r="E226" s="50">
        <v>47773813</v>
      </c>
      <c r="F226" s="10">
        <v>0</v>
      </c>
      <c r="G226" s="50">
        <v>6861846</v>
      </c>
      <c r="H226" s="50">
        <f>(E226+F226)-G226</f>
        <v>40911967</v>
      </c>
      <c r="I226" s="50">
        <v>4107068603</v>
      </c>
      <c r="J226" s="13">
        <f t="shared" si="117"/>
        <v>3.9346870433716596E-2</v>
      </c>
      <c r="K226" s="50">
        <v>4100829642</v>
      </c>
      <c r="L226" s="13">
        <f t="shared" si="120"/>
        <v>3.6046044507296801E-2</v>
      </c>
      <c r="M226" s="13">
        <f t="shared" si="121"/>
        <v>-1.519078837748842E-3</v>
      </c>
      <c r="N226" s="20">
        <f t="shared" si="122"/>
        <v>1.6732823840625174E-3</v>
      </c>
      <c r="O226" s="21">
        <f t="shared" si="123"/>
        <v>9.9765097727997736E-3</v>
      </c>
      <c r="P226" s="22">
        <f t="shared" si="124"/>
        <v>1.233474875547419</v>
      </c>
      <c r="Q226" s="22">
        <f t="shared" si="125"/>
        <v>1.2305774150401811E-2</v>
      </c>
      <c r="R226" s="50">
        <v>1.23</v>
      </c>
      <c r="S226" s="50">
        <v>1.23</v>
      </c>
      <c r="T226" s="50">
        <v>222</v>
      </c>
      <c r="U226" s="50">
        <v>3361565745</v>
      </c>
      <c r="V226" s="50">
        <v>3324615461</v>
      </c>
    </row>
    <row r="227" spans="1:22" ht="4.95" customHeight="1">
      <c r="A227" s="60"/>
      <c r="B227" s="19"/>
      <c r="C227" s="19"/>
      <c r="D227" s="11"/>
      <c r="E227" s="11"/>
      <c r="F227" s="11"/>
      <c r="G227" s="31"/>
      <c r="H227" s="12"/>
      <c r="I227" s="23"/>
      <c r="J227" s="13"/>
      <c r="K227" s="32"/>
      <c r="L227" s="13"/>
      <c r="M227" s="13"/>
      <c r="N227" s="20"/>
      <c r="O227" s="21"/>
      <c r="P227" s="22"/>
      <c r="Q227" s="22"/>
      <c r="R227" s="12"/>
      <c r="S227" s="12"/>
      <c r="T227" s="41"/>
      <c r="U227" s="31"/>
      <c r="V227" s="41"/>
    </row>
    <row r="228" spans="1:22" ht="15" customHeight="1">
      <c r="A228" s="121" t="s">
        <v>209</v>
      </c>
      <c r="B228" s="123"/>
      <c r="C228" s="123"/>
      <c r="D228" s="121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</row>
    <row r="229" spans="1:22" ht="15" customHeight="1">
      <c r="A229" s="106">
        <v>196</v>
      </c>
      <c r="B229" s="73" t="s">
        <v>296</v>
      </c>
      <c r="C229" s="73" t="s">
        <v>297</v>
      </c>
      <c r="D229" s="58">
        <v>556149165.70000005</v>
      </c>
      <c r="E229" s="16">
        <v>5372182.9400000004</v>
      </c>
      <c r="F229" s="16">
        <v>31126198.370000001</v>
      </c>
      <c r="G229" s="16">
        <v>1444955.57</v>
      </c>
      <c r="H229" s="16">
        <f>(E229+F229)-G229</f>
        <v>35053425.740000002</v>
      </c>
      <c r="I229" s="52">
        <v>464479491.27999997</v>
      </c>
      <c r="J229" s="53">
        <f t="shared" ref="J229:J232" si="128">(I229/$I$233)</f>
        <v>4.4498439468878669E-3</v>
      </c>
      <c r="K229" s="52">
        <v>549465726.75</v>
      </c>
      <c r="L229" s="13">
        <f t="shared" ref="L229" si="129">(K229/$K$233)</f>
        <v>4.8297705027329886E-3</v>
      </c>
      <c r="M229" s="13">
        <f>((K229-I229)/I229)</f>
        <v>0.18297091059025505</v>
      </c>
      <c r="N229" s="20">
        <f t="shared" ref="N229" si="130">(G229/K229)</f>
        <v>2.6297464967408907E-3</v>
      </c>
      <c r="O229" s="21">
        <f t="shared" ref="O229" si="131">H229/K229</f>
        <v>6.3795472644554721E-2</v>
      </c>
      <c r="P229" s="22">
        <f t="shared" ref="P229" si="132">K229/V229</f>
        <v>115.58097772881729</v>
      </c>
      <c r="Q229" s="22">
        <f t="shared" ref="Q229" si="133">H229/V229</f>
        <v>7.3735431029296512</v>
      </c>
      <c r="R229" s="52">
        <v>115.58</v>
      </c>
      <c r="S229" s="52">
        <v>115.58</v>
      </c>
      <c r="T229" s="52">
        <v>110</v>
      </c>
      <c r="U229" s="52">
        <v>4049236</v>
      </c>
      <c r="V229" s="52">
        <v>4753946</v>
      </c>
    </row>
    <row r="230" spans="1:22" ht="15" customHeight="1">
      <c r="A230" s="108">
        <v>197</v>
      </c>
      <c r="B230" s="109" t="s">
        <v>274</v>
      </c>
      <c r="C230" s="78" t="s">
        <v>58</v>
      </c>
      <c r="D230" s="16">
        <v>6679897001</v>
      </c>
      <c r="E230" s="16">
        <v>57294280</v>
      </c>
      <c r="F230" s="16">
        <v>228934905</v>
      </c>
      <c r="G230" s="16">
        <v>43351536</v>
      </c>
      <c r="H230" s="16">
        <f>(E230+F230)-G230</f>
        <v>242877649</v>
      </c>
      <c r="I230" s="52">
        <v>9500931919</v>
      </c>
      <c r="J230" s="53">
        <f t="shared" si="128"/>
        <v>9.102159553492499E-2</v>
      </c>
      <c r="K230" s="52">
        <v>11694582268</v>
      </c>
      <c r="L230" s="13">
        <f t="shared" ref="L230:L232" si="134">(K230/$K$233)</f>
        <v>0.10279467076837227</v>
      </c>
      <c r="M230" s="13">
        <f t="shared" ref="M230:M232" si="135">((K230-I230)/I230)</f>
        <v>0.23088791370172115</v>
      </c>
      <c r="N230" s="20">
        <f t="shared" ref="N230:N232" si="136">(G230/K230)</f>
        <v>3.7069760173155763E-3</v>
      </c>
      <c r="O230" s="21">
        <f t="shared" ref="O230:O232" si="137">H230/K230</f>
        <v>2.0768390305362892E-2</v>
      </c>
      <c r="P230" s="22">
        <f t="shared" ref="P230:P232" si="138">K230/V230</f>
        <v>133.66530452341377</v>
      </c>
      <c r="Q230" s="22">
        <f t="shared" ref="Q230:Q232" si="139">H230/V230</f>
        <v>2.7760132146274454</v>
      </c>
      <c r="R230" s="52">
        <v>132.99700000000001</v>
      </c>
      <c r="S230" s="52">
        <v>137.0069</v>
      </c>
      <c r="T230" s="52">
        <v>5507</v>
      </c>
      <c r="U230" s="52">
        <v>73188096</v>
      </c>
      <c r="V230" s="52">
        <v>87491532</v>
      </c>
    </row>
    <row r="231" spans="1:22" ht="15" customHeight="1">
      <c r="A231" s="105">
        <v>198</v>
      </c>
      <c r="B231" s="10" t="s">
        <v>210</v>
      </c>
      <c r="C231" s="25" t="s">
        <v>117</v>
      </c>
      <c r="D231" s="16">
        <v>291380949.05000001</v>
      </c>
      <c r="E231" s="16">
        <v>2670722.33</v>
      </c>
      <c r="F231" s="16">
        <v>15868930.390000001</v>
      </c>
      <c r="G231" s="10">
        <v>804006.09</v>
      </c>
      <c r="H231" s="12">
        <f>(E231+F231)-G231</f>
        <v>17735646.629999999</v>
      </c>
      <c r="I231" s="17">
        <v>325344441.44999999</v>
      </c>
      <c r="J231" s="53">
        <f t="shared" si="128"/>
        <v>3.1168911020167454E-3</v>
      </c>
      <c r="K231" s="17">
        <v>346979424.66000003</v>
      </c>
      <c r="L231" s="13">
        <f t="shared" si="134"/>
        <v>3.0499281551014984E-3</v>
      </c>
      <c r="M231" s="13">
        <f t="shared" si="135"/>
        <v>6.6498702463078582E-2</v>
      </c>
      <c r="N231" s="20">
        <f t="shared" si="136"/>
        <v>2.317157827983125E-3</v>
      </c>
      <c r="O231" s="21">
        <f t="shared" si="137"/>
        <v>5.1114404398413235E-2</v>
      </c>
      <c r="P231" s="22">
        <f t="shared" si="138"/>
        <v>1482.6732716912045</v>
      </c>
      <c r="Q231" s="22">
        <f t="shared" si="139"/>
        <v>75.785961199942648</v>
      </c>
      <c r="R231" s="12">
        <v>1482.67</v>
      </c>
      <c r="S231" s="12">
        <v>1482.67</v>
      </c>
      <c r="T231" s="10">
        <v>276</v>
      </c>
      <c r="U231" s="10">
        <v>230318.74</v>
      </c>
      <c r="V231" s="10">
        <v>234022.85</v>
      </c>
    </row>
    <row r="232" spans="1:22" ht="15" customHeight="1">
      <c r="A232" s="105">
        <v>199</v>
      </c>
      <c r="B232" s="10" t="s">
        <v>272</v>
      </c>
      <c r="C232" s="10" t="s">
        <v>273</v>
      </c>
      <c r="D232" s="17">
        <v>87569264.200000003</v>
      </c>
      <c r="E232" s="17">
        <v>3453145.71</v>
      </c>
      <c r="F232" s="17">
        <v>0</v>
      </c>
      <c r="G232" s="17">
        <v>909475.16</v>
      </c>
      <c r="H232" s="17">
        <f>(E232+F232)-G232</f>
        <v>2543670.5499999998</v>
      </c>
      <c r="I232" s="17">
        <v>160029457.49000001</v>
      </c>
      <c r="J232" s="53">
        <f t="shared" si="128"/>
        <v>1.5331271371599702E-3</v>
      </c>
      <c r="K232" s="17">
        <v>178379135.03999999</v>
      </c>
      <c r="L232" s="13">
        <f t="shared" si="134"/>
        <v>1.5679418074263289E-3</v>
      </c>
      <c r="M232" s="13">
        <f t="shared" si="135"/>
        <v>0.11466437390845136</v>
      </c>
      <c r="N232" s="20">
        <f t="shared" si="136"/>
        <v>5.0985512391685164E-3</v>
      </c>
      <c r="O232" s="21">
        <f t="shared" si="137"/>
        <v>1.4259910776165629E-2</v>
      </c>
      <c r="P232" s="22">
        <f t="shared" si="138"/>
        <v>119.69191497927625</v>
      </c>
      <c r="Q232" s="22">
        <f t="shared" si="139"/>
        <v>1.7067960282328816</v>
      </c>
      <c r="R232" s="17">
        <v>118.47</v>
      </c>
      <c r="S232" s="17">
        <v>120.91</v>
      </c>
      <c r="T232" s="17">
        <v>307</v>
      </c>
      <c r="U232" s="17">
        <v>1363044</v>
      </c>
      <c r="V232" s="17">
        <v>1490319</v>
      </c>
    </row>
    <row r="233" spans="1:22" ht="15" customHeight="1">
      <c r="A233" s="118" t="s">
        <v>51</v>
      </c>
      <c r="B233" s="118"/>
      <c r="C233" s="118"/>
      <c r="D233" s="118"/>
      <c r="E233" s="118"/>
      <c r="F233" s="118"/>
      <c r="G233" s="118"/>
      <c r="H233" s="118"/>
      <c r="I233" s="36">
        <f>SUM(I209:I232)</f>
        <v>104381074218.31001</v>
      </c>
      <c r="J233" s="34">
        <f>(I233/$I$243)</f>
        <v>1.2565230412512424E-2</v>
      </c>
      <c r="K233" s="36">
        <f>SUM(K209:K232)</f>
        <v>113766425638.45998</v>
      </c>
      <c r="L233" s="34">
        <f>(K233/$K$243)</f>
        <v>1.3234732033957482E-2</v>
      </c>
      <c r="M233" s="34">
        <f t="shared" si="119"/>
        <v>8.9914301902285193E-2</v>
      </c>
      <c r="N233" s="20"/>
      <c r="O233" s="20"/>
      <c r="P233" s="35"/>
      <c r="Q233" s="35"/>
      <c r="R233" s="36"/>
      <c r="S233" s="36"/>
      <c r="T233" s="36">
        <f>SUM(T209:T232)</f>
        <v>47016</v>
      </c>
      <c r="U233" s="36"/>
      <c r="V233" s="36"/>
    </row>
    <row r="234" spans="1:22" ht="15" customHeight="1">
      <c r="A234" s="119" t="s">
        <v>288</v>
      </c>
      <c r="B234" s="119"/>
      <c r="C234" s="119"/>
      <c r="D234" s="119"/>
      <c r="E234" s="119"/>
      <c r="F234" s="119"/>
      <c r="G234" s="119"/>
      <c r="H234" s="119"/>
      <c r="I234" s="64">
        <f>SUM(I25,I74,I115,I158,I167,I199,I205,I233)</f>
        <v>8277120095180.8154</v>
      </c>
      <c r="J234" s="65"/>
      <c r="K234" s="64">
        <f>SUM(K25,K74,K115,K158,K167,K199,K205,K233)</f>
        <v>8565869287560.4541</v>
      </c>
      <c r="L234" s="65"/>
      <c r="M234" s="65"/>
      <c r="N234" s="66"/>
      <c r="O234" s="66"/>
      <c r="P234" s="67"/>
      <c r="Q234" s="67"/>
      <c r="R234" s="64"/>
      <c r="S234" s="64"/>
      <c r="T234" s="64">
        <f>SUM(T25,T74,T115,T158,T167,T199,T205,T233)</f>
        <v>1192130</v>
      </c>
      <c r="U234" s="64"/>
      <c r="V234" s="64"/>
    </row>
    <row r="235" spans="1:22" s="6" customFormat="1" ht="6.6" customHeight="1">
      <c r="A235" s="59"/>
      <c r="B235" s="59"/>
      <c r="C235" s="59"/>
      <c r="D235" s="59"/>
      <c r="E235" s="59"/>
      <c r="F235" s="59"/>
      <c r="G235" s="59"/>
      <c r="H235" s="59"/>
      <c r="I235" s="36"/>
      <c r="J235" s="55"/>
      <c r="K235" s="36"/>
      <c r="L235" s="55"/>
      <c r="M235" s="55"/>
      <c r="N235" s="56"/>
      <c r="O235" s="56"/>
      <c r="P235" s="57"/>
      <c r="Q235" s="57"/>
      <c r="R235" s="36"/>
      <c r="S235" s="36"/>
      <c r="T235" s="36"/>
      <c r="U235" s="36"/>
      <c r="V235" s="36"/>
    </row>
    <row r="236" spans="1:22" s="6" customFormat="1" ht="15" customHeight="1">
      <c r="A236" s="132" t="s">
        <v>276</v>
      </c>
      <c r="B236" s="132"/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</row>
    <row r="237" spans="1:22" s="6" customFormat="1" ht="15" customHeight="1">
      <c r="A237" s="101">
        <v>1</v>
      </c>
      <c r="B237" s="25" t="s">
        <v>277</v>
      </c>
      <c r="C237" s="25" t="s">
        <v>58</v>
      </c>
      <c r="D237" s="17">
        <f>963120*FX_RATE</f>
        <v>1335573528.6719999</v>
      </c>
      <c r="E237" s="16">
        <f>9805*FX_RATE</f>
        <v>13596746.458000001</v>
      </c>
      <c r="F237" s="16">
        <f>7149*FX_RATE</f>
        <v>9913629.8244000003</v>
      </c>
      <c r="G237" s="16">
        <f>3199*FX_RATE</f>
        <v>4436103.2044000002</v>
      </c>
      <c r="H237" s="17">
        <f>(E237+F237)-G237</f>
        <v>19074273.078000002</v>
      </c>
      <c r="I237" s="10">
        <v>2092432915.0788002</v>
      </c>
      <c r="J237" s="13">
        <f>(I237/$I$242)</f>
        <v>6.9711487905806668E-2</v>
      </c>
      <c r="K237" s="10">
        <f>1569098*FX_RATE</f>
        <v>2175892674.5288</v>
      </c>
      <c r="L237" s="13">
        <f>(K237/$K$242)</f>
        <v>7.2094146435128501E-2</v>
      </c>
      <c r="M237" s="13">
        <f>((K237-I237)/I237)</f>
        <v>3.9886468449506655E-2</v>
      </c>
      <c r="N237" s="20">
        <f t="shared" ref="N237" si="140">(G237/K237)</f>
        <v>2.0387509256910661E-3</v>
      </c>
      <c r="O237" s="21">
        <f t="shared" ref="O237" si="141">H237/K237</f>
        <v>8.7661828642952837E-3</v>
      </c>
      <c r="P237" s="22">
        <f t="shared" ref="P237" si="142">K237/V237</f>
        <v>1448.9143756767483</v>
      </c>
      <c r="Q237" s="22">
        <f t="shared" ref="Q237" si="143">H237/V237</f>
        <v>12.70144837188861</v>
      </c>
      <c r="R237" s="10">
        <f>1.0449*FX_RATE</f>
        <v>1448.9791304399998</v>
      </c>
      <c r="S237" s="10">
        <f>1.0449*FX_RATE</f>
        <v>1448.9791304399998</v>
      </c>
      <c r="T237" s="10">
        <v>57</v>
      </c>
      <c r="U237" s="10">
        <v>1468339</v>
      </c>
      <c r="V237" s="10">
        <v>1501740</v>
      </c>
    </row>
    <row r="238" spans="1:22" s="6" customFormat="1" ht="15" customHeight="1">
      <c r="A238" s="101">
        <v>2</v>
      </c>
      <c r="B238" s="25" t="s">
        <v>278</v>
      </c>
      <c r="C238" s="25" t="s">
        <v>279</v>
      </c>
      <c r="D238" s="16">
        <v>9362177549</v>
      </c>
      <c r="E238" s="16">
        <v>161139714.84999999</v>
      </c>
      <c r="F238" s="86">
        <v>0</v>
      </c>
      <c r="G238" s="16">
        <v>365964079.63</v>
      </c>
      <c r="H238" s="17">
        <f>(E238+F238)-G238</f>
        <v>-204824364.78</v>
      </c>
      <c r="I238" s="10">
        <v>15547853111.870001</v>
      </c>
      <c r="J238" s="13">
        <f t="shared" ref="J238:J241" si="144">(I238/$I$242)</f>
        <v>0.51799222157072888</v>
      </c>
      <c r="K238" s="10">
        <v>15321181828.01</v>
      </c>
      <c r="L238" s="13">
        <f t="shared" ref="L238:L241" si="145">(K238/$K$242)</f>
        <v>0.50763879082730134</v>
      </c>
      <c r="M238" s="13">
        <f t="shared" ref="M238:M241" si="146">((K238-I238)/I238)</f>
        <v>-1.4578944258673792E-2</v>
      </c>
      <c r="N238" s="20">
        <f t="shared" ref="N238:N241" si="147">(G238/K238)</f>
        <v>2.3886152108771978E-2</v>
      </c>
      <c r="O238" s="21">
        <f t="shared" ref="O238:O241" si="148">H238/K238</f>
        <v>-1.3368705304805049E-2</v>
      </c>
      <c r="P238" s="22">
        <f t="shared" ref="P238:P241" si="149">K238/V238</f>
        <v>107.21691753018905</v>
      </c>
      <c r="Q238" s="22">
        <f t="shared" ref="Q238:Q241" si="150">H238/V238</f>
        <v>-1.4333513741506838</v>
      </c>
      <c r="R238" s="10">
        <v>123.3</v>
      </c>
      <c r="S238" s="10">
        <v>123.3</v>
      </c>
      <c r="T238" s="10">
        <v>12</v>
      </c>
      <c r="U238" s="10">
        <v>142898921</v>
      </c>
      <c r="V238" s="10">
        <v>142898921</v>
      </c>
    </row>
    <row r="239" spans="1:22" s="6" customFormat="1" ht="15" customHeight="1">
      <c r="A239" s="101">
        <v>3</v>
      </c>
      <c r="B239" s="25" t="s">
        <v>280</v>
      </c>
      <c r="C239" s="25" t="s">
        <v>132</v>
      </c>
      <c r="D239" s="16">
        <v>1308017666.79</v>
      </c>
      <c r="E239" s="16">
        <v>6097740.9900000002</v>
      </c>
      <c r="F239" s="16">
        <v>11290509.029999999</v>
      </c>
      <c r="G239" s="16">
        <v>1112466.06</v>
      </c>
      <c r="H239" s="17">
        <f>(E239+F239)-G239</f>
        <v>16275783.959999999</v>
      </c>
      <c r="I239" s="10">
        <v>1209034070.1300001</v>
      </c>
      <c r="J239" s="13">
        <f t="shared" si="144"/>
        <v>4.0280174982050318E-2</v>
      </c>
      <c r="K239" s="10">
        <v>1255172629.6400001</v>
      </c>
      <c r="L239" s="13">
        <f t="shared" si="145"/>
        <v>4.1587804592534715E-2</v>
      </c>
      <c r="M239" s="13">
        <f t="shared" si="146"/>
        <v>3.8161504832563559E-2</v>
      </c>
      <c r="N239" s="20">
        <f t="shared" si="147"/>
        <v>8.8630522505822151E-4</v>
      </c>
      <c r="O239" s="21">
        <f t="shared" si="148"/>
        <v>1.2966968507485785E-2</v>
      </c>
      <c r="P239" s="22">
        <f t="shared" si="149"/>
        <v>153958.47368285482</v>
      </c>
      <c r="Q239" s="22">
        <f t="shared" si="150"/>
        <v>1996.3746797061574</v>
      </c>
      <c r="R239" s="10">
        <f>110.85*FX_RATE</f>
        <v>153717.42426</v>
      </c>
      <c r="S239" s="10">
        <f>110.85*FX_RATE</f>
        <v>153717.42426</v>
      </c>
      <c r="T239" s="10">
        <v>17</v>
      </c>
      <c r="U239" s="10">
        <v>7886.2</v>
      </c>
      <c r="V239" s="10">
        <v>8152.67</v>
      </c>
    </row>
    <row r="240" spans="1:22" ht="15" customHeight="1">
      <c r="A240" s="101">
        <v>4</v>
      </c>
      <c r="B240" s="25" t="s">
        <v>281</v>
      </c>
      <c r="C240" s="25" t="s">
        <v>282</v>
      </c>
      <c r="D240" s="16">
        <v>11275696293</v>
      </c>
      <c r="E240" s="16">
        <v>207311159.72</v>
      </c>
      <c r="F240" s="86">
        <v>0</v>
      </c>
      <c r="G240" s="16">
        <v>22433012.879999999</v>
      </c>
      <c r="H240" s="17">
        <f>(E240+F240)-G240</f>
        <v>184878146.84</v>
      </c>
      <c r="I240" s="10">
        <v>10953599777.15</v>
      </c>
      <c r="J240" s="13">
        <f t="shared" si="144"/>
        <v>0.36493009304486218</v>
      </c>
      <c r="K240" s="10">
        <v>11152475253.540001</v>
      </c>
      <c r="L240" s="13">
        <f t="shared" si="145"/>
        <v>0.3695164717703624</v>
      </c>
      <c r="M240" s="13">
        <f t="shared" si="146"/>
        <v>1.8156175178581008E-2</v>
      </c>
      <c r="N240" s="20">
        <f t="shared" si="147"/>
        <v>2.011482865463373E-3</v>
      </c>
      <c r="O240" s="21">
        <f t="shared" si="148"/>
        <v>1.6577319620710771E-2</v>
      </c>
      <c r="P240" s="22">
        <f t="shared" si="149"/>
        <v>1.0692689600709493</v>
      </c>
      <c r="Q240" s="22">
        <f t="shared" si="150"/>
        <v>1.7725613311601152E-2</v>
      </c>
      <c r="R240" s="10">
        <v>1.17</v>
      </c>
      <c r="S240" s="10">
        <v>1.17</v>
      </c>
      <c r="T240" s="10">
        <v>16</v>
      </c>
      <c r="U240" s="10">
        <v>10430000000</v>
      </c>
      <c r="V240" s="10">
        <v>10430000000</v>
      </c>
    </row>
    <row r="241" spans="1:22" ht="15" customHeight="1">
      <c r="A241" s="101">
        <v>5</v>
      </c>
      <c r="B241" s="25" t="s">
        <v>283</v>
      </c>
      <c r="C241" s="25" t="s">
        <v>50</v>
      </c>
      <c r="D241" s="17">
        <v>211455089</v>
      </c>
      <c r="E241" s="16">
        <v>1622302</v>
      </c>
      <c r="F241" s="16">
        <v>300560</v>
      </c>
      <c r="G241" s="16">
        <v>754160</v>
      </c>
      <c r="H241" s="17">
        <f>(E241+F241)-G241</f>
        <v>1168702</v>
      </c>
      <c r="I241" s="10">
        <v>212691296</v>
      </c>
      <c r="J241" s="13">
        <f t="shared" si="144"/>
        <v>7.0860224965520408E-3</v>
      </c>
      <c r="K241" s="10">
        <v>276544501</v>
      </c>
      <c r="L241" s="13">
        <f t="shared" si="145"/>
        <v>9.1627863746731181E-3</v>
      </c>
      <c r="M241" s="13">
        <f t="shared" si="146"/>
        <v>0.30021541172987165</v>
      </c>
      <c r="N241" s="20">
        <f t="shared" si="147"/>
        <v>2.7270836963776764E-3</v>
      </c>
      <c r="O241" s="21">
        <f t="shared" si="148"/>
        <v>4.2260901799670934E-3</v>
      </c>
      <c r="P241" s="22">
        <f t="shared" si="149"/>
        <v>1.3635833768986876</v>
      </c>
      <c r="Q241" s="22">
        <f t="shared" si="150"/>
        <v>5.7626263186779112E-3</v>
      </c>
      <c r="R241" s="10">
        <v>1.36</v>
      </c>
      <c r="S241" s="10">
        <v>1.36</v>
      </c>
      <c r="T241" s="10">
        <v>25</v>
      </c>
      <c r="U241" s="10">
        <v>156789720</v>
      </c>
      <c r="V241" s="10">
        <v>202807181.19999999</v>
      </c>
    </row>
    <row r="242" spans="1:22" ht="15" customHeight="1">
      <c r="A242" s="118" t="s">
        <v>51</v>
      </c>
      <c r="B242" s="118"/>
      <c r="C242" s="118"/>
      <c r="D242" s="118"/>
      <c r="E242" s="118"/>
      <c r="F242" s="118"/>
      <c r="G242" s="118"/>
      <c r="H242" s="118"/>
      <c r="I242" s="36">
        <f>SUM(I237:I241)</f>
        <v>30015611170.228798</v>
      </c>
      <c r="J242" s="34">
        <f>(I242/$I$243)</f>
        <v>3.6132323139106779E-3</v>
      </c>
      <c r="K242" s="69">
        <f>SUM(K237:K241)</f>
        <v>30181266886.7188</v>
      </c>
      <c r="L242" s="34">
        <f>(K242/$K$243)</f>
        <v>3.5110620505953748E-3</v>
      </c>
      <c r="M242" s="55"/>
      <c r="N242" s="56"/>
      <c r="O242" s="56"/>
      <c r="P242" s="57"/>
      <c r="Q242" s="57"/>
      <c r="R242" s="36"/>
      <c r="S242" s="36"/>
      <c r="T242" s="36">
        <f>SUM(T237:T241)</f>
        <v>127</v>
      </c>
      <c r="U242" s="36"/>
      <c r="V242" s="36"/>
    </row>
    <row r="243" spans="1:22" ht="15.6" customHeight="1">
      <c r="A243" s="131" t="s">
        <v>192</v>
      </c>
      <c r="B243" s="131"/>
      <c r="C243" s="131"/>
      <c r="D243" s="131"/>
      <c r="E243" s="131"/>
      <c r="F243" s="131"/>
      <c r="G243" s="131"/>
      <c r="H243" s="131"/>
      <c r="I243" s="62">
        <f>I234+I242</f>
        <v>8307135706351.0439</v>
      </c>
      <c r="J243" s="61"/>
      <c r="K243" s="62">
        <f>K234+K242</f>
        <v>8596050554447.1729</v>
      </c>
      <c r="L243" s="61"/>
      <c r="M243" s="61"/>
      <c r="N243" s="61"/>
      <c r="O243" s="61"/>
      <c r="P243" s="61"/>
      <c r="Q243" s="61"/>
      <c r="R243" s="63"/>
      <c r="S243" s="63"/>
      <c r="T243" s="62">
        <f>T234+T242</f>
        <v>1192257</v>
      </c>
      <c r="U243" s="63"/>
      <c r="V243" s="63"/>
    </row>
    <row r="244" spans="1:22" ht="4.95" customHeight="1">
      <c r="A244" s="51"/>
      <c r="B244" s="51"/>
      <c r="C244" s="14"/>
      <c r="D244" s="6"/>
      <c r="E244" s="6"/>
      <c r="F244" s="6"/>
      <c r="G244" s="6"/>
      <c r="H244" s="7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>
      <c r="A245" s="111" t="s">
        <v>193</v>
      </c>
      <c r="B245" s="112" t="s">
        <v>319</v>
      </c>
      <c r="C245" s="54">
        <v>1386.7156</v>
      </c>
      <c r="D245" s="70"/>
      <c r="E245" s="6"/>
      <c r="F245" s="6"/>
      <c r="G245" s="6"/>
      <c r="H245" s="7"/>
      <c r="I245" s="8"/>
      <c r="J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9"/>
    </row>
    <row r="248" spans="1:22">
      <c r="B248" s="114"/>
    </row>
    <row r="250" spans="1:22">
      <c r="B250" s="113"/>
    </row>
  </sheetData>
  <sheetProtection algorithmName="SHA-512" hashValue="HUAmuZIJhBwfxdTV54gMHMsg8Hazv+4KWZz/QP6oXtbG5xiRCvPe9gyFAHIs/yRl6GjAa+bripAGeYiKEiJgBQ==" saltValue="oDDI161GZxEIIJypqc66SQ==" spinCount="100000" sheet="1" objects="1" scenarios="1"/>
  <mergeCells count="36">
    <mergeCell ref="A242:H242"/>
    <mergeCell ref="A243:H243"/>
    <mergeCell ref="A236:V236"/>
    <mergeCell ref="A1:V1"/>
    <mergeCell ref="A3:V3"/>
    <mergeCell ref="A4:V4"/>
    <mergeCell ref="A25:H25"/>
    <mergeCell ref="A26:V26"/>
    <mergeCell ref="A27:V27"/>
    <mergeCell ref="A74:H74"/>
    <mergeCell ref="A75:V75"/>
    <mergeCell ref="A76:V76"/>
    <mergeCell ref="A115:H115"/>
    <mergeCell ref="A116:V116"/>
    <mergeCell ref="A117:V117"/>
    <mergeCell ref="A118:V118"/>
    <mergeCell ref="A136:V136"/>
    <mergeCell ref="A137:V137"/>
    <mergeCell ref="A158:H158"/>
    <mergeCell ref="A159:V159"/>
    <mergeCell ref="A160:V160"/>
    <mergeCell ref="A167:H167"/>
    <mergeCell ref="A168:V168"/>
    <mergeCell ref="A169:V169"/>
    <mergeCell ref="A199:H199"/>
    <mergeCell ref="A200:V200"/>
    <mergeCell ref="A201:V201"/>
    <mergeCell ref="A205:H205"/>
    <mergeCell ref="A233:H233"/>
    <mergeCell ref="A234:H234"/>
    <mergeCell ref="A206:V206"/>
    <mergeCell ref="A207:V207"/>
    <mergeCell ref="A208:V208"/>
    <mergeCell ref="A211:V211"/>
    <mergeCell ref="A212:V212"/>
    <mergeCell ref="A228:V228"/>
  </mergeCells>
  <pageMargins left="0.7" right="0.7" top="0.75" bottom="0.75" header="0.3" footer="0.3"/>
  <pageSetup scale="83" orientation="portrait" r:id="rId1"/>
  <colBreaks count="1" manualBreakCount="1">
    <brk id="3" max="1048575" man="1"/>
  </colBreaks>
  <ignoredErrors>
    <ignoredError sqref="J25 J74 J115 J158 J167 J199 J205 J233 J24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J28" sqref="J28"/>
    </sheetView>
  </sheetViews>
  <sheetFormatPr defaultColWidth="9" defaultRowHeight="14.4"/>
  <cols>
    <col min="1" max="1" width="30.33203125" customWidth="1"/>
    <col min="2" max="3" width="9.33203125" customWidth="1"/>
    <col min="4" max="4" width="9.44140625" customWidth="1"/>
  </cols>
  <sheetData>
    <row r="1" spans="1:11">
      <c r="A1" s="139"/>
      <c r="B1" s="139"/>
      <c r="C1" s="139"/>
      <c r="D1" s="139"/>
      <c r="E1" s="139"/>
      <c r="F1" s="2"/>
      <c r="G1" s="2"/>
      <c r="H1" s="2"/>
      <c r="I1" s="2"/>
      <c r="J1" s="2"/>
      <c r="K1" s="2"/>
    </row>
    <row r="2" spans="1:11">
      <c r="A2" s="139"/>
      <c r="B2" s="139"/>
      <c r="C2" s="139"/>
      <c r="D2" s="139"/>
      <c r="E2" s="139"/>
      <c r="F2" s="2"/>
      <c r="G2" s="2"/>
      <c r="H2" s="2"/>
      <c r="I2" s="2"/>
      <c r="J2" s="2"/>
      <c r="K2" s="2"/>
    </row>
    <row r="3" spans="1:11">
      <c r="A3" s="140"/>
      <c r="B3" s="140"/>
      <c r="C3" s="140"/>
      <c r="D3" s="140"/>
      <c r="E3" s="139"/>
      <c r="F3" s="2"/>
      <c r="G3" s="2"/>
      <c r="H3" s="2"/>
      <c r="I3" s="2"/>
      <c r="J3" s="2"/>
      <c r="K3" s="2"/>
    </row>
    <row r="4" spans="1:11" ht="14.4" customHeight="1">
      <c r="A4" s="141" t="s">
        <v>194</v>
      </c>
      <c r="B4" s="142" t="s">
        <v>317</v>
      </c>
      <c r="C4" s="142" t="s">
        <v>331</v>
      </c>
      <c r="D4" s="142" t="s">
        <v>330</v>
      </c>
      <c r="E4" s="139"/>
      <c r="F4" s="2"/>
      <c r="G4" s="2"/>
      <c r="H4" s="2"/>
      <c r="I4" s="2"/>
      <c r="J4" s="2"/>
      <c r="K4" s="2"/>
    </row>
    <row r="5" spans="1:11" ht="19.05" customHeight="1">
      <c r="A5" s="143" t="s">
        <v>20</v>
      </c>
      <c r="B5" s="144">
        <v>100.45174506524</v>
      </c>
      <c r="C5" s="144">
        <f>[1]February!K25/1000000000</f>
        <v>148.292010503</v>
      </c>
      <c r="D5" s="144">
        <f>March!K25/1000000000</f>
        <v>173.98232943505002</v>
      </c>
      <c r="E5" s="139"/>
      <c r="F5" s="2"/>
      <c r="G5" s="2"/>
      <c r="H5" s="2"/>
      <c r="I5" s="2"/>
      <c r="J5" s="2"/>
      <c r="K5" s="2"/>
    </row>
    <row r="6" spans="1:11">
      <c r="A6" s="141" t="s">
        <v>52</v>
      </c>
      <c r="B6" s="144">
        <v>5189.288413032009</v>
      </c>
      <c r="C6" s="144">
        <f>[1]February!K72/1000000000</f>
        <v>5317.5723324362407</v>
      </c>
      <c r="D6" s="144">
        <f>March!K74/1000000000</f>
        <v>5508.7678824549757</v>
      </c>
      <c r="E6" s="139"/>
      <c r="F6" s="2"/>
      <c r="G6" s="2"/>
      <c r="H6" s="2"/>
      <c r="I6" s="2"/>
      <c r="J6" s="2"/>
      <c r="K6" s="2"/>
    </row>
    <row r="7" spans="1:11">
      <c r="A7" s="141" t="s">
        <v>195</v>
      </c>
      <c r="B7" s="144">
        <v>240.76536151262999</v>
      </c>
      <c r="C7" s="144">
        <f>[1]February!K114/1000000000</f>
        <v>245.02251479789004</v>
      </c>
      <c r="D7" s="144">
        <f>March!K115/1000000000</f>
        <v>252.51131166487002</v>
      </c>
      <c r="E7" s="139"/>
      <c r="F7" s="2"/>
      <c r="G7" s="2"/>
      <c r="H7" s="2"/>
      <c r="I7" s="2"/>
      <c r="J7" s="2"/>
      <c r="K7" s="2"/>
    </row>
    <row r="8" spans="1:11">
      <c r="A8" s="141" t="s">
        <v>196</v>
      </c>
      <c r="B8" s="144">
        <v>1875.9569024292011</v>
      </c>
      <c r="C8" s="144">
        <f>[1]February!K156/1000000000</f>
        <v>1836.1119737791648</v>
      </c>
      <c r="D8" s="144">
        <f>March!K158/1000000000</f>
        <v>1854.4930716484598</v>
      </c>
      <c r="E8" s="139"/>
      <c r="F8" s="2"/>
      <c r="G8" s="2"/>
      <c r="H8" s="2"/>
      <c r="I8" s="2"/>
      <c r="J8" s="2"/>
      <c r="K8" s="2"/>
    </row>
    <row r="9" spans="1:11">
      <c r="A9" s="141" t="s">
        <v>197</v>
      </c>
      <c r="B9" s="144">
        <v>513.36709383830998</v>
      </c>
      <c r="C9" s="144">
        <f>[1]February!K165/1000000000</f>
        <v>501.58741494934998</v>
      </c>
      <c r="D9" s="144">
        <f>March!K167/1000000000</f>
        <v>525.40523414826998</v>
      </c>
      <c r="E9" s="139"/>
      <c r="F9" s="2"/>
      <c r="G9" s="2"/>
      <c r="H9" s="2"/>
      <c r="I9" s="2"/>
      <c r="J9" s="2"/>
      <c r="K9" s="2"/>
    </row>
    <row r="10" spans="1:11">
      <c r="A10" s="141" t="s">
        <v>155</v>
      </c>
      <c r="B10" s="144">
        <v>94.530140413209992</v>
      </c>
      <c r="C10" s="144">
        <f>[1]February!K197/1000000000</f>
        <v>115.15745344782</v>
      </c>
      <c r="D10" s="144">
        <f>March!K199/1000000000</f>
        <v>122.05416232452002</v>
      </c>
      <c r="E10" s="139"/>
      <c r="F10" s="2"/>
      <c r="G10" s="2"/>
      <c r="H10" s="2"/>
      <c r="I10" s="2"/>
      <c r="J10" s="2"/>
      <c r="K10" s="2"/>
    </row>
    <row r="11" spans="1:11">
      <c r="A11" s="141" t="s">
        <v>177</v>
      </c>
      <c r="B11" s="144">
        <v>9.6636794293600001</v>
      </c>
      <c r="C11" s="144">
        <f>[1]February!K202/1000000000</f>
        <v>13.45514408373</v>
      </c>
      <c r="D11" s="144">
        <f>March!K205/1000000000</f>
        <v>14.888870245850001</v>
      </c>
      <c r="E11" s="139"/>
      <c r="F11" s="2"/>
      <c r="G11" s="2"/>
      <c r="H11" s="2"/>
      <c r="I11" s="2"/>
      <c r="J11" s="2"/>
      <c r="K11" s="2"/>
    </row>
    <row r="12" spans="1:11">
      <c r="A12" s="141" t="s">
        <v>198</v>
      </c>
      <c r="B12" s="144">
        <v>85.494358341669994</v>
      </c>
      <c r="C12" s="144">
        <f>[1]February!K230/1000000000</f>
        <v>104.38107421831002</v>
      </c>
      <c r="D12" s="144">
        <f>March!K233/1000000000</f>
        <v>113.76642563845998</v>
      </c>
      <c r="E12" s="139"/>
      <c r="F12" s="2"/>
      <c r="G12" s="2"/>
      <c r="H12" s="2"/>
      <c r="I12" s="2"/>
      <c r="J12" s="2"/>
      <c r="K12" s="2"/>
    </row>
    <row r="13" spans="1:11">
      <c r="A13" s="141" t="s">
        <v>276</v>
      </c>
      <c r="B13" s="144">
        <v>20.4383178947628</v>
      </c>
      <c r="C13" s="144">
        <f>[1]February!K239/1000000000</f>
        <v>30.015611170228798</v>
      </c>
      <c r="D13" s="144">
        <f>March!K242/1000000000</f>
        <v>30.181266886718799</v>
      </c>
      <c r="E13" s="139"/>
      <c r="F13" s="2"/>
      <c r="G13" s="2"/>
      <c r="H13" s="2"/>
      <c r="I13" s="2"/>
      <c r="J13" s="2"/>
      <c r="K13" s="2"/>
    </row>
    <row r="14" spans="1:11">
      <c r="A14" s="140"/>
      <c r="B14" s="140"/>
      <c r="C14" s="140"/>
      <c r="D14" s="140"/>
      <c r="E14" s="139"/>
      <c r="F14" s="2"/>
      <c r="G14" s="2"/>
      <c r="H14" s="2"/>
      <c r="I14" s="2"/>
      <c r="J14" s="2"/>
      <c r="K14" s="2"/>
    </row>
    <row r="15" spans="1:11">
      <c r="A15" s="140"/>
      <c r="B15" s="140"/>
      <c r="C15" s="140"/>
      <c r="D15" s="140"/>
      <c r="E15" s="139"/>
      <c r="F15" s="2"/>
      <c r="G15" s="2"/>
      <c r="H15" s="2"/>
      <c r="I15" s="2"/>
      <c r="J15" s="2"/>
      <c r="K15" s="2"/>
    </row>
    <row r="16" spans="1:11">
      <c r="A16" s="140"/>
      <c r="B16" s="145"/>
      <c r="C16" s="145"/>
      <c r="D16" s="140"/>
      <c r="E16" s="139"/>
      <c r="F16" s="2"/>
      <c r="G16" s="2"/>
      <c r="H16" s="2"/>
      <c r="I16" s="2"/>
      <c r="J16" s="2"/>
      <c r="K16" s="2"/>
    </row>
    <row r="17" spans="1:11">
      <c r="A17" s="146"/>
      <c r="B17" s="147"/>
      <c r="C17" s="147"/>
      <c r="D17" s="140"/>
      <c r="E17" s="139"/>
      <c r="F17" s="2"/>
      <c r="G17" s="2"/>
      <c r="H17" s="2"/>
      <c r="I17" s="2"/>
      <c r="J17" s="2"/>
      <c r="K17" s="2"/>
    </row>
    <row r="18" spans="1:11" ht="15.6">
      <c r="A18" s="148"/>
      <c r="B18" s="149"/>
      <c r="C18" s="149"/>
      <c r="D18" s="139"/>
      <c r="E18" s="139"/>
      <c r="F18" s="2"/>
      <c r="G18" s="2"/>
      <c r="H18" s="2"/>
      <c r="I18" s="2"/>
      <c r="J18" s="2"/>
      <c r="K18" s="2"/>
    </row>
    <row r="19" spans="1:11">
      <c r="A19" s="150"/>
      <c r="B19" s="151"/>
      <c r="C19" s="151"/>
      <c r="D19" s="139"/>
      <c r="E19" s="139"/>
      <c r="F19" s="2"/>
      <c r="G19" s="2"/>
      <c r="H19" s="2"/>
      <c r="I19" s="2"/>
      <c r="J19" s="2"/>
      <c r="K19" s="2"/>
    </row>
    <row r="20" spans="1:11">
      <c r="A20" s="150"/>
      <c r="B20" s="149"/>
      <c r="C20" s="149"/>
      <c r="D20" s="139"/>
      <c r="E20" s="139"/>
      <c r="F20" s="2"/>
      <c r="G20" s="2"/>
      <c r="H20" s="2"/>
      <c r="I20" s="2"/>
      <c r="J20" s="2"/>
      <c r="K20" s="2"/>
    </row>
    <row r="21" spans="1:11">
      <c r="A21" s="47"/>
      <c r="B21" s="45"/>
      <c r="C21" s="45"/>
      <c r="D21" s="2"/>
      <c r="E21" s="2"/>
      <c r="F21" s="2"/>
      <c r="G21" s="2"/>
      <c r="H21" s="2"/>
      <c r="I21" s="2"/>
      <c r="J21" s="2"/>
      <c r="K21" s="2"/>
    </row>
    <row r="22" spans="1:11">
      <c r="A22" s="47"/>
      <c r="B22" s="48"/>
      <c r="C22" s="48"/>
      <c r="D22" s="2"/>
      <c r="E22" s="2"/>
      <c r="F22" s="2"/>
      <c r="G22" s="2"/>
      <c r="H22" s="2"/>
      <c r="I22" s="2"/>
      <c r="J22" s="2"/>
      <c r="K22" s="2"/>
    </row>
    <row r="23" spans="1:11">
      <c r="A23" s="47"/>
      <c r="B23" s="45"/>
      <c r="C23" s="45"/>
      <c r="D23" s="2"/>
      <c r="E23" s="2"/>
      <c r="F23" s="2"/>
      <c r="G23" s="2"/>
      <c r="H23" s="2"/>
      <c r="I23" s="2"/>
      <c r="J23" s="2"/>
      <c r="K23" s="2"/>
    </row>
    <row r="24" spans="1:11">
      <c r="A24" s="47"/>
      <c r="B24" s="45"/>
      <c r="C24" s="45"/>
      <c r="D24" s="2"/>
      <c r="E24" s="2"/>
      <c r="F24" s="2"/>
      <c r="G24" s="2"/>
      <c r="H24" s="2"/>
      <c r="I24" s="2"/>
      <c r="J24" s="2"/>
      <c r="K24" s="2"/>
    </row>
    <row r="25" spans="1:11">
      <c r="A25" s="47"/>
      <c r="B25" s="45"/>
      <c r="C25" s="45"/>
      <c r="D25" s="2"/>
      <c r="E25" s="2"/>
      <c r="F25" s="2"/>
      <c r="G25" s="2"/>
      <c r="H25" s="2"/>
      <c r="I25" s="2"/>
      <c r="J25" s="2"/>
      <c r="K25" s="2"/>
    </row>
    <row r="26" spans="1:11">
      <c r="A26" s="47"/>
      <c r="B26" s="45"/>
      <c r="C26" s="45"/>
      <c r="D26" s="2"/>
      <c r="E26" s="2"/>
      <c r="F26" s="2"/>
      <c r="G26" s="2"/>
      <c r="H26" s="2"/>
      <c r="I26" s="2"/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</sheetData>
  <sheetProtection algorithmName="SHA-512" hashValue="8Uw8xyV3HXhe2XV7+Kaq4uDa8TdG+F9EqF50Aoc+LlaW/aDQB3W1usOd5mEc5A/zkHwfNKOZmvnAMs8DHbXbxg==" saltValue="D18VBc1NMjOKuEqOzodol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85" zoomScaleNormal="85" workbookViewId="0">
      <selection activeCell="M12" sqref="M12"/>
    </sheetView>
  </sheetViews>
  <sheetFormatPr defaultColWidth="9" defaultRowHeight="14.4"/>
  <cols>
    <col min="1" max="1" width="26.77734375" customWidth="1"/>
    <col min="2" max="2" width="21.21875" customWidth="1"/>
  </cols>
  <sheetData>
    <row r="1" spans="1:7">
      <c r="A1" s="94" t="s">
        <v>194</v>
      </c>
      <c r="B1" s="95" t="s">
        <v>330</v>
      </c>
      <c r="C1" s="87"/>
      <c r="D1" s="87"/>
      <c r="E1" s="2"/>
      <c r="F1" s="2"/>
      <c r="G1" s="2"/>
    </row>
    <row r="2" spans="1:7">
      <c r="A2" s="94" t="s">
        <v>177</v>
      </c>
      <c r="B2" s="96">
        <f>March!K205</f>
        <v>14888870245.85</v>
      </c>
      <c r="C2" s="87"/>
      <c r="D2" s="87"/>
      <c r="E2" s="2"/>
      <c r="F2" s="2"/>
      <c r="G2" s="2"/>
    </row>
    <row r="3" spans="1:7">
      <c r="A3" s="94" t="s">
        <v>276</v>
      </c>
      <c r="B3" s="96">
        <f>March!K242</f>
        <v>30181266886.7188</v>
      </c>
      <c r="C3" s="87"/>
      <c r="D3" s="87"/>
      <c r="E3" s="2"/>
      <c r="F3" s="2"/>
      <c r="G3" s="2"/>
    </row>
    <row r="4" spans="1:7">
      <c r="A4" s="94" t="s">
        <v>198</v>
      </c>
      <c r="B4" s="97">
        <f>March!K233</f>
        <v>113766425638.45998</v>
      </c>
      <c r="C4" s="87"/>
      <c r="D4" s="87"/>
      <c r="E4" s="2"/>
      <c r="F4" s="2"/>
      <c r="G4" s="2"/>
    </row>
    <row r="5" spans="1:7">
      <c r="A5" s="94" t="s">
        <v>20</v>
      </c>
      <c r="B5" s="98">
        <f>March!K25</f>
        <v>173982329435.05002</v>
      </c>
      <c r="C5" s="87"/>
      <c r="D5" s="87"/>
      <c r="E5" s="2"/>
      <c r="F5" s="2"/>
      <c r="G5" s="2"/>
    </row>
    <row r="6" spans="1:7">
      <c r="A6" s="94" t="s">
        <v>155</v>
      </c>
      <c r="B6" s="98">
        <f>March!K199</f>
        <v>122054162324.52002</v>
      </c>
      <c r="C6" s="87"/>
      <c r="D6" s="87"/>
      <c r="E6" s="2"/>
      <c r="F6" s="2"/>
      <c r="G6" s="2"/>
    </row>
    <row r="7" spans="1:7">
      <c r="A7" s="94" t="s">
        <v>195</v>
      </c>
      <c r="B7" s="99">
        <f>March!K115</f>
        <v>252511311664.87003</v>
      </c>
      <c r="C7" s="87"/>
      <c r="D7" s="87"/>
      <c r="E7" s="2"/>
      <c r="F7" s="2"/>
      <c r="G7" s="2"/>
    </row>
    <row r="8" spans="1:7">
      <c r="A8" s="94" t="s">
        <v>197</v>
      </c>
      <c r="B8" s="99">
        <f>March!K167</f>
        <v>525405234148.26996</v>
      </c>
      <c r="C8" s="87"/>
      <c r="D8" s="87"/>
      <c r="E8" s="2"/>
      <c r="F8" s="2"/>
      <c r="G8" s="2"/>
    </row>
    <row r="9" spans="1:7">
      <c r="A9" s="94" t="s">
        <v>196</v>
      </c>
      <c r="B9" s="98">
        <f>March!K158</f>
        <v>1854493071648.4597</v>
      </c>
      <c r="C9" s="87"/>
      <c r="D9" s="87"/>
      <c r="E9" s="2"/>
      <c r="F9" s="2"/>
      <c r="G9" s="2"/>
    </row>
    <row r="10" spans="1:7">
      <c r="A10" s="94" t="s">
        <v>52</v>
      </c>
      <c r="B10" s="98">
        <f>March!K74</f>
        <v>5508767882454.9756</v>
      </c>
      <c r="C10" s="87"/>
      <c r="D10" s="87"/>
      <c r="E10" s="2"/>
      <c r="F10" s="2"/>
      <c r="G10" s="2"/>
    </row>
    <row r="11" spans="1:7">
      <c r="A11" s="87"/>
      <c r="B11" s="87"/>
      <c r="C11" s="87"/>
      <c r="D11" s="87"/>
      <c r="E11" s="2"/>
      <c r="F11" s="2"/>
      <c r="G11" s="2"/>
    </row>
    <row r="12" spans="1:7">
      <c r="A12" s="92"/>
      <c r="B12" s="87"/>
      <c r="C12" s="87"/>
      <c r="D12" s="87"/>
      <c r="E12" s="2"/>
      <c r="F12" s="2"/>
      <c r="G12" s="2"/>
    </row>
    <row r="13" spans="1:7">
      <c r="A13" s="100"/>
      <c r="B13" s="87"/>
      <c r="C13" s="87"/>
      <c r="D13" s="87"/>
      <c r="E13" s="2"/>
      <c r="F13" s="2"/>
      <c r="G13" s="2"/>
    </row>
    <row r="14" spans="1:7" ht="15" customHeight="1">
      <c r="A14" s="2"/>
      <c r="B14" s="81"/>
      <c r="C14" s="2"/>
      <c r="D14" s="2"/>
      <c r="E14" s="2"/>
      <c r="F14" s="2"/>
      <c r="G14" s="2"/>
    </row>
    <row r="15" spans="1:7">
      <c r="A15" s="2"/>
      <c r="B15" s="81"/>
      <c r="C15" s="2"/>
      <c r="D15" s="2"/>
      <c r="E15" s="2"/>
      <c r="F15" s="2"/>
      <c r="G15" s="2"/>
    </row>
    <row r="16" spans="1:7">
      <c r="A16" s="82"/>
      <c r="B16" s="81"/>
      <c r="C16" s="2"/>
      <c r="D16" s="2"/>
      <c r="E16" s="2"/>
      <c r="F16" s="2"/>
      <c r="G16" s="2"/>
    </row>
    <row r="17" spans="1:7">
      <c r="A17" s="83"/>
      <c r="B17" s="81"/>
      <c r="C17" s="2"/>
      <c r="D17" s="2"/>
      <c r="E17" s="2"/>
      <c r="F17" s="2"/>
      <c r="G17" s="2"/>
    </row>
    <row r="18" spans="1:7">
      <c r="A18" s="83"/>
      <c r="B18" s="81"/>
      <c r="C18" s="2"/>
      <c r="D18" s="2"/>
      <c r="E18" s="2"/>
      <c r="F18" s="2"/>
      <c r="G18" s="2"/>
    </row>
    <row r="19" spans="1:7">
      <c r="A19" s="82"/>
      <c r="B19" s="81"/>
      <c r="C19" s="2"/>
      <c r="D19" s="2"/>
      <c r="E19" s="2"/>
      <c r="F19" s="2"/>
      <c r="G19" s="2"/>
    </row>
    <row r="20" spans="1:7">
      <c r="A20" s="84"/>
      <c r="B20" s="81"/>
      <c r="C20" s="2"/>
      <c r="D20" s="2"/>
      <c r="E20" s="2"/>
      <c r="F20" s="2"/>
      <c r="G20" s="2"/>
    </row>
    <row r="21" spans="1:7">
      <c r="A21" s="85"/>
      <c r="B21" s="81"/>
      <c r="C21" s="2"/>
      <c r="D21" s="2"/>
      <c r="E21" s="2"/>
      <c r="F21" s="2"/>
      <c r="G21" s="2"/>
    </row>
    <row r="22" spans="1:7">
      <c r="A22" s="47"/>
      <c r="B22" s="46"/>
      <c r="C22" s="2"/>
      <c r="D22" s="2"/>
      <c r="E22" s="2"/>
      <c r="F22" s="2"/>
      <c r="G22" s="2"/>
    </row>
    <row r="23" spans="1:7">
      <c r="A23" s="2"/>
      <c r="B23" s="46"/>
      <c r="C23" s="2"/>
      <c r="D23" s="2"/>
      <c r="E23" s="2"/>
      <c r="F23" s="2"/>
    </row>
    <row r="24" spans="1:7">
      <c r="A24" s="2"/>
      <c r="B24" s="2"/>
      <c r="C24" s="2"/>
      <c r="D24" s="2"/>
      <c r="E24" s="2"/>
      <c r="F24" s="2"/>
    </row>
    <row r="25" spans="1:7">
      <c r="A25" s="2"/>
      <c r="B25" s="2"/>
      <c r="C25" s="2"/>
      <c r="D25" s="2"/>
      <c r="E25" s="2"/>
      <c r="F25" s="2"/>
    </row>
    <row r="26" spans="1:7">
      <c r="A26" s="2"/>
      <c r="B26" s="2"/>
      <c r="C26" s="2"/>
      <c r="D26" s="2"/>
      <c r="E26" s="2"/>
      <c r="F26" s="2"/>
    </row>
    <row r="27" spans="1:7">
      <c r="A27" s="2"/>
      <c r="B27" s="2"/>
      <c r="C27" s="2"/>
      <c r="D27" s="2"/>
      <c r="E27" s="2"/>
      <c r="F27" s="2"/>
    </row>
    <row r="28" spans="1:7">
      <c r="A28" s="2"/>
      <c r="B28" s="2"/>
      <c r="C28" s="2"/>
      <c r="D28" s="2"/>
      <c r="E28" s="2"/>
      <c r="F28" s="2"/>
    </row>
    <row r="29" spans="1:7">
      <c r="A29" s="2"/>
      <c r="B29" s="2"/>
      <c r="C29" s="2"/>
      <c r="D29" s="2"/>
      <c r="E29" s="2"/>
      <c r="F29" s="2"/>
    </row>
    <row r="30" spans="1:7">
      <c r="A30" s="2"/>
      <c r="B30" s="2"/>
      <c r="C30" s="2"/>
      <c r="D30" s="2"/>
      <c r="E30" s="2"/>
      <c r="F30" s="2"/>
    </row>
    <row r="33" spans="1:17" ht="16.05" customHeight="1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"/>
    </row>
    <row r="34" spans="1:17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"/>
    </row>
  </sheetData>
  <sheetProtection algorithmName="SHA-512" hashValue="0gPq2K9qgtUhesQSTZ1N3k7yxhcW8csj/2NO4+8qNAnkpIRjKfT7L3iqtMxx0PZo1ETWujQZNqDjrJ6TWVPZrg==" saltValue="X6zSQbs5djka/8k0hMBTqQ==" spinCount="100000" sheet="1" objects="1" scenarios="1"/>
  <sortState ref="A13:A19">
    <sortCondition ref="A12:A1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F8" sqref="F8"/>
    </sheetView>
  </sheetViews>
  <sheetFormatPr defaultColWidth="9" defaultRowHeight="14.4"/>
  <cols>
    <col min="1" max="1" width="34.77734375" customWidth="1"/>
    <col min="2" max="2" width="15" customWidth="1"/>
  </cols>
  <sheetData>
    <row r="1" spans="1:8">
      <c r="A1" s="2"/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87"/>
      <c r="B3" s="87"/>
      <c r="C3" s="87"/>
      <c r="D3" s="87"/>
      <c r="E3" s="2"/>
      <c r="F3" s="2"/>
      <c r="G3" s="2"/>
      <c r="H3" s="2"/>
    </row>
    <row r="4" spans="1:8">
      <c r="A4" s="87"/>
      <c r="B4" s="87"/>
      <c r="C4" s="87"/>
      <c r="D4" s="87"/>
      <c r="E4" s="2"/>
      <c r="F4" s="2"/>
      <c r="G4" s="2"/>
      <c r="H4" s="2"/>
    </row>
    <row r="5" spans="1:8" ht="15.6">
      <c r="A5" s="88" t="s">
        <v>194</v>
      </c>
      <c r="B5" s="89" t="s">
        <v>199</v>
      </c>
      <c r="C5" s="87"/>
      <c r="D5" s="87"/>
      <c r="E5" s="2"/>
      <c r="F5" s="2"/>
      <c r="G5" s="2"/>
      <c r="H5" s="2"/>
    </row>
    <row r="6" spans="1:8">
      <c r="A6" s="90" t="s">
        <v>20</v>
      </c>
      <c r="B6" s="91">
        <f>March!T25</f>
        <v>83596</v>
      </c>
      <c r="C6" s="87"/>
      <c r="D6" s="87"/>
      <c r="E6" s="2"/>
      <c r="F6" s="2"/>
      <c r="G6" s="2"/>
      <c r="H6" s="2"/>
    </row>
    <row r="7" spans="1:8">
      <c r="A7" s="90" t="s">
        <v>52</v>
      </c>
      <c r="B7" s="91">
        <f>March!T74</f>
        <v>646478</v>
      </c>
      <c r="C7" s="87"/>
      <c r="D7" s="87"/>
      <c r="E7" s="2"/>
      <c r="F7" s="2"/>
      <c r="G7" s="2"/>
      <c r="H7" s="2"/>
    </row>
    <row r="8" spans="1:8">
      <c r="A8" s="90" t="s">
        <v>195</v>
      </c>
      <c r="B8" s="91">
        <f>March!T115</f>
        <v>56772</v>
      </c>
      <c r="C8" s="87"/>
      <c r="D8" s="87"/>
      <c r="E8" s="2"/>
      <c r="F8" s="2"/>
      <c r="G8" s="2"/>
      <c r="H8" s="2"/>
    </row>
    <row r="9" spans="1:8">
      <c r="A9" s="90" t="s">
        <v>196</v>
      </c>
      <c r="B9" s="91">
        <f>March!T158</f>
        <v>26679</v>
      </c>
      <c r="C9" s="87"/>
      <c r="D9" s="87"/>
      <c r="E9" s="2"/>
      <c r="F9" s="2"/>
      <c r="G9" s="2"/>
      <c r="H9" s="2"/>
    </row>
    <row r="10" spans="1:8">
      <c r="A10" s="90" t="s">
        <v>197</v>
      </c>
      <c r="B10" s="91">
        <f>March!T167</f>
        <v>230174</v>
      </c>
      <c r="C10" s="87"/>
      <c r="D10" s="87"/>
      <c r="E10" s="2"/>
      <c r="F10" s="2"/>
      <c r="G10" s="2"/>
      <c r="H10" s="2"/>
    </row>
    <row r="11" spans="1:8">
      <c r="A11" s="90" t="s">
        <v>155</v>
      </c>
      <c r="B11" s="91">
        <f>March!T199</f>
        <v>85630</v>
      </c>
      <c r="C11" s="87"/>
      <c r="D11" s="87"/>
      <c r="E11" s="2"/>
      <c r="F11" s="2"/>
      <c r="G11" s="2"/>
      <c r="H11" s="2"/>
    </row>
    <row r="12" spans="1:8">
      <c r="A12" s="90" t="s">
        <v>177</v>
      </c>
      <c r="B12" s="91">
        <f>March!T205</f>
        <v>15785</v>
      </c>
      <c r="C12" s="87"/>
      <c r="D12" s="87"/>
      <c r="E12" s="2"/>
      <c r="F12" s="2"/>
      <c r="G12" s="2"/>
      <c r="H12" s="2"/>
    </row>
    <row r="13" spans="1:8">
      <c r="A13" s="90" t="s">
        <v>198</v>
      </c>
      <c r="B13" s="91">
        <f>March!T233</f>
        <v>47016</v>
      </c>
      <c r="C13" s="87"/>
      <c r="D13" s="87"/>
      <c r="E13" s="2"/>
      <c r="F13" s="2"/>
      <c r="G13" s="2"/>
      <c r="H13" s="2"/>
    </row>
    <row r="14" spans="1:8">
      <c r="A14" s="92" t="s">
        <v>276</v>
      </c>
      <c r="B14" s="93">
        <f>March!T242</f>
        <v>127</v>
      </c>
      <c r="C14" s="87"/>
      <c r="D14" s="87"/>
      <c r="E14" s="2"/>
      <c r="F14" s="2"/>
      <c r="G14" s="2"/>
      <c r="H14" s="2"/>
    </row>
    <row r="15" spans="1:8">
      <c r="A15" s="87"/>
      <c r="B15" s="87"/>
      <c r="C15" s="87"/>
      <c r="D15" s="87"/>
      <c r="E15" s="2"/>
      <c r="F15" s="2"/>
      <c r="G15" s="2"/>
      <c r="H15" s="2"/>
    </row>
    <row r="16" spans="1:8">
      <c r="A16" s="87"/>
      <c r="B16" s="87"/>
      <c r="C16" s="87"/>
      <c r="D16" s="87"/>
      <c r="E16" s="2"/>
      <c r="F16" s="2"/>
      <c r="G16" s="2"/>
      <c r="H16" s="2"/>
    </row>
    <row r="17" spans="1:8">
      <c r="A17" s="87"/>
      <c r="B17" s="87"/>
      <c r="C17" s="87"/>
      <c r="D17" s="87"/>
      <c r="E17" s="2"/>
      <c r="F17" s="2"/>
      <c r="G17" s="2"/>
      <c r="H17" s="2"/>
    </row>
    <row r="18" spans="1:8">
      <c r="A18" s="87"/>
      <c r="B18" s="87"/>
      <c r="C18" s="87"/>
      <c r="D18" s="87"/>
      <c r="E18" s="2"/>
      <c r="F18" s="2"/>
      <c r="G18" s="2"/>
      <c r="H18" s="2"/>
    </row>
    <row r="19" spans="1:8">
      <c r="A19" s="87"/>
      <c r="B19" s="87"/>
      <c r="C19" s="87"/>
      <c r="D19" s="87"/>
      <c r="E19" s="2"/>
      <c r="F19" s="2"/>
      <c r="G19" s="2"/>
      <c r="H19" s="2"/>
    </row>
    <row r="20" spans="1:8">
      <c r="A20" s="2"/>
      <c r="B20" s="2"/>
      <c r="C20" s="2"/>
      <c r="D20" s="2"/>
      <c r="E20" s="2"/>
      <c r="F20" s="2"/>
      <c r="G20" s="2"/>
      <c r="H20" s="2"/>
    </row>
    <row r="21" spans="1:8">
      <c r="A21" s="2"/>
      <c r="B21" s="2"/>
      <c r="C21" s="2"/>
      <c r="D21" s="2"/>
      <c r="E21" s="2"/>
      <c r="F21" s="2"/>
      <c r="G21" s="2"/>
      <c r="H21" s="2"/>
    </row>
    <row r="22" spans="1:8">
      <c r="A22" s="2"/>
      <c r="B22" s="2"/>
      <c r="C22" s="2"/>
      <c r="D22" s="2"/>
      <c r="E22" s="2"/>
      <c r="F22" s="2"/>
      <c r="G22" s="2"/>
      <c r="H22" s="2"/>
    </row>
    <row r="23" spans="1:8">
      <c r="A23" s="2"/>
      <c r="B23" s="2"/>
      <c r="C23" s="2"/>
      <c r="D23" s="2"/>
      <c r="E23" s="2"/>
      <c r="F23" s="2"/>
      <c r="G23" s="2"/>
      <c r="H23" s="2"/>
    </row>
    <row r="24" spans="1:8">
      <c r="A24" s="2"/>
      <c r="B24" s="2"/>
      <c r="C24" s="2"/>
      <c r="D24" s="2"/>
      <c r="E24" s="2"/>
      <c r="F24" s="2"/>
      <c r="G24" s="2"/>
      <c r="H24" s="2"/>
    </row>
    <row r="25" spans="1:8">
      <c r="A25" s="2"/>
      <c r="B25" s="2"/>
      <c r="C25" s="2"/>
      <c r="D25" s="2"/>
      <c r="E25" s="2"/>
      <c r="F25" s="2"/>
      <c r="G25" s="2"/>
      <c r="H25" s="2"/>
    </row>
    <row r="26" spans="1:8">
      <c r="A26" s="2"/>
      <c r="B26" s="2"/>
      <c r="C26" s="2"/>
      <c r="D26" s="2"/>
      <c r="E26" s="2"/>
      <c r="F26" s="2"/>
      <c r="G26" s="2"/>
      <c r="H26" s="2"/>
    </row>
    <row r="27" spans="1:8">
      <c r="A27" s="2"/>
      <c r="B27" s="2"/>
      <c r="C27" s="2"/>
      <c r="D27" s="2"/>
      <c r="E27" s="2"/>
      <c r="F27" s="2"/>
      <c r="G27" s="2"/>
      <c r="H27" s="2"/>
    </row>
    <row r="28" spans="1:8">
      <c r="A28" s="2"/>
      <c r="B28" s="2"/>
      <c r="C28" s="2"/>
      <c r="D28" s="2"/>
      <c r="E28" s="2"/>
      <c r="F28" s="2"/>
      <c r="G28" s="2"/>
      <c r="H28" s="2"/>
    </row>
    <row r="29" spans="1:8">
      <c r="A29" s="2"/>
      <c r="B29" s="2"/>
      <c r="C29" s="2"/>
      <c r="D29" s="2"/>
      <c r="E29" s="2"/>
      <c r="F29" s="2"/>
      <c r="G29" s="2"/>
      <c r="H29" s="2"/>
    </row>
  </sheetData>
  <sheetProtection algorithmName="SHA-512" hashValue="M/MZKm8zjtjSu0z4XRJn8z/KxweJiyX8aB3r4fHaPB+u0KtVIpxAHUuwDt+a6YJHJpj4prJWuxhElM7r4dshJg==" saltValue="MOkh4eprY1BL07+TD5nYl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March</vt:lpstr>
      <vt:lpstr>NAV Comparison</vt:lpstr>
      <vt:lpstr>Market Share</vt:lpstr>
      <vt:lpstr>Unitholders</vt:lpstr>
      <vt:lpstr>March!_Hlk34300669</vt:lpstr>
      <vt:lpstr>FX_RATE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RV;Mohammed N. Abdulaziz</dc:creator>
  <cp:lastModifiedBy>Isaac, Tunde</cp:lastModifiedBy>
  <cp:lastPrinted>2025-09-10T13:51:24Z</cp:lastPrinted>
  <dcterms:created xsi:type="dcterms:W3CDTF">2023-10-09T09:40:00Z</dcterms:created>
  <dcterms:modified xsi:type="dcterms:W3CDTF">2026-06-15T15:52:50Z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