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4488" yWindow="1188" windowWidth="19200" windowHeight="99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</workbook>
</file>

<file path=xl/calcChain.xml><?xml version="1.0" encoding="utf-8"?>
<calcChain xmlns="http://schemas.openxmlformats.org/spreadsheetml/2006/main">
  <c r="O153" i="1" l="1"/>
  <c r="T129" i="1"/>
  <c r="R129" i="1"/>
  <c r="O129" i="1"/>
  <c r="O142" i="1" l="1"/>
  <c r="N152" i="1"/>
  <c r="T125" i="1"/>
  <c r="R125" i="1"/>
  <c r="O125" i="1"/>
  <c r="T137" i="1"/>
  <c r="R137" i="1"/>
  <c r="O137" i="1"/>
  <c r="O150" i="1"/>
  <c r="R150" i="1"/>
  <c r="T150" i="1"/>
  <c r="O151" i="1"/>
  <c r="O130" i="1"/>
  <c r="R244" i="1"/>
  <c r="T244" i="1"/>
  <c r="O244" i="1"/>
  <c r="R155" i="1"/>
  <c r="T155" i="1"/>
  <c r="O155" i="1"/>
  <c r="R154" i="1"/>
  <c r="T154" i="1"/>
  <c r="O154" i="1"/>
  <c r="T153" i="1"/>
  <c r="R153" i="1"/>
  <c r="T143" i="1"/>
  <c r="R143" i="1"/>
  <c r="O143" i="1"/>
  <c r="T246" i="1"/>
  <c r="R246" i="1"/>
  <c r="O246" i="1"/>
  <c r="O127" i="1"/>
  <c r="R127" i="1"/>
  <c r="T127" i="1"/>
  <c r="N149" i="1"/>
  <c r="T122" i="1"/>
  <c r="R122" i="1"/>
  <c r="O122" i="1"/>
  <c r="T136" i="1"/>
  <c r="R136" i="1"/>
  <c r="O136" i="1"/>
  <c r="O135" i="1"/>
  <c r="O156" i="1"/>
  <c r="R156" i="1"/>
  <c r="T156" i="1"/>
  <c r="O160" i="1"/>
  <c r="T128" i="1"/>
  <c r="R128" i="1"/>
  <c r="O128" i="1"/>
  <c r="O148" i="1"/>
  <c r="O141" i="1"/>
  <c r="T141" i="1"/>
  <c r="R141" i="1"/>
  <c r="T241" i="1"/>
  <c r="R241" i="1"/>
  <c r="O241" i="1"/>
  <c r="T124" i="1"/>
  <c r="T123" i="1"/>
  <c r="R123" i="1"/>
  <c r="R124" i="1"/>
  <c r="O124" i="1"/>
  <c r="O123" i="1"/>
  <c r="R151" i="1" l="1"/>
  <c r="T151" i="1"/>
  <c r="X142" i="1"/>
  <c r="R142" i="1"/>
  <c r="T142" i="1"/>
  <c r="R157" i="1"/>
  <c r="R149" i="1"/>
  <c r="T149" i="1"/>
  <c r="S147" i="1"/>
  <c r="X122" i="1"/>
  <c r="R148" i="1"/>
  <c r="T148" i="1"/>
  <c r="T135" i="1"/>
  <c r="R135" i="1"/>
  <c r="T160" i="1"/>
  <c r="R160" i="1"/>
  <c r="T159" i="1"/>
  <c r="R159" i="1"/>
  <c r="T157" i="1"/>
  <c r="T152" i="1"/>
  <c r="R152" i="1"/>
  <c r="Q147" i="1"/>
  <c r="T146" i="1"/>
  <c r="R146" i="1"/>
  <c r="T144" i="1"/>
  <c r="R144" i="1"/>
  <c r="O159" i="1"/>
  <c r="O157" i="1"/>
  <c r="N147" i="1"/>
  <c r="O146" i="1"/>
  <c r="O144" i="1"/>
  <c r="T138" i="1"/>
  <c r="R138" i="1"/>
  <c r="T130" i="1"/>
  <c r="R130" i="1"/>
  <c r="T134" i="1"/>
  <c r="R134" i="1"/>
  <c r="T133" i="1"/>
  <c r="R133" i="1"/>
  <c r="T132" i="1"/>
  <c r="R132" i="1"/>
  <c r="T131" i="1"/>
  <c r="R131" i="1"/>
  <c r="T126" i="1"/>
  <c r="R126" i="1"/>
  <c r="T121" i="1"/>
  <c r="R121" i="1"/>
  <c r="O138" i="1"/>
  <c r="O134" i="1"/>
  <c r="O133" i="1"/>
  <c r="O132" i="1"/>
  <c r="O131" i="1"/>
  <c r="O126" i="1"/>
  <c r="O121" i="1"/>
  <c r="O247" i="1" l="1"/>
  <c r="X158" i="1" l="1"/>
  <c r="X157" i="1"/>
  <c r="D161" i="1" l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2" i="1"/>
  <c r="AA192" i="1"/>
  <c r="Z192" i="1"/>
  <c r="Y192" i="1"/>
  <c r="X192" i="1"/>
  <c r="AB59" i="1" l="1"/>
  <c r="AA59" i="1"/>
  <c r="Z59" i="1"/>
  <c r="Y59" i="1"/>
  <c r="X59" i="1"/>
  <c r="O203" i="1" l="1"/>
  <c r="P176" i="1" s="1"/>
  <c r="P192" i="1" l="1"/>
  <c r="P190" i="1"/>
  <c r="B5" i="3"/>
  <c r="X261" i="1" l="1"/>
  <c r="X180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33" i="1" l="1"/>
  <c r="Y33" i="1"/>
  <c r="Z33" i="1"/>
  <c r="AA33" i="1"/>
  <c r="AB33" i="1"/>
  <c r="O161" i="1" l="1"/>
  <c r="P135" i="1" s="1"/>
  <c r="P132" i="1" l="1"/>
  <c r="P142" i="1"/>
  <c r="P133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8" i="1" l="1"/>
  <c r="Y85" i="1" l="1"/>
  <c r="I11" i="4" l="1"/>
  <c r="P233" i="1" l="1"/>
  <c r="X233" i="1"/>
  <c r="J11" i="4" l="1"/>
  <c r="P173" i="1"/>
  <c r="P183" i="1" l="1"/>
  <c r="P191" i="1"/>
  <c r="Y220" i="1"/>
  <c r="Y168" i="1"/>
  <c r="X37" i="1" l="1"/>
  <c r="AB24" i="1"/>
  <c r="AA24" i="1"/>
  <c r="Z24" i="1"/>
  <c r="Y24" i="1"/>
  <c r="X24" i="1"/>
  <c r="P207" i="1" l="1"/>
  <c r="P234" i="1" l="1"/>
  <c r="AB196" i="1" l="1"/>
  <c r="AA196" i="1"/>
  <c r="Z196" i="1"/>
  <c r="Y196" i="1"/>
  <c r="X196" i="1"/>
  <c r="X148" i="1" l="1"/>
  <c r="Y136" i="1"/>
  <c r="Y132" i="1"/>
  <c r="Y131" i="1"/>
  <c r="Y244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3" i="1"/>
  <c r="AA243" i="1"/>
  <c r="Z243" i="1"/>
  <c r="Y243" i="1"/>
  <c r="X243" i="1"/>
  <c r="AB244" i="1"/>
  <c r="AA244" i="1"/>
  <c r="Z244" i="1"/>
  <c r="X244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AB202" i="1"/>
  <c r="AA202" i="1"/>
  <c r="Z202" i="1"/>
  <c r="Y202" i="1"/>
  <c r="X202" i="1"/>
  <c r="AB201" i="1"/>
  <c r="AA201" i="1"/>
  <c r="Z201" i="1"/>
  <c r="Y201" i="1"/>
  <c r="X201" i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X198" i="1"/>
  <c r="AB197" i="1"/>
  <c r="AA197" i="1"/>
  <c r="Z197" i="1"/>
  <c r="Y197" i="1"/>
  <c r="X197" i="1"/>
  <c r="AB195" i="1"/>
  <c r="AA195" i="1"/>
  <c r="Z195" i="1"/>
  <c r="Y195" i="1"/>
  <c r="X195" i="1"/>
  <c r="AB194" i="1"/>
  <c r="AA194" i="1"/>
  <c r="Z194" i="1"/>
  <c r="Y194" i="1"/>
  <c r="X194" i="1"/>
  <c r="AB193" i="1"/>
  <c r="AA193" i="1"/>
  <c r="Z193" i="1"/>
  <c r="Y193" i="1"/>
  <c r="X193" i="1"/>
  <c r="AB191" i="1"/>
  <c r="AA191" i="1"/>
  <c r="Z191" i="1"/>
  <c r="Y191" i="1"/>
  <c r="X191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AB179" i="1"/>
  <c r="AA179" i="1"/>
  <c r="Z179" i="1"/>
  <c r="Y179" i="1"/>
  <c r="X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0" i="1"/>
  <c r="AA130" i="1"/>
  <c r="Z130" i="1"/>
  <c r="Y130" i="1"/>
  <c r="X130" i="1"/>
  <c r="AB134" i="1"/>
  <c r="AA134" i="1"/>
  <c r="Z134" i="1"/>
  <c r="Y134" i="1"/>
  <c r="X134" i="1"/>
  <c r="AB133" i="1"/>
  <c r="AA133" i="1"/>
  <c r="Z133" i="1"/>
  <c r="Y133" i="1"/>
  <c r="AB132" i="1"/>
  <c r="AA132" i="1"/>
  <c r="Z132" i="1"/>
  <c r="AB131" i="1"/>
  <c r="AA131" i="1"/>
  <c r="Z131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X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5" i="1"/>
  <c r="AA95" i="1"/>
  <c r="Z95" i="1"/>
  <c r="Y95" i="1"/>
  <c r="X95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47" i="1"/>
  <c r="AA47" i="1"/>
  <c r="Z47" i="1"/>
  <c r="Y47" i="1"/>
  <c r="X4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4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2" i="1"/>
  <c r="AA12" i="1"/>
  <c r="Z12" i="1"/>
  <c r="Y12" i="1"/>
  <c r="X12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2" i="1"/>
  <c r="P103" i="1"/>
  <c r="P115" i="1"/>
  <c r="B4" i="3"/>
  <c r="P228" i="1"/>
  <c r="P266" i="1"/>
  <c r="P261" i="1"/>
  <c r="P166" i="1"/>
  <c r="B8" i="3"/>
  <c r="P86" i="1"/>
  <c r="B7" i="3"/>
  <c r="F59" i="1"/>
  <c r="P59" i="1"/>
  <c r="P49" i="1"/>
  <c r="P74" i="1"/>
  <c r="P88" i="1"/>
  <c r="P95" i="1"/>
  <c r="P72" i="1"/>
  <c r="P223" i="1"/>
  <c r="P41" i="1"/>
  <c r="P73" i="1"/>
  <c r="P50" i="1"/>
  <c r="F31" i="1"/>
  <c r="P31" i="1"/>
  <c r="B16" i="2"/>
  <c r="B6" i="2" s="1"/>
  <c r="F142" i="1"/>
  <c r="P33" i="1"/>
  <c r="P99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3" i="1"/>
  <c r="P24" i="1"/>
  <c r="F7" i="1"/>
  <c r="F11" i="1"/>
  <c r="F16" i="1"/>
  <c r="P30" i="1"/>
  <c r="F103" i="1"/>
  <c r="P220" i="1"/>
  <c r="F115" i="1"/>
  <c r="F21" i="1"/>
  <c r="F19" i="1"/>
  <c r="Z203" i="1"/>
  <c r="F12" i="1"/>
  <c r="F102" i="1"/>
  <c r="F181" i="1"/>
  <c r="F179" i="1"/>
  <c r="F177" i="1"/>
  <c r="F175" i="1"/>
  <c r="P168" i="1"/>
  <c r="P196" i="1"/>
  <c r="P185" i="1"/>
  <c r="P48" i="1"/>
  <c r="F250" i="1"/>
  <c r="F99" i="1"/>
  <c r="F100" i="1"/>
  <c r="F97" i="1"/>
  <c r="F80" i="1"/>
  <c r="F94" i="1"/>
  <c r="F92" i="1"/>
  <c r="F104" i="1"/>
  <c r="B18" i="2"/>
  <c r="B8" i="2" s="1"/>
  <c r="F196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4" i="1"/>
  <c r="Z209" i="1"/>
  <c r="F233" i="1"/>
  <c r="F208" i="1"/>
  <c r="F183" i="1"/>
  <c r="F168" i="1"/>
  <c r="F23" i="1"/>
  <c r="D13" i="4"/>
  <c r="Z237" i="1"/>
  <c r="P89" i="1"/>
  <c r="F55" i="1"/>
  <c r="P56" i="1"/>
  <c r="F47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1" i="1"/>
  <c r="F199" i="1"/>
  <c r="F197" i="1"/>
  <c r="F194" i="1"/>
  <c r="F191" i="1"/>
  <c r="F174" i="1"/>
  <c r="F176" i="1"/>
  <c r="F189" i="1"/>
  <c r="F187" i="1"/>
  <c r="F185" i="1"/>
  <c r="Z170" i="1"/>
  <c r="Z161" i="1"/>
  <c r="F134" i="1"/>
  <c r="F150" i="1"/>
  <c r="F152" i="1"/>
  <c r="F121" i="1"/>
  <c r="F123" i="1"/>
  <c r="F132" i="1"/>
  <c r="F129" i="1"/>
  <c r="F138" i="1"/>
  <c r="F156" i="1"/>
  <c r="F125" i="1"/>
  <c r="F143" i="1"/>
  <c r="F145" i="1"/>
  <c r="F147" i="1"/>
  <c r="F158" i="1"/>
  <c r="F149" i="1"/>
  <c r="F133" i="1"/>
  <c r="F151" i="1"/>
  <c r="F160" i="1"/>
  <c r="F122" i="1"/>
  <c r="F130" i="1"/>
  <c r="F153" i="1"/>
  <c r="F124" i="1"/>
  <c r="F128" i="1"/>
  <c r="F131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6" i="1"/>
  <c r="F98" i="1"/>
  <c r="F95" i="1"/>
  <c r="F101" i="1"/>
  <c r="Z76" i="1"/>
  <c r="F6" i="1"/>
  <c r="F8" i="1"/>
  <c r="F10" i="1"/>
  <c r="F13" i="1"/>
  <c r="F15" i="1"/>
  <c r="F17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8" i="1"/>
  <c r="P108" i="1"/>
  <c r="P79" i="1"/>
  <c r="P85" i="1"/>
  <c r="P93" i="1"/>
  <c r="P101" i="1"/>
  <c r="P105" i="1"/>
  <c r="P112" i="1"/>
  <c r="P83" i="1"/>
  <c r="P87" i="1"/>
  <c r="P91" i="1"/>
  <c r="P96" i="1"/>
  <c r="P110" i="1"/>
  <c r="P114" i="1"/>
  <c r="P179" i="1"/>
  <c r="P180" i="1"/>
  <c r="P184" i="1"/>
  <c r="P187" i="1"/>
  <c r="P188" i="1"/>
  <c r="P193" i="1"/>
  <c r="P197" i="1"/>
  <c r="P198" i="1"/>
  <c r="P201" i="1"/>
  <c r="P202" i="1"/>
  <c r="P174" i="1"/>
  <c r="P258" i="1"/>
  <c r="P262" i="1"/>
  <c r="P256" i="1"/>
  <c r="P260" i="1"/>
  <c r="P264" i="1"/>
  <c r="P255" i="1"/>
  <c r="P257" i="1"/>
  <c r="P259" i="1"/>
  <c r="P263" i="1"/>
  <c r="P265" i="1"/>
  <c r="P54" i="1"/>
  <c r="P175" i="1"/>
  <c r="P177" i="1"/>
  <c r="P178" i="1"/>
  <c r="P181" i="1"/>
  <c r="P182" i="1"/>
  <c r="P186" i="1"/>
  <c r="P189" i="1"/>
  <c r="P194" i="1"/>
  <c r="P195" i="1"/>
  <c r="P199" i="1"/>
  <c r="P200" i="1"/>
  <c r="F29" i="1"/>
  <c r="F32" i="1"/>
  <c r="F35" i="1"/>
  <c r="P36" i="1"/>
  <c r="P6" i="1"/>
  <c r="P15" i="1"/>
  <c r="P8" i="1"/>
  <c r="P17" i="1"/>
  <c r="P7" i="1"/>
  <c r="P9" i="1"/>
  <c r="P11" i="1"/>
  <c r="P14" i="1"/>
  <c r="P16" i="1"/>
  <c r="P19" i="1"/>
  <c r="P12" i="1"/>
  <c r="P21" i="1"/>
  <c r="P80" i="1"/>
  <c r="F83" i="1"/>
  <c r="P84" i="1"/>
  <c r="P90" i="1"/>
  <c r="P92" i="1"/>
  <c r="P94" i="1"/>
  <c r="P97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9" i="1"/>
  <c r="F51" i="1"/>
  <c r="P52" i="1"/>
  <c r="F53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8" i="1"/>
  <c r="F50" i="1"/>
  <c r="P51" i="1"/>
  <c r="F52" i="1"/>
  <c r="P53" i="1"/>
  <c r="P55" i="1"/>
  <c r="F56" i="1"/>
  <c r="P47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3" i="1"/>
  <c r="X131" i="1"/>
  <c r="X132" i="1"/>
  <c r="X133" i="1"/>
  <c r="C17" i="2"/>
  <c r="C7" i="2" s="1"/>
  <c r="X170" i="1"/>
  <c r="P169" i="1"/>
  <c r="P167" i="1"/>
  <c r="P165" i="1"/>
  <c r="P164" i="1"/>
  <c r="P243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8" i="1"/>
  <c r="F180" i="1"/>
  <c r="F182" i="1"/>
  <c r="F184" i="1"/>
  <c r="F186" i="1"/>
  <c r="F188" i="1"/>
  <c r="F190" i="1"/>
  <c r="F193" i="1"/>
  <c r="F195" i="1"/>
  <c r="F198" i="1"/>
  <c r="F200" i="1"/>
  <c r="F202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4" i="1"/>
  <c r="F243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0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1" i="1"/>
  <c r="P147" i="1"/>
  <c r="P124" i="1"/>
  <c r="P126" i="1"/>
  <c r="P134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<sst xmlns="http://schemas.openxmlformats.org/spreadsheetml/2006/main" count="1665" uniqueCount="347">
  <si>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</si>
  <si>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</si>
  <si>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</si>
  <si>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</si>
  <si>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</si>
  <si>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</si>
  <si>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</si>
  <si>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</si>
  <si>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</si>
  <si>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</si>
  <si>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</si>
  <si>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</si>
  <si>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</si>
  <si>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</si>
  <si>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</si>
  <si>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</si>
  <si>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</si>
  <si>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</si>
  <si>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</si>
  <si>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</si>
  <si>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</si>
  <si>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</si>
  <si>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</si>
  <si>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</si>
  <si>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</si>
  <si>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</si>
  <si>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</si>
  <si>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</si>
  <si>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</si>
  <si>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</si>
  <si>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</si>
  <si>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</si>
  <si>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</si>
  <si>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</si>
  <si>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</si>
  <si>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</si>
  <si>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</si>
  <si>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</si>
  <si>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</si>
  <si>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</si>
  <si>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</si>
  <si>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</si>
  <si>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</si>
  <si>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</si>
  <si>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</si>
  <si>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</si>
  <si>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</si>
  <si>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</si>
  <si>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</si>
  <si>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</si>
  <si>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</si>
  <si>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</si>
  <si>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</si>
  <si>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</si>
  <si>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</si>
  <si>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</si>
  <si>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</si>
  <si>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</si>
  <si>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</si>
  <si>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</si>
  <si>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</si>
  <si>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</si>
  <si>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</si>
  <si>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</si>
  <si>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</si>
  <si>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</si>
  <si>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</si>
  <si>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</si>
  <si>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</si>
  <si>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</si>
  <si>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</si>
  <si>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</si>
  <si>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</si>
  <si>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</si>
  <si>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</si>
  <si>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</si>
  <si>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</si>
  <si>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</si>
  <si>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</si>
  <si>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</si>
  <si>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</si>
  <si>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</si>
  <si>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</si>
  <si>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</si>
  <si>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</si>
  <si>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</si>
  <si>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</si>
  <si>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</si>
  <si>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</si>
  <si>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</si>
  <si>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</si>
  <si>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</si>
  <si>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</si>
  <si>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</si>
  <si>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</si>
  <si>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</si>
  <si>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</si>
  <si>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</si>
  <si>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</si>
  <si>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</si>
  <si>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</si>
  <si>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</si>
  <si>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</si>
  <si>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</si>
  <si>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</si>
  <si>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</si>
  <si>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</si>
  <si>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</si>
  <si>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</si>
  <si>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</si>
  <si>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</si>
  <si>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</si>
  <si>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</si>
  <si>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</si>
  <si>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</si>
  <si>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</si>
  <si>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</si>
  <si>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</si>
  <si>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</si>
  <si>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</si>
  <si>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</si>
  <si>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</si>
  <si>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</si>
  <si>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</si>
  <si>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</si>
  <si>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</si>
  <si>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</si>
  <si>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</si>
  <si>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</si>
  <si>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</si>
  <si>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</si>
  <si>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</si>
  <si>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</si>
  <si>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</si>
  <si>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</si>
  <si>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</si>
  <si>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</si>
  <si>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</si>
  <si>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</si>
  <si>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</si>
  <si>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</si>
  <si>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</si>
  <si>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</si>
  <si>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</si>
  <si>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</si>
  <si>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</si>
  <si>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</si>
  <si>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</si>
  <si>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</si>
  <si>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</si>
  <si>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</si>
  <si>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</si>
  <si>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</si>
  <si>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</si>
  <si>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</si>
  <si>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</si>
  <si>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</si>
  <si>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</si>
  <si>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</si>
  <si>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</si>
  <si>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</si>
  <si>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</si>
  <si>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</si>
  <si>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</si>
  <si>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</si>
  <si>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</si>
  <si>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</si>
  <si>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</si>
  <si>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</si>
  <si>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</si>
  <si>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</si>
  <si>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</si>
  <si>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</si>
  <si>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</si>
  <si>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</si>
  <si>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</si>
  <si>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</si>
  <si>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</si>
  <si>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</si>
  <si>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</si>
  <si>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</si>
  <si>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</si>
  <si>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</si>
  <si>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</si>
  <si>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</si>
  <si>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</si>
  <si>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</si>
  <si>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</si>
  <si>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</si>
  <si>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</si>
  <si>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</si>
  <si>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</si>
  <si>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</si>
  <si>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</si>
  <si>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</si>
  <si>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</si>
  <si>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</si>
  <si>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</si>
  <si>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</si>
  <si>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</si>
  <si>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</si>
  <si>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</si>
  <si>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</si>
  <si>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</si>
  <si>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</si>
  <si>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</si>
  <si>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</si>
  <si>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</si>
  <si>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</si>
  <si>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</si>
  <si>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</si>
  <si>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</si>
  <si>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</si>
  <si>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</si>
  <si>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</si>
  <si>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</si>
  <si>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</si>
  <si>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</si>
  <si>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</si>
  <si>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</si>
  <si>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</si>
  <si>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</si>
  <si>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</si>
  <si>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</si>
  <si>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</si>
  <si>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</si>
  <si>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</si>
  <si>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</si>
  <si>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</si>
  <si>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</si>
  <si>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</si>
  <si>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</si>
  <si>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</si>
  <si>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</si>
  <si>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</si>
  <si>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</si>
  <si>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</si>
  <si>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</si>
  <si>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</si>
  <si>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</si>
  <si>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</si>
  <si>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</si>
  <si>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</si>
  <si>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</si>
  <si>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</si>
  <si>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</si>
  <si>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</si>
  <si>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</si>
  <si>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</si>
  <si>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</si>
  <si>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</si>
  <si>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</si>
  <si>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</si>
  <si>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</si>
  <si>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</si>
  <si>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</si>
  <si>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</si>
  <si>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</si>
  <si>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</si>
  <si>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</si>
  <si>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</si>
  <si>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</si>
  <si>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</si>
  <si>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</si>
  <si>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</si>
  <si>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</si>
  <si>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</si>
  <si>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</si>
  <si>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</si>
  <si>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</si>
  <si>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</si>
  <si>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</si>
  <si>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</si>
  <si>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</si>
  <si>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</si>
  <si>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</si>
  <si>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</si>
  <si>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</si>
  <si>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</si>
  <si>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</si>
  <si>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</si>
  <si>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</si>
  <si>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</si>
  <si>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</si>
  <si>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</si>
  <si>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</si>
  <si>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</si>
  <si>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</si>
  <si>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</si>
  <si>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</si>
  <si>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</si>
  <si>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</si>
  <si>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</si>
  <si>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</si>
  <si>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</si>
  <si>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</si>
  <si>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</si>
  <si>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</si>
  <si>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</si>
  <si>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</si>
  <si>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</si>
  <si>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</si>
  <si>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</si>
  <si>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</si>
  <si>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</si>
  <si>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</si>
  <si>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</si>
  <si>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</si>
  <si>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</si>
  <si>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</si>
  <si>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</si>
  <si>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</si>
  <si>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</si>
  <si>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</si>
  <si>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</si>
  <si>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</si>
  <si>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</si>
  <si>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</si>
  <si>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</si>
  <si>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</si>
  <si>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</si>
  <si>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</si>
  <si>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</si>
  <si>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</si>
  <si>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</si>
  <si>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</si>
  <si>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</si>
  <si>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</si>
  <si>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</si>
  <si>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</si>
  <si>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</si>
  <si>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</si>
  <si>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</si>
  <si>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</si>
  <si>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</si>
  <si>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</si>
  <si>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</si>
  <si>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</si>
  <si>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</si>
  <si>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</si>
  <si>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 xml:space="preserve"> </t>
  </si>
  <si>
    <t>NAV, Unit Price and Yield as at Week Ended May 29, 2026</t>
  </si>
  <si>
    <t>Week Ended May 29, 2026</t>
  </si>
  <si>
    <t>NAV, Unit Price and Yield as at Week Ended June 5, 2026</t>
  </si>
  <si>
    <t>WEEKLY VALUATION REPORT OF COLLECTIVE INVESTMENT SCHEMES AS AT WEEK ENDED FRIDAY, JUNE 5, 2026</t>
  </si>
  <si>
    <t>NFEM RATE NG₦/US$ as at 5th June, 2026 = N1362.2123</t>
  </si>
  <si>
    <t>Week Ended 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</si>
</sst>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4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4" fillId="0" borderId="1" xfId="0" applyFont="1" applyBorder="1" applyAlignment="1">
      <alignment horizontal="right"/>
    </xf>
    <xf numFmtId="16" fontId="5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164" fontId="6" fillId="2" borderId="1" xfId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right"/>
    </xf>
    <xf numFmtId="43" fontId="8" fillId="3" borderId="1" xfId="0" applyNumberFormat="1" applyFont="1" applyFill="1" applyBorder="1"/>
    <xf numFmtId="0" fontId="7" fillId="0" borderId="0" xfId="0" applyFont="1"/>
    <xf numFmtId="164" fontId="7" fillId="0" borderId="0" xfId="1" applyFont="1"/>
    <xf numFmtId="0" fontId="4" fillId="4" borderId="1" xfId="0" applyFont="1" applyFill="1" applyBorder="1" applyAlignment="1">
      <alignment horizontal="right"/>
    </xf>
    <xf numFmtId="43" fontId="4" fillId="4" borderId="1" xfId="0" applyNumberFormat="1" applyFont="1" applyFill="1" applyBorder="1"/>
    <xf numFmtId="164" fontId="4" fillId="4" borderId="1" xfId="1" applyFont="1" applyFill="1" applyBorder="1"/>
    <xf numFmtId="0" fontId="9" fillId="0" borderId="0" xfId="0" applyFont="1"/>
    <xf numFmtId="0" fontId="10" fillId="0" borderId="1" xfId="0" applyFont="1" applyBorder="1" applyAlignment="1">
      <alignment horizontal="right"/>
    </xf>
    <xf numFmtId="164" fontId="6" fillId="0" borderId="1" xfId="1" applyFont="1" applyBorder="1"/>
    <xf numFmtId="164" fontId="9" fillId="0" borderId="0" xfId="1" applyFont="1"/>
    <xf numFmtId="43" fontId="9" fillId="0" borderId="0" xfId="0" applyNumberFormat="1" applyFont="1"/>
    <xf numFmtId="0" fontId="11" fillId="0" borderId="0" xfId="0" applyFont="1"/>
    <xf numFmtId="0" fontId="7" fillId="2" borderId="0" xfId="0" applyFont="1" applyFill="1" applyAlignment="1">
      <alignment wrapText="1"/>
    </xf>
    <xf numFmtId="10" fontId="24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166" fontId="13" fillId="0" borderId="0" xfId="1" applyNumberFormat="1" applyFont="1"/>
    <xf numFmtId="4" fontId="29" fillId="0" borderId="0" xfId="0" applyNumberFormat="1" applyFont="1"/>
    <xf numFmtId="4" fontId="20" fillId="2" borderId="1" xfId="10" applyNumberFormat="1" applyFont="1" applyFill="1" applyBorder="1" applyAlignment="1">
      <alignment horizontal="right" vertical="top" wrapText="1"/>
    </xf>
    <xf numFmtId="164" fontId="0" fillId="0" borderId="0" xfId="1" applyFont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43" fontId="4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3" fillId="0" borderId="0" xfId="0" applyFont="1"/>
    <xf numFmtId="0" fontId="44" fillId="0" borderId="0" xfId="0" applyFont="1"/>
    <xf numFmtId="0" fontId="10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10" fontId="24" fillId="10" borderId="0" xfId="2" applyNumberFormat="1" applyFont="1" applyFill="1" applyAlignment="1">
      <alignment horizontal="right" vertical="center" wrapText="1"/>
    </xf>
    <xf numFmtId="164" fontId="45" fillId="2" borderId="2" xfId="1" applyFont="1" applyFill="1" applyBorder="1"/>
    <xf numFmtId="10" fontId="45" fillId="2" borderId="2" xfId="2" applyNumberFormat="1" applyFont="1" applyFill="1" applyBorder="1"/>
    <xf numFmtId="164" fontId="45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1" fillId="2" borderId="0" xfId="0" applyFont="1" applyFill="1"/>
    <xf numFmtId="0" fontId="47" fillId="2" borderId="0" xfId="0" applyFont="1" applyFill="1" applyAlignment="1">
      <alignment horizontal="right"/>
    </xf>
    <xf numFmtId="16" fontId="47" fillId="2" borderId="0" xfId="0" applyNumberFormat="1" applyFont="1" applyFill="1" applyAlignment="1">
      <alignment horizontal="center" wrapText="1"/>
    </xf>
    <xf numFmtId="0" fontId="48" fillId="2" borderId="0" xfId="0" applyFont="1" applyFill="1"/>
    <xf numFmtId="0" fontId="47" fillId="2" borderId="0" xfId="0" applyFont="1" applyFill="1" applyAlignment="1">
      <alignment horizontal="right" wrapText="1"/>
    </xf>
    <xf numFmtId="4" fontId="49" fillId="2" borderId="0" xfId="0" applyNumberFormat="1" applyFont="1" applyFill="1"/>
    <xf numFmtId="4" fontId="49" fillId="2" borderId="0" xfId="0" applyNumberFormat="1" applyFont="1" applyFill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50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51" fillId="2" borderId="0" xfId="0" applyFont="1" applyFill="1" applyAlignment="1">
      <alignment horizontal="right"/>
    </xf>
    <xf numFmtId="4" fontId="52" fillId="2" borderId="0" xfId="0" applyNumberFormat="1" applyFont="1" applyFill="1"/>
    <xf numFmtId="0" fontId="51" fillId="0" borderId="0" xfId="0" applyFont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53" fillId="2" borderId="0" xfId="0" applyFont="1" applyFill="1" applyAlignment="1">
      <alignment horizontal="right"/>
    </xf>
    <xf numFmtId="16" fontId="51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11" fillId="2" borderId="0" xfId="1" applyFont="1" applyFill="1" applyBorder="1"/>
    <xf numFmtId="0" fontId="46" fillId="0" borderId="0" xfId="0" applyFont="1"/>
    <xf numFmtId="16" fontId="54" fillId="2" borderId="0" xfId="0" applyNumberFormat="1" applyFont="1" applyFill="1"/>
    <xf numFmtId="164" fontId="55" fillId="0" borderId="0" xfId="1" applyFont="1"/>
    <xf numFmtId="43" fontId="55" fillId="0" borderId="0" xfId="0" applyNumberFormat="1" applyFont="1"/>
    <xf numFmtId="4" fontId="55" fillId="0" borderId="0" xfId="0" applyNumberFormat="1" applyFont="1"/>
    <xf numFmtId="0" fontId="7" fillId="6" borderId="3" xfId="0" applyFont="1" applyFill="1" applyBorder="1"/>
    <xf numFmtId="0" fontId="15" fillId="7" borderId="3" xfId="0" applyFont="1" applyFill="1" applyBorder="1"/>
    <xf numFmtId="0" fontId="16" fillId="7" borderId="3" xfId="0" applyFont="1" applyFill="1" applyBorder="1"/>
    <xf numFmtId="4" fontId="20" fillId="2" borderId="3" xfId="0" applyNumberFormat="1" applyFont="1" applyFill="1" applyBorder="1" applyAlignment="1">
      <alignment wrapText="1"/>
    </xf>
    <xf numFmtId="0" fontId="20" fillId="2" borderId="3" xfId="0" applyFont="1" applyFill="1" applyBorder="1" applyAlignment="1">
      <alignment wrapText="1"/>
    </xf>
    <xf numFmtId="4" fontId="18" fillId="2" borderId="3" xfId="0" applyNumberFormat="1" applyFont="1" applyFill="1" applyBorder="1"/>
    <xf numFmtId="10" fontId="18" fillId="7" borderId="3" xfId="2" applyNumberFormat="1" applyFont="1" applyFill="1" applyBorder="1" applyAlignment="1">
      <alignment horizontal="center"/>
    </xf>
    <xf numFmtId="164" fontId="18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/>
    </xf>
    <xf numFmtId="4" fontId="20" fillId="2" borderId="3" xfId="0" applyNumberFormat="1" applyFont="1" applyFill="1" applyBorder="1"/>
    <xf numFmtId="10" fontId="20" fillId="7" borderId="3" xfId="2" applyNumberFormat="1" applyFont="1" applyFill="1" applyBorder="1" applyAlignment="1">
      <alignment horizontal="center"/>
    </xf>
    <xf numFmtId="164" fontId="20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/>
    </xf>
    <xf numFmtId="2" fontId="21" fillId="0" borderId="3" xfId="0" applyNumberFormat="1" applyFont="1" applyBorder="1"/>
    <xf numFmtId="164" fontId="20" fillId="2" borderId="3" xfId="1" applyFont="1" applyFill="1" applyBorder="1"/>
    <xf numFmtId="164" fontId="20" fillId="2" borderId="3" xfId="10" applyFont="1" applyFill="1" applyBorder="1"/>
    <xf numFmtId="4" fontId="18" fillId="0" borderId="3" xfId="0" applyNumberFormat="1" applyFont="1" applyBorder="1"/>
    <xf numFmtId="4" fontId="20" fillId="2" borderId="3" xfId="0" applyNumberFormat="1" applyFont="1" applyFill="1" applyBorder="1" applyAlignment="1">
      <alignment horizontal="right"/>
    </xf>
    <xf numFmtId="0" fontId="18" fillId="2" borderId="3" xfId="0" applyFont="1" applyFill="1" applyBorder="1"/>
    <xf numFmtId="0" fontId="17" fillId="2" borderId="3" xfId="0" applyFont="1" applyFill="1" applyBorder="1" applyAlignment="1">
      <alignment horizontal="right"/>
    </xf>
    <xf numFmtId="164" fontId="17" fillId="2" borderId="3" xfId="1" applyFont="1" applyFill="1" applyBorder="1" applyAlignment="1">
      <alignment horizontal="right" vertical="top" wrapText="1"/>
    </xf>
    <xf numFmtId="10" fontId="23" fillId="7" borderId="3" xfId="2" applyNumberFormat="1" applyFont="1" applyFill="1" applyBorder="1" applyAlignment="1">
      <alignment horizontal="center" vertical="top" wrapText="1"/>
    </xf>
    <xf numFmtId="10" fontId="20" fillId="2" borderId="3" xfId="2" applyNumberFormat="1" applyFont="1" applyFill="1" applyBorder="1" applyAlignment="1">
      <alignment horizontal="center" vertical="top" wrapText="1"/>
    </xf>
    <xf numFmtId="4" fontId="20" fillId="2" borderId="3" xfId="1" applyNumberFormat="1" applyFont="1" applyFill="1" applyBorder="1" applyAlignment="1">
      <alignment vertical="top" wrapText="1"/>
    </xf>
    <xf numFmtId="164" fontId="17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/>
    </xf>
    <xf numFmtId="4" fontId="20" fillId="2" borderId="3" xfId="1" applyNumberFormat="1" applyFont="1" applyFill="1" applyBorder="1" applyAlignment="1">
      <alignment horizontal="right"/>
    </xf>
    <xf numFmtId="164" fontId="20" fillId="2" borderId="3" xfId="10" applyFont="1" applyFill="1" applyBorder="1" applyAlignment="1">
      <alignment horizontal="right" wrapText="1"/>
    </xf>
    <xf numFmtId="164" fontId="20" fillId="9" borderId="3" xfId="1" applyFont="1" applyFill="1" applyBorder="1" applyAlignment="1">
      <alignment horizontal="center" wrapText="1"/>
    </xf>
    <xf numFmtId="10" fontId="20" fillId="9" borderId="3" xfId="2" applyNumberFormat="1" applyFont="1" applyFill="1" applyBorder="1" applyAlignment="1">
      <alignment horizontal="center" wrapText="1"/>
    </xf>
    <xf numFmtId="164" fontId="20" fillId="2" borderId="3" xfId="1" applyFont="1" applyFill="1" applyBorder="1" applyAlignment="1">
      <alignment horizontal="right"/>
    </xf>
    <xf numFmtId="10" fontId="20" fillId="7" borderId="3" xfId="2" applyNumberFormat="1" applyFont="1" applyFill="1" applyBorder="1" applyAlignment="1">
      <alignment horizontal="center" wrapText="1"/>
    </xf>
    <xf numFmtId="164" fontId="17" fillId="2" borderId="3" xfId="1" applyFont="1" applyFill="1" applyBorder="1" applyAlignment="1">
      <alignment horizontal="right"/>
    </xf>
    <xf numFmtId="10" fontId="20" fillId="9" borderId="3" xfId="1" applyNumberFormat="1" applyFont="1" applyFill="1" applyBorder="1" applyAlignment="1">
      <alignment horizontal="center"/>
    </xf>
    <xf numFmtId="2" fontId="20" fillId="2" borderId="3" xfId="0" applyNumberFormat="1" applyFont="1" applyFill="1" applyBorder="1"/>
    <xf numFmtId="164" fontId="20" fillId="2" borderId="3" xfId="10" applyFont="1" applyFill="1" applyBorder="1" applyAlignment="1">
      <alignment wrapText="1"/>
    </xf>
    <xf numFmtId="0" fontId="20" fillId="2" borderId="3" xfId="0" applyFont="1" applyFill="1" applyBorder="1" applyAlignment="1">
      <alignment horizontal="left" wrapText="1"/>
    </xf>
    <xf numFmtId="2" fontId="18" fillId="2" borderId="3" xfId="0" applyNumberFormat="1" applyFont="1" applyFill="1" applyBorder="1"/>
    <xf numFmtId="164" fontId="20" fillId="11" borderId="3" xfId="1" applyFont="1" applyFill="1" applyBorder="1" applyAlignment="1">
      <alignment horizontal="center"/>
    </xf>
    <xf numFmtId="10" fontId="20" fillId="11" borderId="3" xfId="2" applyNumberFormat="1" applyFont="1" applyFill="1" applyBorder="1" applyAlignment="1">
      <alignment horizontal="center"/>
    </xf>
    <xf numFmtId="164" fontId="21" fillId="0" borderId="3" xfId="1" applyFont="1" applyBorder="1"/>
    <xf numFmtId="0" fontId="17" fillId="0" borderId="3" xfId="0" applyFont="1" applyBorder="1" applyAlignment="1">
      <alignment horizontal="right"/>
    </xf>
    <xf numFmtId="4" fontId="20" fillId="9" borderId="3" xfId="1" applyNumberFormat="1" applyFont="1" applyFill="1" applyBorder="1" applyAlignment="1">
      <alignment horizontal="center"/>
    </xf>
    <xf numFmtId="4" fontId="28" fillId="0" borderId="3" xfId="0" applyNumberFormat="1" applyFont="1" applyBorder="1"/>
    <xf numFmtId="0" fontId="22" fillId="2" borderId="3" xfId="0" applyFont="1" applyFill="1" applyBorder="1"/>
    <xf numFmtId="4" fontId="20" fillId="2" borderId="3" xfId="1" applyNumberFormat="1" applyFont="1" applyFill="1" applyBorder="1" applyAlignment="1">
      <alignment horizontal="right" vertical="top" wrapText="1"/>
    </xf>
    <xf numFmtId="4" fontId="20" fillId="9" borderId="3" xfId="1" applyNumberFormat="1" applyFont="1" applyFill="1" applyBorder="1" applyAlignment="1">
      <alignment horizontal="center" vertical="top" wrapText="1"/>
    </xf>
    <xf numFmtId="164" fontId="17" fillId="2" borderId="3" xfId="1" applyFont="1" applyFill="1" applyBorder="1"/>
    <xf numFmtId="43" fontId="20" fillId="2" borderId="3" xfId="0" applyNumberFormat="1" applyFont="1" applyFill="1" applyBorder="1"/>
    <xf numFmtId="43" fontId="20" fillId="9" borderId="3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right" wrapText="1"/>
    </xf>
    <xf numFmtId="4" fontId="20" fillId="2" borderId="3" xfId="10" applyNumberFormat="1" applyFont="1" applyFill="1" applyBorder="1" applyAlignment="1">
      <alignment horizontal="right"/>
    </xf>
    <xf numFmtId="4" fontId="20" fillId="2" borderId="3" xfId="10" applyNumberFormat="1" applyFont="1" applyFill="1" applyBorder="1" applyAlignment="1">
      <alignment horizontal="right" wrapText="1"/>
    </xf>
    <xf numFmtId="4" fontId="17" fillId="9" borderId="3" xfId="1" applyNumberFormat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 vertical="center"/>
    </xf>
    <xf numFmtId="0" fontId="17" fillId="14" borderId="3" xfId="0" applyFont="1" applyFill="1" applyBorder="1" applyAlignment="1">
      <alignment horizontal="right" vertical="center"/>
    </xf>
    <xf numFmtId="164" fontId="17" fillId="14" borderId="3" xfId="1" applyFont="1" applyFill="1" applyBorder="1" applyAlignment="1">
      <alignment horizontal="right" vertical="center" wrapText="1"/>
    </xf>
    <xf numFmtId="10" fontId="20" fillId="14" borderId="3" xfId="1" applyNumberFormat="1" applyFont="1" applyFill="1" applyBorder="1" applyAlignment="1">
      <alignment horizontal="right" vertical="center" wrapText="1"/>
    </xf>
    <xf numFmtId="4" fontId="20" fillId="14" borderId="3" xfId="1" applyNumberFormat="1" applyFont="1" applyFill="1" applyBorder="1" applyAlignment="1">
      <alignment horizontal="right" vertical="center" wrapText="1"/>
    </xf>
    <xf numFmtId="9" fontId="20" fillId="14" borderId="3" xfId="2" applyFont="1" applyFill="1" applyBorder="1" applyAlignment="1">
      <alignment horizontal="center" vertical="center" wrapText="1"/>
    </xf>
    <xf numFmtId="4" fontId="20" fillId="14" borderId="3" xfId="1" applyNumberFormat="1" applyFont="1" applyFill="1" applyBorder="1" applyAlignment="1">
      <alignment horizontal="center" vertical="center" wrapText="1"/>
    </xf>
    <xf numFmtId="10" fontId="18" fillId="14" borderId="3" xfId="2" applyNumberFormat="1" applyFont="1" applyFill="1" applyBorder="1" applyAlignment="1">
      <alignment horizontal="center" vertical="top" wrapText="1"/>
    </xf>
    <xf numFmtId="164" fontId="17" fillId="14" borderId="3" xfId="1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center" wrapText="1"/>
    </xf>
    <xf numFmtId="4" fontId="20" fillId="2" borderId="3" xfId="10" applyNumberFormat="1" applyFont="1" applyFill="1" applyBorder="1" applyAlignment="1">
      <alignment horizontal="right" vertical="top" wrapText="1"/>
    </xf>
    <xf numFmtId="164" fontId="30" fillId="14" borderId="3" xfId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center" vertical="top" wrapText="1"/>
    </xf>
    <xf numFmtId="167" fontId="18" fillId="14" borderId="3" xfId="2" applyNumberFormat="1" applyFont="1" applyFill="1" applyBorder="1" applyAlignment="1">
      <alignment horizontal="center" vertical="top" wrapText="1"/>
    </xf>
    <xf numFmtId="10" fontId="18" fillId="14" borderId="3" xfId="1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 vertical="top" wrapText="1"/>
    </xf>
    <xf numFmtId="10" fontId="20" fillId="7" borderId="3" xfId="2" applyNumberFormat="1" applyFont="1" applyFill="1" applyBorder="1" applyAlignment="1">
      <alignment horizontal="center" vertical="top" wrapText="1"/>
    </xf>
    <xf numFmtId="164" fontId="20" fillId="9" borderId="3" xfId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/>
    </xf>
    <xf numFmtId="0" fontId="17" fillId="14" borderId="3" xfId="0" applyFont="1" applyFill="1" applyBorder="1" applyAlignment="1">
      <alignment horizontal="right"/>
    </xf>
    <xf numFmtId="0" fontId="20" fillId="15" borderId="3" xfId="0" applyFont="1" applyFill="1" applyBorder="1" applyAlignment="1">
      <alignment horizontal="right" vertical="top" wrapText="1"/>
    </xf>
    <xf numFmtId="0" fontId="27" fillId="15" borderId="3" xfId="0" applyFont="1" applyFill="1" applyBorder="1" applyAlignment="1">
      <alignment horizontal="right" vertical="top" wrapText="1"/>
    </xf>
    <xf numFmtId="164" fontId="27" fillId="15" borderId="3" xfId="1" applyFont="1" applyFill="1" applyBorder="1" applyAlignment="1">
      <alignment horizontal="right" vertical="top" wrapText="1"/>
    </xf>
    <xf numFmtId="164" fontId="12" fillId="15" borderId="3" xfId="1" applyFont="1" applyFill="1" applyBorder="1" applyAlignment="1">
      <alignment horizontal="right" vertical="top" wrapText="1"/>
    </xf>
    <xf numFmtId="4" fontId="12" fillId="15" borderId="3" xfId="0" applyNumberFormat="1" applyFont="1" applyFill="1" applyBorder="1" applyAlignment="1">
      <alignment horizontal="right"/>
    </xf>
    <xf numFmtId="9" fontId="12" fillId="15" borderId="3" xfId="2" applyFont="1" applyFill="1" applyBorder="1" applyAlignment="1">
      <alignment horizontal="center"/>
    </xf>
    <xf numFmtId="4" fontId="12" fillId="15" borderId="3" xfId="0" applyNumberFormat="1" applyFont="1" applyFill="1" applyBorder="1" applyAlignment="1">
      <alignment horizontal="center"/>
    </xf>
    <xf numFmtId="10" fontId="12" fillId="15" borderId="3" xfId="2" applyNumberFormat="1" applyFont="1" applyFill="1" applyBorder="1" applyAlignment="1">
      <alignment horizontal="center" vertical="top" wrapText="1"/>
    </xf>
    <xf numFmtId="167" fontId="12" fillId="15" borderId="3" xfId="2" applyNumberFormat="1" applyFont="1" applyFill="1" applyBorder="1" applyAlignment="1">
      <alignment horizontal="center" vertical="top" wrapText="1"/>
    </xf>
    <xf numFmtId="167" fontId="20" fillId="15" borderId="3" xfId="2" applyNumberFormat="1" applyFont="1" applyFill="1" applyBorder="1" applyAlignment="1">
      <alignment horizontal="center" vertical="top" wrapText="1"/>
    </xf>
    <xf numFmtId="0" fontId="31" fillId="5" borderId="3" xfId="0" applyFont="1" applyFill="1" applyBorder="1" applyAlignment="1">
      <alignment horizontal="left" vertical="center"/>
    </xf>
    <xf numFmtId="0" fontId="11" fillId="5" borderId="3" xfId="0" applyFont="1" applyFill="1" applyBorder="1"/>
    <xf numFmtId="0" fontId="56" fillId="0" borderId="0" xfId="0" applyFont="1"/>
    <xf numFmtId="10" fontId="18" fillId="2" borderId="3" xfId="2" applyNumberFormat="1" applyFont="1" applyFill="1" applyBorder="1" applyAlignment="1">
      <alignment horizontal="center"/>
    </xf>
    <xf numFmtId="10" fontId="20" fillId="2" borderId="3" xfId="2" applyNumberFormat="1" applyFont="1" applyFill="1" applyBorder="1" applyAlignment="1">
      <alignment horizontal="center"/>
    </xf>
    <xf numFmtId="10" fontId="23" fillId="2" borderId="3" xfId="2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center"/>
    </xf>
    <xf numFmtId="164" fontId="20" fillId="2" borderId="3" xfId="1" applyFont="1" applyFill="1" applyBorder="1" applyAlignment="1">
      <alignment horizontal="center" wrapText="1"/>
    </xf>
    <xf numFmtId="0" fontId="58" fillId="5" borderId="3" xfId="0" applyFont="1" applyFill="1" applyBorder="1"/>
    <xf numFmtId="0" fontId="17" fillId="15" borderId="3" xfId="0" applyFont="1" applyFill="1" applyBorder="1" applyAlignment="1">
      <alignment horizontal="center" vertical="top" wrapText="1"/>
    </xf>
    <xf numFmtId="164" fontId="20" fillId="14" borderId="3" xfId="1" applyFont="1" applyFill="1" applyBorder="1" applyAlignment="1">
      <alignment horizontal="center" vertical="top" wrapText="1"/>
    </xf>
    <xf numFmtId="164" fontId="23" fillId="2" borderId="3" xfId="1" applyFont="1" applyFill="1" applyBorder="1" applyAlignment="1">
      <alignment horizontal="center" vertical="top" wrapText="1"/>
    </xf>
    <xf numFmtId="0" fontId="17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horizontal="center" vertical="top"/>
    </xf>
    <xf numFmtId="0" fontId="15" fillId="22" borderId="3" xfId="0" applyFont="1" applyFill="1" applyBorder="1" applyAlignment="1">
      <alignment horizontal="center" vertical="top" wrapText="1"/>
    </xf>
    <xf numFmtId="164" fontId="15" fillId="22" borderId="3" xfId="1" applyFont="1" applyFill="1" applyBorder="1" applyAlignment="1">
      <alignment horizontal="center" vertical="top"/>
    </xf>
    <xf numFmtId="10" fontId="18" fillId="22" borderId="3" xfId="2" applyNumberFormat="1" applyFont="1" applyFill="1" applyBorder="1" applyAlignment="1">
      <alignment horizontal="center" vertical="top" wrapText="1"/>
    </xf>
    <xf numFmtId="10" fontId="18" fillId="22" borderId="3" xfId="1" applyNumberFormat="1" applyFont="1" applyFill="1" applyBorder="1" applyAlignment="1">
      <alignment horizontal="center" vertical="top" wrapText="1"/>
    </xf>
    <xf numFmtId="10" fontId="20" fillId="22" borderId="3" xfId="2" applyNumberFormat="1" applyFont="1" applyFill="1" applyBorder="1" applyAlignment="1">
      <alignment horizontal="center" vertical="top" wrapText="1"/>
    </xf>
    <xf numFmtId="10" fontId="20" fillId="22" borderId="3" xfId="1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wrapText="1"/>
    </xf>
    <xf numFmtId="2" fontId="20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8" fillId="2" borderId="3" xfId="1" applyFont="1" applyFill="1" applyBorder="1" applyAlignment="1">
      <alignment horizontal="center"/>
    </xf>
    <xf numFmtId="10" fontId="20" fillId="2" borderId="0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0" fontId="2" fillId="0" borderId="0" xfId="0" applyFont="1"/>
    <xf numFmtId="4" fontId="20" fillId="2" borderId="3" xfId="10" applyNumberFormat="1" applyFont="1" applyFill="1" applyBorder="1" applyAlignment="1">
      <alignment vertical="top" wrapText="1"/>
    </xf>
    <xf numFmtId="164" fontId="45" fillId="2" borderId="0" xfId="1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4" fontId="20" fillId="2" borderId="3" xfId="44" applyNumberFormat="1" applyFont="1" applyFill="1" applyBorder="1" applyAlignment="1">
      <alignment wrapText="1"/>
    </xf>
    <xf numFmtId="0" fontId="20" fillId="2" borderId="0" xfId="0" applyFont="1" applyFill="1" applyAlignment="1">
      <alignment horizontal="center"/>
    </xf>
    <xf numFmtId="4" fontId="20" fillId="0" borderId="3" xfId="0" applyNumberFormat="1" applyFont="1" applyBorder="1" applyAlignment="1">
      <alignment wrapText="1"/>
    </xf>
    <xf numFmtId="49" fontId="20" fillId="2" borderId="3" xfId="0" applyNumberFormat="1" applyFont="1" applyFill="1" applyBorder="1" applyAlignment="1">
      <alignment wrapText="1"/>
    </xf>
    <xf numFmtId="0" fontId="14" fillId="5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9" fillId="8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/>
    </xf>
    <xf numFmtId="0" fontId="27" fillId="8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27" fillId="13" borderId="3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9" fontId="0" fillId="0" borderId="0" xfId="2" applyFont="1"/>
    <xf numFmtId="0" fontId="0" fillId="0" borderId="3" xfId="0" applyBorder="1"/>
    <xf numFmtId="10" fontId="20" fillId="2" borderId="3" xfId="2" applyNumberFormat="1" applyFont="1" applyFill="1" applyBorder="1" applyAlignment="1">
      <alignment horizontal="right" vertical="top" wrapText="1"/>
    </xf>
    <xf numFmtId="10" fontId="0" fillId="0" borderId="3" xfId="2" applyNumberFormat="1" applyFont="1" applyBorder="1"/>
  </cellXfs>
  <cellStyles count="64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2" xfId="6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Normal 7" xfId="61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Percent 8" xfId="63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29,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266.81982620866393</c:v>
                </c:pt>
                <c:pt idx="1">
                  <c:v>5839.6277869056485</c:v>
                </c:pt>
                <c:pt idx="2">
                  <c:v>234.95474585345002</c:v>
                </c:pt>
                <c:pt idx="3">
                  <c:v>1839.5335012184191</c:v>
                </c:pt>
                <c:pt idx="4">
                  <c:v>508.14281654238999</c:v>
                </c:pt>
                <c:pt idx="5" formatCode="_-* #,##0.00_-;\-* #,##0.00_-;_-* &quot;-&quot;??_-;_-@_-">
                  <c:v>158.91803517078</c:v>
                </c:pt>
                <c:pt idx="6">
                  <c:v>21.792643850099999</c:v>
                </c:pt>
                <c:pt idx="7">
                  <c:v>148.33089792106546</c:v>
                </c:pt>
                <c:pt idx="8">
                  <c:v>31.841806178550478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5,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261.16452799857979</c:v>
                </c:pt>
                <c:pt idx="1">
                  <c:v>5902.3299509160597</c:v>
                </c:pt>
                <c:pt idx="2">
                  <c:v>236.15950098094001</c:v>
                </c:pt>
                <c:pt idx="3">
                  <c:v>1829.4160716884446</c:v>
                </c:pt>
                <c:pt idx="4">
                  <c:v>509.44976096275997</c:v>
                </c:pt>
                <c:pt idx="5" formatCode="_-* #,##0.00_-;\-* #,##0.00_-;_-* &quot;-&quot;??_-;_-@_-">
                  <c:v>157.79460466674004</c:v>
                </c:pt>
                <c:pt idx="6">
                  <c:v>21.280346410980002</c:v>
                </c:pt>
                <c:pt idx="7">
                  <c:v>148.22298967809999</c:v>
                </c:pt>
                <c:pt idx="8">
                  <c:v>31.85095233109757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5TH JUNE,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5-Jun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21280346410.980003</c:v>
                </c:pt>
                <c:pt idx="1">
                  <c:v>31850952331.097569</c:v>
                </c:pt>
                <c:pt idx="2">
                  <c:v>148222989678.10001</c:v>
                </c:pt>
                <c:pt idx="3" formatCode="_-* #,##0.00_-;\-* #,##0.00_-;_-* &quot;-&quot;??_-;_-@_-">
                  <c:v>157794604666.74005</c:v>
                </c:pt>
                <c:pt idx="4">
                  <c:v>261164527998.5798</c:v>
                </c:pt>
                <c:pt idx="5">
                  <c:v>236159500980.94</c:v>
                </c:pt>
                <c:pt idx="6">
                  <c:v>509449760962.75995</c:v>
                </c:pt>
                <c:pt idx="7">
                  <c:v>1829416071688.4446</c:v>
                </c:pt>
                <c:pt idx="8">
                  <c:v>5902329950916.0596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46129</c:v>
                </c:pt>
                <c:pt idx="1">
                  <c:v>46136</c:v>
                </c:pt>
                <c:pt idx="2">
                  <c:v>46142</c:v>
                </c:pt>
                <c:pt idx="3">
                  <c:v>46150</c:v>
                </c:pt>
                <c:pt idx="4">
                  <c:v>46157</c:v>
                </c:pt>
                <c:pt idx="5">
                  <c:v>46164</c:v>
                </c:pt>
                <c:pt idx="6">
                  <c:v>46171</c:v>
                </c:pt>
                <c:pt idx="7">
                  <c:v>46178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8682.1345271243354</c:v>
                </c:pt>
                <c:pt idx="1">
                  <c:v>8768.912163579158</c:v>
                </c:pt>
                <c:pt idx="2">
                  <c:v>8856.6861092070776</c:v>
                </c:pt>
                <c:pt idx="3">
                  <c:v>8864.3846705940268</c:v>
                </c:pt>
                <c:pt idx="4">
                  <c:v>8907.3133261368821</c:v>
                </c:pt>
                <c:pt idx="5">
                  <c:v>8965.7623097914948</c:v>
                </c:pt>
                <c:pt idx="6">
                  <c:v>9049.9620598490692</c:v>
                </c:pt>
                <c:pt idx="7">
                  <c:v>9097.6687056337014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46129</c:v>
                </c:pt>
                <c:pt idx="1">
                  <c:v>46136</c:v>
                </c:pt>
                <c:pt idx="2">
                  <c:v>46142</c:v>
                </c:pt>
                <c:pt idx="3">
                  <c:v>46150</c:v>
                </c:pt>
                <c:pt idx="4">
                  <c:v>46157</c:v>
                </c:pt>
                <c:pt idx="5">
                  <c:v>46164</c:v>
                </c:pt>
                <c:pt idx="6">
                  <c:v>46171</c:v>
                </c:pt>
                <c:pt idx="7">
                  <c:v>46178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27.644948093229999</c:v>
                </c:pt>
                <c:pt idx="1">
                  <c:v>28.90522929934</c:v>
                </c:pt>
                <c:pt idx="2">
                  <c:v>30.630921333499995</c:v>
                </c:pt>
                <c:pt idx="3">
                  <c:v>30.807819494499999</c:v>
                </c:pt>
                <c:pt idx="4">
                  <c:v>31.798755539750001</c:v>
                </c:pt>
                <c:pt idx="5">
                  <c:v>31.648596766119997</c:v>
                </c:pt>
                <c:pt idx="6">
                  <c:v>31.957060014499998</c:v>
                </c:pt>
                <c:pt idx="7">
                  <c:v>31.023458333940003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6"/>
  <sheetViews>
    <sheetView tabSelected="1" zoomScale="130" zoomScaleNormal="130" workbookViewId="0">
      <pane xSplit="3" ySplit="14" topLeftCell="D15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44140625" customWidth="1"/>
    <col min="2" max="2" width="32.109375" customWidth="1"/>
    <col min="3" max="3" width="29.10937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7" max="27" width="7.44140625" customWidth="1"/>
    <col min="28" max="28" width="6.554687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06" t="s">
        <v>344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</row>
    <row r="2" spans="1:32" ht="14.4" customHeight="1">
      <c r="A2" s="81"/>
      <c r="B2" s="82"/>
      <c r="C2" s="83"/>
      <c r="D2" s="207" t="s">
        <v>341</v>
      </c>
      <c r="E2" s="208"/>
      <c r="F2" s="208"/>
      <c r="G2" s="208"/>
      <c r="H2" s="208"/>
      <c r="I2" s="208"/>
      <c r="J2" s="208"/>
      <c r="K2" s="208"/>
      <c r="L2" s="208"/>
      <c r="M2" s="209"/>
      <c r="N2" s="207" t="s">
        <v>343</v>
      </c>
      <c r="O2" s="208"/>
      <c r="P2" s="208"/>
      <c r="Q2" s="208"/>
      <c r="R2" s="208"/>
      <c r="S2" s="208"/>
      <c r="T2" s="208"/>
      <c r="U2" s="208"/>
      <c r="V2" s="208"/>
      <c r="W2" s="209"/>
      <c r="X2" s="210" t="s">
        <v>0</v>
      </c>
      <c r="Y2" s="210"/>
      <c r="Z2" s="210"/>
      <c r="AA2" s="210" t="s">
        <v>1</v>
      </c>
      <c r="AB2" s="210"/>
    </row>
    <row r="3" spans="1:32" ht="20.399999999999999">
      <c r="A3" s="180" t="s">
        <v>2</v>
      </c>
      <c r="B3" s="180" t="s">
        <v>3</v>
      </c>
      <c r="C3" s="181" t="s">
        <v>4</v>
      </c>
      <c r="D3" s="182" t="s">
        <v>329</v>
      </c>
      <c r="E3" s="182" t="s">
        <v>5</v>
      </c>
      <c r="F3" s="183" t="s">
        <v>6</v>
      </c>
      <c r="G3" s="183" t="s">
        <v>331</v>
      </c>
      <c r="H3" s="183" t="s">
        <v>11</v>
      </c>
      <c r="I3" s="183" t="s">
        <v>332</v>
      </c>
      <c r="J3" s="183" t="s">
        <v>7</v>
      </c>
      <c r="K3" s="183" t="s">
        <v>8</v>
      </c>
      <c r="L3" s="183" t="s">
        <v>9</v>
      </c>
      <c r="M3" s="183" t="s">
        <v>10</v>
      </c>
      <c r="N3" s="182" t="s">
        <v>329</v>
      </c>
      <c r="O3" s="184" t="s">
        <v>5</v>
      </c>
      <c r="P3" s="183" t="s">
        <v>6</v>
      </c>
      <c r="Q3" s="183" t="s">
        <v>331</v>
      </c>
      <c r="R3" s="183" t="s">
        <v>11</v>
      </c>
      <c r="S3" s="183" t="s">
        <v>332</v>
      </c>
      <c r="T3" s="183" t="s">
        <v>7</v>
      </c>
      <c r="U3" s="183" t="s">
        <v>8</v>
      </c>
      <c r="V3" s="183" t="s">
        <v>9</v>
      </c>
      <c r="W3" s="183" t="s">
        <v>10</v>
      </c>
      <c r="X3" s="182" t="s">
        <v>12</v>
      </c>
      <c r="Y3" s="183" t="s">
        <v>13</v>
      </c>
      <c r="Z3" s="183" t="s">
        <v>14</v>
      </c>
      <c r="AA3" s="183" t="s">
        <v>15</v>
      </c>
      <c r="AB3" s="183" t="s">
        <v>16</v>
      </c>
      <c r="AD3" s="52"/>
      <c r="AF3" s="50"/>
    </row>
    <row r="4" spans="1:32" ht="5.55" customHeight="1"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</row>
    <row r="5" spans="1:32" ht="15" customHeight="1">
      <c r="A5" s="191"/>
      <c r="B5" s="212" t="s">
        <v>17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</row>
    <row r="6" spans="1:32">
      <c r="A6" s="201">
        <v>1</v>
      </c>
      <c r="B6" s="84" t="s">
        <v>18</v>
      </c>
      <c r="C6" s="85" t="s">
        <v>19</v>
      </c>
      <c r="D6" s="171" t="s">
        <v>330</v>
      </c>
      <c r="E6" s="86">
        <v>15448104851.889999</v>
      </c>
      <c r="F6" s="87">
        <f t="shared" ref="F6:F25" si="0">(E6/$E$26)</f>
        <v>5.7897140071626295E-2</v>
      </c>
      <c r="G6" s="171" t="s">
        <v>330</v>
      </c>
      <c r="H6" s="86">
        <v>930.36389999999994</v>
      </c>
      <c r="I6" s="171" t="s">
        <v>330</v>
      </c>
      <c r="J6" s="86">
        <v>937.25580000000002</v>
      </c>
      <c r="K6" s="88">
        <v>1705</v>
      </c>
      <c r="L6" s="89">
        <v>-4.3E-3</v>
      </c>
      <c r="M6" s="89">
        <v>0.50309999999999999</v>
      </c>
      <c r="N6" s="171" t="s">
        <v>330</v>
      </c>
      <c r="O6" s="86">
        <v>14621814052.459999</v>
      </c>
      <c r="P6" s="87">
        <f t="shared" ref="P6:P25" si="1">(O6/$O$26)</f>
        <v>5.5986983241994914E-2</v>
      </c>
      <c r="Q6" s="171" t="s">
        <v>330</v>
      </c>
      <c r="R6" s="86">
        <v>910.57920000000001</v>
      </c>
      <c r="S6" s="171" t="s">
        <v>330</v>
      </c>
      <c r="T6" s="86">
        <v>915.62779999999998</v>
      </c>
      <c r="U6" s="88">
        <v>1705</v>
      </c>
      <c r="V6" s="89">
        <v>-2.1299999999999999E-2</v>
      </c>
      <c r="W6" s="89">
        <v>0.47120000000000001</v>
      </c>
      <c r="X6" s="185">
        <f>((O6-E6)/E6)</f>
        <v>-5.3488166176507257E-2</v>
      </c>
      <c r="Y6" s="185">
        <f>((T6-J6)/J6)</f>
        <v>-2.3075877471230417E-2</v>
      </c>
      <c r="Z6" s="185">
        <f>((U6-K6)/K6)</f>
        <v>0</v>
      </c>
      <c r="AA6" s="185">
        <f>V6-L6</f>
        <v>-1.7000000000000001E-2</v>
      </c>
      <c r="AB6" s="186">
        <f>W6-M6</f>
        <v>-3.1899999999999984E-2</v>
      </c>
      <c r="AC6" s="45"/>
    </row>
    <row r="7" spans="1:32" ht="13.2" customHeight="1">
      <c r="A7" s="201">
        <v>2</v>
      </c>
      <c r="B7" s="84" t="s">
        <v>20</v>
      </c>
      <c r="C7" s="85" t="s">
        <v>21</v>
      </c>
      <c r="D7" s="171" t="s">
        <v>330</v>
      </c>
      <c r="E7" s="90">
        <v>2665006474.0900002</v>
      </c>
      <c r="F7" s="91">
        <f t="shared" si="0"/>
        <v>9.9880376655588441E-3</v>
      </c>
      <c r="G7" s="171" t="s">
        <v>330</v>
      </c>
      <c r="H7" s="90">
        <v>632.96429999999998</v>
      </c>
      <c r="I7" s="171" t="s">
        <v>330</v>
      </c>
      <c r="J7" s="90">
        <v>641.47619999999995</v>
      </c>
      <c r="K7" s="92">
        <v>818</v>
      </c>
      <c r="L7" s="93">
        <v>-2.5579999999999999E-3</v>
      </c>
      <c r="M7" s="93">
        <v>0.54510000000000003</v>
      </c>
      <c r="N7" s="171" t="s">
        <v>330</v>
      </c>
      <c r="O7" s="90">
        <v>2564725253.5799999</v>
      </c>
      <c r="P7" s="91">
        <f t="shared" si="1"/>
        <v>9.8203430352300624E-3</v>
      </c>
      <c r="Q7" s="171" t="s">
        <v>330</v>
      </c>
      <c r="R7" s="90">
        <v>619.89819999999997</v>
      </c>
      <c r="S7" s="171" t="s">
        <v>330</v>
      </c>
      <c r="T7" s="90">
        <v>628.34400000000005</v>
      </c>
      <c r="U7" s="92">
        <v>824</v>
      </c>
      <c r="V7" s="93">
        <v>9.4289999999999999E-3</v>
      </c>
      <c r="W7" s="93">
        <v>0.51319999999999999</v>
      </c>
      <c r="X7" s="187">
        <f t="shared" ref="X7:X26" si="2">((O7-E7)/E7)</f>
        <v>-3.7628884389199285E-2</v>
      </c>
      <c r="Y7" s="187">
        <f t="shared" ref="Y7:Y26" si="3">((T7-J7)/J7)</f>
        <v>-2.0471842914826611E-2</v>
      </c>
      <c r="Z7" s="187">
        <f t="shared" ref="Z7:Z26" si="4">((U7-K7)/K7)</f>
        <v>7.3349633251833741E-3</v>
      </c>
      <c r="AA7" s="185">
        <f t="shared" ref="AA7:AA26" si="5">V7-L7</f>
        <v>1.1986999999999999E-2</v>
      </c>
      <c r="AB7" s="186">
        <f t="shared" ref="AB7:AB26" si="6">W7-M7</f>
        <v>-3.1900000000000039E-2</v>
      </c>
      <c r="AC7" s="53"/>
      <c r="AD7" s="50"/>
      <c r="AE7" s="50"/>
    </row>
    <row r="8" spans="1:32">
      <c r="A8" s="201">
        <v>3</v>
      </c>
      <c r="B8" s="84" t="s">
        <v>22</v>
      </c>
      <c r="C8" s="85" t="s">
        <v>23</v>
      </c>
      <c r="D8" s="171" t="s">
        <v>330</v>
      </c>
      <c r="E8" s="90">
        <v>21478737489.169998</v>
      </c>
      <c r="F8" s="91">
        <f t="shared" si="0"/>
        <v>8.0499031104130758E-2</v>
      </c>
      <c r="G8" s="171" t="s">
        <v>330</v>
      </c>
      <c r="H8" s="90">
        <v>78.638999999999996</v>
      </c>
      <c r="I8" s="171" t="s">
        <v>330</v>
      </c>
      <c r="J8" s="94">
        <v>81.010099999999994</v>
      </c>
      <c r="K8" s="88">
        <v>12122</v>
      </c>
      <c r="L8" s="89">
        <v>-0.1928</v>
      </c>
      <c r="M8" s="89">
        <v>0.48480000000000001</v>
      </c>
      <c r="N8" s="171" t="s">
        <v>330</v>
      </c>
      <c r="O8" s="90">
        <v>20834406604.849998</v>
      </c>
      <c r="P8" s="91">
        <f t="shared" si="1"/>
        <v>7.9775024443454648E-2</v>
      </c>
      <c r="Q8" s="171" t="s">
        <v>330</v>
      </c>
      <c r="R8" s="90">
        <v>76.374799999999993</v>
      </c>
      <c r="S8" s="171" t="s">
        <v>330</v>
      </c>
      <c r="T8" s="94">
        <v>78.677599999999998</v>
      </c>
      <c r="U8" s="88">
        <v>12256</v>
      </c>
      <c r="V8" s="89">
        <v>-2.8792706094672098E-2</v>
      </c>
      <c r="W8" s="89">
        <v>0.44202490812950762</v>
      </c>
      <c r="X8" s="187">
        <f t="shared" si="2"/>
        <v>-2.9998545521815887E-2</v>
      </c>
      <c r="Y8" s="187">
        <f t="shared" si="3"/>
        <v>-2.8792706094672098E-2</v>
      </c>
      <c r="Z8" s="187">
        <f t="shared" si="4"/>
        <v>1.105428147170434E-2</v>
      </c>
      <c r="AA8" s="185">
        <f t="shared" si="5"/>
        <v>0.16400729390532789</v>
      </c>
      <c r="AB8" s="186">
        <f t="shared" si="6"/>
        <v>-4.2775091870492388E-2</v>
      </c>
      <c r="AC8" s="41"/>
      <c r="AD8" s="49"/>
      <c r="AE8" s="22"/>
      <c r="AF8" s="51"/>
    </row>
    <row r="9" spans="1:32">
      <c r="A9" s="201">
        <v>4</v>
      </c>
      <c r="B9" s="84" t="s">
        <v>24</v>
      </c>
      <c r="C9" s="85" t="s">
        <v>25</v>
      </c>
      <c r="D9" s="171" t="s">
        <v>330</v>
      </c>
      <c r="E9" s="90">
        <v>3250779664.48</v>
      </c>
      <c r="F9" s="91">
        <f t="shared" si="0"/>
        <v>1.2183426211880366E-2</v>
      </c>
      <c r="G9" s="171" t="s">
        <v>330</v>
      </c>
      <c r="H9" s="90">
        <v>382.26190000000003</v>
      </c>
      <c r="I9" s="171" t="s">
        <v>330</v>
      </c>
      <c r="J9" s="90">
        <v>382.26190000000003</v>
      </c>
      <c r="K9" s="92">
        <v>2668</v>
      </c>
      <c r="L9" s="93">
        <v>5.7000000000000002E-3</v>
      </c>
      <c r="M9" s="93">
        <v>0.52749999999999997</v>
      </c>
      <c r="N9" s="171" t="s">
        <v>330</v>
      </c>
      <c r="O9" s="90">
        <v>3269987543.3499999</v>
      </c>
      <c r="P9" s="91">
        <f t="shared" si="1"/>
        <v>1.2520795103413822E-2</v>
      </c>
      <c r="Q9" s="171" t="s">
        <v>330</v>
      </c>
      <c r="R9" s="90">
        <v>373.06670000000003</v>
      </c>
      <c r="S9" s="171" t="s">
        <v>330</v>
      </c>
      <c r="T9" s="90">
        <v>373.06670000000003</v>
      </c>
      <c r="U9" s="92">
        <v>2696</v>
      </c>
      <c r="V9" s="93">
        <v>-2.0199999999999999E-2</v>
      </c>
      <c r="W9" s="93">
        <v>0.49070000000000003</v>
      </c>
      <c r="X9" s="187">
        <f t="shared" si="2"/>
        <v>5.9086990975970709E-3</v>
      </c>
      <c r="Y9" s="187">
        <f t="shared" si="3"/>
        <v>-2.4054712227402207E-2</v>
      </c>
      <c r="Z9" s="187">
        <f t="shared" si="4"/>
        <v>1.0494752623688156E-2</v>
      </c>
      <c r="AA9" s="185">
        <f t="shared" si="5"/>
        <v>-2.5899999999999999E-2</v>
      </c>
      <c r="AB9" s="186">
        <f t="shared" si="6"/>
        <v>-3.6799999999999944E-2</v>
      </c>
    </row>
    <row r="10" spans="1:32">
      <c r="A10" s="201">
        <v>5</v>
      </c>
      <c r="B10" s="84" t="s">
        <v>26</v>
      </c>
      <c r="C10" s="85" t="s">
        <v>27</v>
      </c>
      <c r="D10" s="171" t="s">
        <v>330</v>
      </c>
      <c r="E10" s="90">
        <v>12342377182.02</v>
      </c>
      <c r="F10" s="91">
        <f t="shared" si="0"/>
        <v>4.6257346604999888E-2</v>
      </c>
      <c r="G10" s="171" t="s">
        <v>330</v>
      </c>
      <c r="H10" s="90">
        <v>2.9807000000000001</v>
      </c>
      <c r="I10" s="171" t="s">
        <v>330</v>
      </c>
      <c r="J10" s="90">
        <v>3.0184000000000002</v>
      </c>
      <c r="K10" s="92">
        <v>2643</v>
      </c>
      <c r="L10" s="93">
        <v>-6.9999999999999999E-4</v>
      </c>
      <c r="M10" s="93">
        <v>0.61140000000000005</v>
      </c>
      <c r="N10" s="171" t="s">
        <v>330</v>
      </c>
      <c r="O10" s="90">
        <v>12528872764</v>
      </c>
      <c r="P10" s="91">
        <f t="shared" si="1"/>
        <v>4.797310285594425E-2</v>
      </c>
      <c r="Q10" s="171" t="s">
        <v>330</v>
      </c>
      <c r="R10" s="90">
        <v>2.9272999999999998</v>
      </c>
      <c r="S10" s="171" t="s">
        <v>330</v>
      </c>
      <c r="T10" s="90">
        <v>2.9626999999999999</v>
      </c>
      <c r="U10" s="92">
        <v>2705</v>
      </c>
      <c r="V10" s="93">
        <v>-2.4199999999999999E-2</v>
      </c>
      <c r="W10" s="93">
        <v>0.58209999999999995</v>
      </c>
      <c r="X10" s="187">
        <f t="shared" si="2"/>
        <v>1.5110183332565839E-2</v>
      </c>
      <c r="Y10" s="187">
        <f t="shared" si="3"/>
        <v>-1.8453485290220083E-2</v>
      </c>
      <c r="Z10" s="187">
        <f t="shared" si="4"/>
        <v>2.3458191449110859E-2</v>
      </c>
      <c r="AA10" s="185">
        <f t="shared" si="5"/>
        <v>-2.35E-2</v>
      </c>
      <c r="AB10" s="186">
        <f t="shared" si="6"/>
        <v>-2.9300000000000104E-2</v>
      </c>
    </row>
    <row r="11" spans="1:32" ht="12.6" customHeight="1">
      <c r="A11" s="201">
        <v>6</v>
      </c>
      <c r="B11" s="84" t="s">
        <v>28</v>
      </c>
      <c r="C11" s="85" t="s">
        <v>29</v>
      </c>
      <c r="D11" s="171" t="s">
        <v>330</v>
      </c>
      <c r="E11" s="95">
        <v>835603230.53999996</v>
      </c>
      <c r="F11" s="91">
        <f t="shared" si="0"/>
        <v>3.1317134203008002E-3</v>
      </c>
      <c r="G11" s="171" t="s">
        <v>330</v>
      </c>
      <c r="H11" s="90">
        <v>283.44900000000001</v>
      </c>
      <c r="I11" s="171" t="s">
        <v>330</v>
      </c>
      <c r="J11" s="90">
        <v>286.01350000000002</v>
      </c>
      <c r="K11" s="88">
        <v>230</v>
      </c>
      <c r="L11" s="89">
        <v>3.2499999999999999E-4</v>
      </c>
      <c r="M11" s="89">
        <v>0.42259999999999998</v>
      </c>
      <c r="N11" s="171" t="s">
        <v>330</v>
      </c>
      <c r="O11" s="95">
        <v>717446975.95000005</v>
      </c>
      <c r="P11" s="91">
        <f t="shared" si="1"/>
        <v>2.7471072792622951E-3</v>
      </c>
      <c r="Q11" s="171" t="s">
        <v>330</v>
      </c>
      <c r="R11" s="90">
        <v>337.61180000000002</v>
      </c>
      <c r="S11" s="171" t="s">
        <v>330</v>
      </c>
      <c r="T11" s="90">
        <v>349.17469999999997</v>
      </c>
      <c r="U11" s="88">
        <v>227</v>
      </c>
      <c r="V11" s="89">
        <v>-5.0949999999999997E-3</v>
      </c>
      <c r="W11" s="89">
        <v>0.57679999999999998</v>
      </c>
      <c r="X11" s="187">
        <f t="shared" si="2"/>
        <v>-0.14140234296801685</v>
      </c>
      <c r="Y11" s="187">
        <f t="shared" si="3"/>
        <v>0.22083293271121798</v>
      </c>
      <c r="Z11" s="187">
        <f t="shared" si="4"/>
        <v>-1.3043478260869565E-2</v>
      </c>
      <c r="AA11" s="185">
        <f t="shared" si="5"/>
        <v>-5.4199999999999995E-3</v>
      </c>
      <c r="AB11" s="186">
        <f t="shared" si="6"/>
        <v>0.1542</v>
      </c>
    </row>
    <row r="12" spans="1:32" ht="12.6" customHeight="1">
      <c r="A12" s="201">
        <v>7</v>
      </c>
      <c r="B12" s="84" t="s">
        <v>319</v>
      </c>
      <c r="C12" s="85" t="s">
        <v>38</v>
      </c>
      <c r="D12" s="171" t="s">
        <v>330</v>
      </c>
      <c r="E12" s="96">
        <v>4354204916.1700001</v>
      </c>
      <c r="F12" s="91">
        <f t="shared" si="0"/>
        <v>1.6318895705916679E-2</v>
      </c>
      <c r="G12" s="171" t="s">
        <v>330</v>
      </c>
      <c r="H12" s="90">
        <v>8.3800000000000008</v>
      </c>
      <c r="I12" s="171" t="s">
        <v>330</v>
      </c>
      <c r="J12" s="90">
        <v>8.5500000000000007</v>
      </c>
      <c r="K12" s="92">
        <v>3817</v>
      </c>
      <c r="L12" s="93">
        <v>7.6E-3</v>
      </c>
      <c r="M12" s="93">
        <v>0.51349999999999996</v>
      </c>
      <c r="N12" s="171" t="s">
        <v>330</v>
      </c>
      <c r="O12" s="96">
        <v>4303887327.21</v>
      </c>
      <c r="P12" s="91">
        <f t="shared" si="1"/>
        <v>1.6479601422875485E-2</v>
      </c>
      <c r="Q12" s="171" t="s">
        <v>330</v>
      </c>
      <c r="R12" s="90">
        <v>8.35</v>
      </c>
      <c r="S12" s="171" t="s">
        <v>330</v>
      </c>
      <c r="T12" s="90">
        <v>8.35</v>
      </c>
      <c r="U12" s="92">
        <v>3822</v>
      </c>
      <c r="V12" s="93">
        <v>-5.8999999999999999E-3</v>
      </c>
      <c r="W12" s="93">
        <v>0.49320000000000003</v>
      </c>
      <c r="X12" s="187">
        <f>((O12-E12)/E12)</f>
        <v>-1.155609116445991E-2</v>
      </c>
      <c r="Y12" s="187">
        <f>((T12-J12)/J12)</f>
        <v>-2.33918128654972E-2</v>
      </c>
      <c r="Z12" s="187">
        <f>((U12-K12)/K12)</f>
        <v>1.3099292638197536E-3</v>
      </c>
      <c r="AA12" s="185">
        <f>V12-L12</f>
        <v>-1.35E-2</v>
      </c>
      <c r="AB12" s="186">
        <f>W12-M12</f>
        <v>-2.0299999999999929E-2</v>
      </c>
    </row>
    <row r="13" spans="1:32">
      <c r="A13" s="201">
        <v>8</v>
      </c>
      <c r="B13" s="84" t="s">
        <v>321</v>
      </c>
      <c r="C13" s="85" t="s">
        <v>79</v>
      </c>
      <c r="D13" s="171" t="s">
        <v>330</v>
      </c>
      <c r="E13" s="95">
        <v>6811517329.9700003</v>
      </c>
      <c r="F13" s="91">
        <f t="shared" si="0"/>
        <v>2.552852772133626E-2</v>
      </c>
      <c r="G13" s="171" t="s">
        <v>330</v>
      </c>
      <c r="H13" s="90">
        <v>645.24</v>
      </c>
      <c r="I13" s="171" t="s">
        <v>330</v>
      </c>
      <c r="J13" s="90">
        <v>654.38</v>
      </c>
      <c r="K13" s="88">
        <v>2144</v>
      </c>
      <c r="L13" s="89">
        <v>-7.7999999999999996E-3</v>
      </c>
      <c r="M13" s="89">
        <v>0.4234</v>
      </c>
      <c r="N13" s="171" t="s">
        <v>330</v>
      </c>
      <c r="O13" s="95">
        <v>6927873872.6700001</v>
      </c>
      <c r="P13" s="91">
        <f t="shared" si="1"/>
        <v>2.6526856176684429E-2</v>
      </c>
      <c r="Q13" s="171" t="s">
        <v>330</v>
      </c>
      <c r="R13" s="90">
        <v>635.9</v>
      </c>
      <c r="S13" s="171" t="s">
        <v>330</v>
      </c>
      <c r="T13" s="90">
        <v>644.59</v>
      </c>
      <c r="U13" s="88">
        <v>2162</v>
      </c>
      <c r="V13" s="89">
        <v>-1.47E-2</v>
      </c>
      <c r="W13" s="89">
        <v>0.40279999999999999</v>
      </c>
      <c r="X13" s="187">
        <f t="shared" si="2"/>
        <v>1.7082323521081355E-2</v>
      </c>
      <c r="Y13" s="187">
        <f t="shared" si="3"/>
        <v>-1.4960726183563013E-2</v>
      </c>
      <c r="Z13" s="187">
        <f t="shared" si="4"/>
        <v>8.3955223880597014E-3</v>
      </c>
      <c r="AA13" s="185">
        <f t="shared" si="5"/>
        <v>-6.8999999999999999E-3</v>
      </c>
      <c r="AB13" s="186">
        <f t="shared" si="6"/>
        <v>-2.0600000000000007E-2</v>
      </c>
      <c r="AC13" s="41"/>
      <c r="AD13" s="41"/>
      <c r="AE13" s="146"/>
    </row>
    <row r="14" spans="1:32" ht="14.4" customHeight="1">
      <c r="A14" s="201">
        <v>9</v>
      </c>
      <c r="B14" s="84" t="s">
        <v>30</v>
      </c>
      <c r="C14" s="85" t="s">
        <v>31</v>
      </c>
      <c r="D14" s="171" t="s">
        <v>330</v>
      </c>
      <c r="E14" s="96">
        <v>647539551.32000005</v>
      </c>
      <c r="F14" s="91">
        <f t="shared" si="0"/>
        <v>2.4268794434098681E-3</v>
      </c>
      <c r="G14" s="171" t="s">
        <v>330</v>
      </c>
      <c r="H14" s="90">
        <v>322.95</v>
      </c>
      <c r="I14" s="171" t="s">
        <v>330</v>
      </c>
      <c r="J14" s="90">
        <v>334.55</v>
      </c>
      <c r="K14" s="92">
        <v>2472</v>
      </c>
      <c r="L14" s="93">
        <v>8.5000000000000006E-3</v>
      </c>
      <c r="M14" s="93">
        <v>0.27800000000000002</v>
      </c>
      <c r="N14" s="171" t="s">
        <v>330</v>
      </c>
      <c r="O14" s="96">
        <v>639847627.50999999</v>
      </c>
      <c r="P14" s="91">
        <f t="shared" si="1"/>
        <v>2.4499790703333166E-3</v>
      </c>
      <c r="Q14" s="171" t="s">
        <v>330</v>
      </c>
      <c r="R14" s="90">
        <v>319.12</v>
      </c>
      <c r="S14" s="171" t="s">
        <v>330</v>
      </c>
      <c r="T14" s="90">
        <v>333.19</v>
      </c>
      <c r="U14" s="92">
        <v>2472</v>
      </c>
      <c r="V14" s="93">
        <v>8.5000000000000006E-3</v>
      </c>
      <c r="W14" s="93">
        <v>0.27800000000000002</v>
      </c>
      <c r="X14" s="187">
        <f t="shared" si="2"/>
        <v>-1.1878693423930919E-2</v>
      </c>
      <c r="Y14" s="187">
        <f t="shared" si="3"/>
        <v>-4.0651621581228922E-3</v>
      </c>
      <c r="Z14" s="187">
        <f t="shared" si="4"/>
        <v>0</v>
      </c>
      <c r="AA14" s="185">
        <f t="shared" si="5"/>
        <v>0</v>
      </c>
      <c r="AB14" s="186">
        <f t="shared" si="6"/>
        <v>0</v>
      </c>
      <c r="AE14" s="146"/>
    </row>
    <row r="15" spans="1:32">
      <c r="A15" s="201">
        <v>10</v>
      </c>
      <c r="B15" s="84" t="s">
        <v>32</v>
      </c>
      <c r="C15" s="85" t="s">
        <v>33</v>
      </c>
      <c r="D15" s="171" t="s">
        <v>330</v>
      </c>
      <c r="E15" s="96">
        <v>158033563.97389999</v>
      </c>
      <c r="F15" s="91">
        <f t="shared" si="0"/>
        <v>5.9228568663526277E-4</v>
      </c>
      <c r="G15" s="171" t="s">
        <v>330</v>
      </c>
      <c r="H15" s="90">
        <v>520.48109999999997</v>
      </c>
      <c r="I15" s="171" t="s">
        <v>330</v>
      </c>
      <c r="J15" s="90">
        <v>537.48620000000005</v>
      </c>
      <c r="K15" s="92">
        <v>34</v>
      </c>
      <c r="L15" s="93">
        <v>4.8999999999999998E-3</v>
      </c>
      <c r="M15" s="93">
        <v>0.64290000000000003</v>
      </c>
      <c r="N15" s="171" t="s">
        <v>330</v>
      </c>
      <c r="O15" s="96">
        <v>162526063.5298</v>
      </c>
      <c r="P15" s="91">
        <f t="shared" si="1"/>
        <v>6.2231293344203241E-4</v>
      </c>
      <c r="Q15" s="171" t="s">
        <v>330</v>
      </c>
      <c r="R15" s="90">
        <v>519.18859999999995</v>
      </c>
      <c r="S15" s="171" t="s">
        <v>330</v>
      </c>
      <c r="T15" s="90">
        <v>535.11569999999995</v>
      </c>
      <c r="U15" s="92">
        <v>34</v>
      </c>
      <c r="V15" s="93">
        <v>-3.5000000000000001E-3</v>
      </c>
      <c r="W15" s="93">
        <v>0.63700000000000001</v>
      </c>
      <c r="X15" s="187">
        <f t="shared" si="2"/>
        <v>2.8427502632554471E-2</v>
      </c>
      <c r="Y15" s="187">
        <f t="shared" si="3"/>
        <v>-4.410345791203767E-3</v>
      </c>
      <c r="Z15" s="187">
        <f t="shared" si="4"/>
        <v>0</v>
      </c>
      <c r="AA15" s="185">
        <f t="shared" si="5"/>
        <v>-8.3999999999999995E-3</v>
      </c>
      <c r="AB15" s="186">
        <f t="shared" si="6"/>
        <v>-5.9000000000000163E-3</v>
      </c>
    </row>
    <row r="16" spans="1:32" ht="14.25" customHeight="1">
      <c r="A16" s="201">
        <v>11</v>
      </c>
      <c r="B16" s="84" t="s">
        <v>34</v>
      </c>
      <c r="C16" s="85" t="s">
        <v>35</v>
      </c>
      <c r="D16" s="171" t="s">
        <v>330</v>
      </c>
      <c r="E16" s="96">
        <v>24293708175.830002</v>
      </c>
      <c r="F16" s="91">
        <f t="shared" si="0"/>
        <v>9.1049111758401857E-2</v>
      </c>
      <c r="G16" s="171" t="s">
        <v>330</v>
      </c>
      <c r="H16" s="90">
        <v>6.0309999999999997</v>
      </c>
      <c r="I16" s="171" t="s">
        <v>330</v>
      </c>
      <c r="J16" s="90">
        <v>6.0842999999999998</v>
      </c>
      <c r="K16" s="92">
        <v>11469</v>
      </c>
      <c r="L16" s="93">
        <v>4.0000000000000001E-3</v>
      </c>
      <c r="M16" s="93">
        <v>0.51590000000000003</v>
      </c>
      <c r="N16" s="171" t="s">
        <v>330</v>
      </c>
      <c r="O16" s="96">
        <v>23972980414.310001</v>
      </c>
      <c r="P16" s="91">
        <f t="shared" si="1"/>
        <v>9.1792635845402273E-2</v>
      </c>
      <c r="Q16" s="171" t="s">
        <v>330</v>
      </c>
      <c r="R16" s="90">
        <v>5.9196</v>
      </c>
      <c r="S16" s="171" t="s">
        <v>330</v>
      </c>
      <c r="T16" s="90">
        <v>5.9752000000000001</v>
      </c>
      <c r="U16" s="92">
        <v>11763</v>
      </c>
      <c r="V16" s="93">
        <v>-1.8499999999999999E-2</v>
      </c>
      <c r="W16" s="93">
        <v>0.4879</v>
      </c>
      <c r="X16" s="187">
        <f t="shared" si="2"/>
        <v>-1.320209163618319E-2</v>
      </c>
      <c r="Y16" s="187">
        <f t="shared" si="3"/>
        <v>-1.7931397202636253E-2</v>
      </c>
      <c r="Z16" s="187">
        <f t="shared" si="4"/>
        <v>2.5634318597959716E-2</v>
      </c>
      <c r="AA16" s="185">
        <f t="shared" si="5"/>
        <v>-2.2499999999999999E-2</v>
      </c>
      <c r="AB16" s="186">
        <f t="shared" si="6"/>
        <v>-2.8000000000000025E-2</v>
      </c>
      <c r="AD16" s="50"/>
    </row>
    <row r="17" spans="1:33" ht="14.25" customHeight="1">
      <c r="A17" s="201">
        <v>12</v>
      </c>
      <c r="B17" s="84" t="s">
        <v>36</v>
      </c>
      <c r="C17" s="85" t="s">
        <v>37</v>
      </c>
      <c r="D17" s="171" t="s">
        <v>330</v>
      </c>
      <c r="E17" s="96">
        <v>557181942.88</v>
      </c>
      <c r="F17" s="91">
        <f t="shared" si="0"/>
        <v>2.0882329128130875E-3</v>
      </c>
      <c r="G17" s="171" t="s">
        <v>330</v>
      </c>
      <c r="H17" s="90">
        <v>47.35</v>
      </c>
      <c r="I17" s="171" t="s">
        <v>330</v>
      </c>
      <c r="J17" s="90">
        <v>47.72</v>
      </c>
      <c r="K17" s="92">
        <v>122</v>
      </c>
      <c r="L17" s="93">
        <v>-0.02</v>
      </c>
      <c r="M17" s="93">
        <v>0.83</v>
      </c>
      <c r="N17" s="171" t="s">
        <v>330</v>
      </c>
      <c r="O17" s="96">
        <v>529289001.17000002</v>
      </c>
      <c r="P17" s="91">
        <f t="shared" si="1"/>
        <v>2.0266496573105759E-3</v>
      </c>
      <c r="Q17" s="171" t="s">
        <v>330</v>
      </c>
      <c r="R17" s="90">
        <v>46.97</v>
      </c>
      <c r="S17" s="171" t="s">
        <v>330</v>
      </c>
      <c r="T17" s="90">
        <v>47.37</v>
      </c>
      <c r="U17" s="92">
        <v>125</v>
      </c>
      <c r="V17" s="93">
        <v>-0.01</v>
      </c>
      <c r="W17" s="93">
        <v>0.85</v>
      </c>
      <c r="X17" s="187">
        <f t="shared" ref="X17" si="7">((O17-E17)/E17)</f>
        <v>-5.0060742395607871E-2</v>
      </c>
      <c r="Y17" s="187">
        <f t="shared" ref="Y17" si="8">((T17-J17)/J17)</f>
        <v>-7.3344509639564426E-3</v>
      </c>
      <c r="Z17" s="187">
        <f t="shared" ref="Z17" si="9">((U17-K17)/K17)</f>
        <v>2.4590163934426229E-2</v>
      </c>
      <c r="AA17" s="185">
        <f t="shared" ref="AA17" si="10">V17-L17</f>
        <v>0.01</v>
      </c>
      <c r="AB17" s="186">
        <f t="shared" ref="AB17" si="11">W17-M17</f>
        <v>2.0000000000000018E-2</v>
      </c>
      <c r="AD17" s="41"/>
    </row>
    <row r="18" spans="1:33">
      <c r="A18" s="201">
        <v>13</v>
      </c>
      <c r="B18" s="84" t="s">
        <v>39</v>
      </c>
      <c r="C18" s="85" t="s">
        <v>40</v>
      </c>
      <c r="D18" s="171" t="s">
        <v>330</v>
      </c>
      <c r="E18" s="90">
        <v>10913232443.219999</v>
      </c>
      <c r="F18" s="91">
        <f t="shared" si="0"/>
        <v>4.0901130168211002E-2</v>
      </c>
      <c r="G18" s="171" t="s">
        <v>330</v>
      </c>
      <c r="H18" s="90">
        <v>49.04</v>
      </c>
      <c r="I18" s="171" t="s">
        <v>330</v>
      </c>
      <c r="J18" s="90">
        <v>49.31</v>
      </c>
      <c r="K18" s="92">
        <v>2282</v>
      </c>
      <c r="L18" s="93">
        <v>-3.0000000000000001E-3</v>
      </c>
      <c r="M18" s="93">
        <v>0.58450000000000002</v>
      </c>
      <c r="N18" s="171" t="s">
        <v>330</v>
      </c>
      <c r="O18" s="90">
        <v>11121755143.299999</v>
      </c>
      <c r="P18" s="91">
        <f t="shared" si="1"/>
        <v>4.258524397831117E-2</v>
      </c>
      <c r="Q18" s="171" t="s">
        <v>330</v>
      </c>
      <c r="R18" s="90">
        <v>47.32</v>
      </c>
      <c r="S18" s="171" t="s">
        <v>330</v>
      </c>
      <c r="T18" s="90">
        <v>47.58</v>
      </c>
      <c r="U18" s="92">
        <v>2381</v>
      </c>
      <c r="V18" s="93">
        <v>-3.5099999999999999E-2</v>
      </c>
      <c r="W18" s="93">
        <v>0.53159999999999996</v>
      </c>
      <c r="X18" s="187">
        <f t="shared" si="2"/>
        <v>1.9107326923064633E-2</v>
      </c>
      <c r="Y18" s="187">
        <f t="shared" si="3"/>
        <v>-3.5084161427702369E-2</v>
      </c>
      <c r="Z18" s="187">
        <f t="shared" si="4"/>
        <v>4.3382997370727434E-2</v>
      </c>
      <c r="AA18" s="185">
        <f t="shared" si="5"/>
        <v>-3.2099999999999997E-2</v>
      </c>
      <c r="AB18" s="186">
        <f t="shared" si="6"/>
        <v>-5.2900000000000058E-2</v>
      </c>
      <c r="AE18" s="50"/>
    </row>
    <row r="19" spans="1:33">
      <c r="A19" s="201">
        <v>14</v>
      </c>
      <c r="B19" s="84" t="s">
        <v>41</v>
      </c>
      <c r="C19" s="85" t="s">
        <v>42</v>
      </c>
      <c r="D19" s="171" t="s">
        <v>330</v>
      </c>
      <c r="E19" s="90">
        <v>392468229.91000003</v>
      </c>
      <c r="F19" s="91">
        <f t="shared" si="0"/>
        <v>1.4709110469290014E-3</v>
      </c>
      <c r="G19" s="171" t="s">
        <v>330</v>
      </c>
      <c r="H19" s="90">
        <v>3.04</v>
      </c>
      <c r="I19" s="171" t="s">
        <v>330</v>
      </c>
      <c r="J19" s="90">
        <v>3.45</v>
      </c>
      <c r="K19" s="92">
        <v>42</v>
      </c>
      <c r="L19" s="93">
        <v>0.10932475884244383</v>
      </c>
      <c r="M19" s="93">
        <v>0.61214953271028039</v>
      </c>
      <c r="N19" s="171" t="s">
        <v>330</v>
      </c>
      <c r="O19" s="90">
        <v>389997259.70999998</v>
      </c>
      <c r="P19" s="91">
        <f t="shared" si="1"/>
        <v>1.4933010340214378E-3</v>
      </c>
      <c r="Q19" s="171" t="s">
        <v>330</v>
      </c>
      <c r="R19" s="90">
        <v>3.34</v>
      </c>
      <c r="S19" s="171" t="s">
        <v>330</v>
      </c>
      <c r="T19" s="90">
        <v>3.4</v>
      </c>
      <c r="U19" s="92">
        <v>44</v>
      </c>
      <c r="V19" s="93">
        <v>-1.4492753623188482E-2</v>
      </c>
      <c r="W19" s="93">
        <v>0.58878504672897181</v>
      </c>
      <c r="X19" s="187">
        <f t="shared" si="2"/>
        <v>-6.2959750922174903E-3</v>
      </c>
      <c r="Y19" s="187">
        <f t="shared" si="3"/>
        <v>-1.4492753623188482E-2</v>
      </c>
      <c r="Z19" s="187">
        <f t="shared" si="4"/>
        <v>4.7619047619047616E-2</v>
      </c>
      <c r="AA19" s="185">
        <f t="shared" si="5"/>
        <v>-0.12381751246563232</v>
      </c>
      <c r="AB19" s="186">
        <f t="shared" si="6"/>
        <v>-2.336448598130858E-2</v>
      </c>
      <c r="AD19" s="41"/>
      <c r="AE19" s="41"/>
    </row>
    <row r="20" spans="1:33">
      <c r="A20" s="201">
        <v>15</v>
      </c>
      <c r="B20" s="84" t="s">
        <v>43</v>
      </c>
      <c r="C20" s="85" t="s">
        <v>44</v>
      </c>
      <c r="D20" s="171" t="s">
        <v>330</v>
      </c>
      <c r="E20" s="97">
        <v>25808243207</v>
      </c>
      <c r="F20" s="91">
        <f t="shared" si="0"/>
        <v>9.6725357983019261E-2</v>
      </c>
      <c r="G20" s="171" t="s">
        <v>330</v>
      </c>
      <c r="H20" s="90">
        <v>78.36</v>
      </c>
      <c r="I20" s="171" t="s">
        <v>330</v>
      </c>
      <c r="J20" s="90">
        <v>78.58</v>
      </c>
      <c r="K20" s="92">
        <v>19437</v>
      </c>
      <c r="L20" s="93">
        <v>-5.3E-3</v>
      </c>
      <c r="M20" s="93">
        <v>0.65090000000000003</v>
      </c>
      <c r="N20" s="171" t="s">
        <v>330</v>
      </c>
      <c r="O20" s="97">
        <v>24961051790</v>
      </c>
      <c r="P20" s="91">
        <f t="shared" si="1"/>
        <v>9.557596501059186E-2</v>
      </c>
      <c r="Q20" s="171" t="s">
        <v>330</v>
      </c>
      <c r="R20" s="90">
        <v>76.150000000000006</v>
      </c>
      <c r="S20" s="171" t="s">
        <v>330</v>
      </c>
      <c r="T20" s="90">
        <v>76.44</v>
      </c>
      <c r="U20" s="92">
        <v>19694</v>
      </c>
      <c r="V20" s="93">
        <v>4.65E-2</v>
      </c>
      <c r="W20" s="93">
        <v>0.60440000000000005</v>
      </c>
      <c r="X20" s="187">
        <f t="shared" si="2"/>
        <v>-3.2826388460653347E-2</v>
      </c>
      <c r="Y20" s="187">
        <f t="shared" si="3"/>
        <v>-2.7233392720794104E-2</v>
      </c>
      <c r="Z20" s="187">
        <f t="shared" si="4"/>
        <v>1.32222050727993E-2</v>
      </c>
      <c r="AA20" s="185">
        <f t="shared" si="5"/>
        <v>5.1799999999999999E-2</v>
      </c>
      <c r="AB20" s="186">
        <f t="shared" si="6"/>
        <v>-4.6499999999999986E-2</v>
      </c>
    </row>
    <row r="21" spans="1:33" ht="12.75" customHeight="1">
      <c r="A21" s="201">
        <v>16</v>
      </c>
      <c r="B21" s="84" t="s">
        <v>45</v>
      </c>
      <c r="C21" s="85" t="s">
        <v>46</v>
      </c>
      <c r="D21" s="171" t="s">
        <v>330</v>
      </c>
      <c r="E21" s="90">
        <v>5242156536.4200001</v>
      </c>
      <c r="F21" s="91">
        <f t="shared" si="0"/>
        <v>1.9646802904070636E-2</v>
      </c>
      <c r="G21" s="171" t="s">
        <v>330</v>
      </c>
      <c r="H21" s="90">
        <v>18133.240000000002</v>
      </c>
      <c r="I21" s="171" t="s">
        <v>330</v>
      </c>
      <c r="J21" s="90">
        <v>18394.62</v>
      </c>
      <c r="K21" s="92">
        <v>81</v>
      </c>
      <c r="L21" s="93">
        <v>-1.18E-2</v>
      </c>
      <c r="M21" s="93">
        <v>0.43020000000000003</v>
      </c>
      <c r="N21" s="171" t="s">
        <v>330</v>
      </c>
      <c r="O21" s="90">
        <v>5190013856.8599997</v>
      </c>
      <c r="P21" s="91">
        <f t="shared" si="1"/>
        <v>1.9872583373528516E-2</v>
      </c>
      <c r="Q21" s="171" t="s">
        <v>330</v>
      </c>
      <c r="R21" s="90">
        <v>17809.64</v>
      </c>
      <c r="S21" s="171" t="s">
        <v>330</v>
      </c>
      <c r="T21" s="90">
        <v>18063.099999999999</v>
      </c>
      <c r="U21" s="92">
        <v>83</v>
      </c>
      <c r="V21" s="93">
        <v>-1.7999999999999999E-2</v>
      </c>
      <c r="W21" s="93">
        <v>0.40439999999999998</v>
      </c>
      <c r="X21" s="187">
        <f t="shared" si="2"/>
        <v>-9.9467994131304527E-3</v>
      </c>
      <c r="Y21" s="187">
        <f t="shared" si="3"/>
        <v>-1.8022660973697768E-2</v>
      </c>
      <c r="Z21" s="187">
        <f t="shared" si="4"/>
        <v>2.4691358024691357E-2</v>
      </c>
      <c r="AA21" s="185">
        <f t="shared" si="5"/>
        <v>-6.1999999999999989E-3</v>
      </c>
      <c r="AB21" s="186">
        <f t="shared" si="6"/>
        <v>-2.5800000000000045E-2</v>
      </c>
      <c r="AD21" s="41"/>
    </row>
    <row r="22" spans="1:33">
      <c r="A22" s="201">
        <v>17</v>
      </c>
      <c r="B22" s="84" t="s">
        <v>47</v>
      </c>
      <c r="C22" s="85" t="s">
        <v>46</v>
      </c>
      <c r="D22" s="171" t="s">
        <v>330</v>
      </c>
      <c r="E22" s="90">
        <v>77316675659.630005</v>
      </c>
      <c r="F22" s="91">
        <f t="shared" si="0"/>
        <v>0.28977110418760721</v>
      </c>
      <c r="G22" s="171" t="s">
        <v>330</v>
      </c>
      <c r="H22" s="90">
        <v>64646.61</v>
      </c>
      <c r="I22" s="171" t="s">
        <v>330</v>
      </c>
      <c r="J22" s="90">
        <v>65436.38</v>
      </c>
      <c r="K22" s="92">
        <v>31723</v>
      </c>
      <c r="L22" s="93">
        <v>-4.1000000000000003E-3</v>
      </c>
      <c r="M22" s="93">
        <v>0.51200000000000001</v>
      </c>
      <c r="N22" s="171" t="s">
        <v>330</v>
      </c>
      <c r="O22" s="90">
        <v>76228693583.679993</v>
      </c>
      <c r="P22" s="91">
        <f t="shared" si="1"/>
        <v>0.29187996611888473</v>
      </c>
      <c r="Q22" s="171" t="s">
        <v>330</v>
      </c>
      <c r="R22" s="90">
        <v>63432.5</v>
      </c>
      <c r="S22" s="171" t="s">
        <v>330</v>
      </c>
      <c r="T22" s="90">
        <v>64211.62</v>
      </c>
      <c r="U22" s="92">
        <v>32139</v>
      </c>
      <c r="V22" s="93">
        <v>-1.8700000000000001E-2</v>
      </c>
      <c r="W22" s="93">
        <v>0.48370000000000002</v>
      </c>
      <c r="X22" s="187">
        <f t="shared" si="2"/>
        <v>-1.4071764812284723E-2</v>
      </c>
      <c r="Y22" s="187">
        <f t="shared" si="3"/>
        <v>-1.8716805544560913E-2</v>
      </c>
      <c r="Z22" s="187">
        <f t="shared" si="4"/>
        <v>1.3113513854301295E-2</v>
      </c>
      <c r="AA22" s="185">
        <f t="shared" si="5"/>
        <v>-1.4600000000000002E-2</v>
      </c>
      <c r="AB22" s="186">
        <f t="shared" si="6"/>
        <v>-2.8299999999999992E-2</v>
      </c>
    </row>
    <row r="23" spans="1:33">
      <c r="A23" s="201">
        <v>18</v>
      </c>
      <c r="B23" s="85" t="s">
        <v>48</v>
      </c>
      <c r="C23" s="85" t="s">
        <v>49</v>
      </c>
      <c r="D23" s="171" t="s">
        <v>330</v>
      </c>
      <c r="E23" s="90">
        <v>18194255181.5</v>
      </c>
      <c r="F23" s="91">
        <f t="shared" si="0"/>
        <v>6.8189292527577605E-2</v>
      </c>
      <c r="G23" s="171" t="s">
        <v>330</v>
      </c>
      <c r="H23" s="90">
        <v>2.7990200000000001</v>
      </c>
      <c r="I23" s="171" t="s">
        <v>330</v>
      </c>
      <c r="J23" s="98">
        <v>2.8251599999999999</v>
      </c>
      <c r="K23" s="92">
        <v>8779</v>
      </c>
      <c r="L23" s="93">
        <v>-1.9E-3</v>
      </c>
      <c r="M23" s="93">
        <v>0.45610000000000001</v>
      </c>
      <c r="N23" s="171" t="s">
        <v>330</v>
      </c>
      <c r="O23" s="90">
        <v>18194255181.5</v>
      </c>
      <c r="P23" s="91">
        <f t="shared" si="1"/>
        <v>6.9665874308929648E-2</v>
      </c>
      <c r="Q23" s="171" t="s">
        <v>330</v>
      </c>
      <c r="R23" s="90">
        <v>2.7990200000000001</v>
      </c>
      <c r="S23" s="171" t="s">
        <v>330</v>
      </c>
      <c r="T23" s="98">
        <v>2.8251599999999999</v>
      </c>
      <c r="U23" s="92">
        <v>8779</v>
      </c>
      <c r="V23" s="93">
        <v>-1.9E-3</v>
      </c>
      <c r="W23" s="93">
        <v>0.45610000000000001</v>
      </c>
      <c r="X23" s="187">
        <f t="shared" ref="X23:X24" si="12">((O23-E23)/E23)</f>
        <v>0</v>
      </c>
      <c r="Y23" s="187">
        <f t="shared" ref="Y23:Y24" si="13">((T23-J23)/J23)</f>
        <v>0</v>
      </c>
      <c r="Z23" s="187">
        <f t="shared" ref="Z23:Z24" si="14">((U23-K23)/K23)</f>
        <v>0</v>
      </c>
      <c r="AA23" s="185">
        <f t="shared" ref="AA23:AA24" si="15">V23-L23</f>
        <v>0</v>
      </c>
      <c r="AB23" s="186">
        <f t="shared" ref="AB23:AB24" si="16">W23-M23</f>
        <v>0</v>
      </c>
      <c r="AD23" s="50"/>
      <c r="AE23" s="50"/>
    </row>
    <row r="24" spans="1:33">
      <c r="A24" s="201">
        <v>19</v>
      </c>
      <c r="B24" s="84" t="s">
        <v>303</v>
      </c>
      <c r="C24" s="85" t="s">
        <v>119</v>
      </c>
      <c r="D24" s="171" t="s">
        <v>330</v>
      </c>
      <c r="E24" s="90">
        <v>13076090479.870001</v>
      </c>
      <c r="F24" s="91">
        <f t="shared" si="0"/>
        <v>4.9007192102898563E-2</v>
      </c>
      <c r="G24" s="171" t="s">
        <v>330</v>
      </c>
      <c r="H24" s="90">
        <v>2.12</v>
      </c>
      <c r="I24" s="171" t="s">
        <v>330</v>
      </c>
      <c r="J24" s="98">
        <v>2.15</v>
      </c>
      <c r="K24" s="92">
        <v>4386</v>
      </c>
      <c r="L24" s="93">
        <v>-1.37E-2</v>
      </c>
      <c r="M24" s="93">
        <v>1.0842000000000001</v>
      </c>
      <c r="N24" s="171" t="s">
        <v>330</v>
      </c>
      <c r="O24" s="90">
        <v>10948302329.41</v>
      </c>
      <c r="P24" s="91">
        <f t="shared" si="1"/>
        <v>4.1921092474968641E-2</v>
      </c>
      <c r="Q24" s="171" t="s">
        <v>330</v>
      </c>
      <c r="R24" s="90">
        <v>2.0099999999999998</v>
      </c>
      <c r="S24" s="171" t="s">
        <v>330</v>
      </c>
      <c r="T24" s="98">
        <v>2.04</v>
      </c>
      <c r="U24" s="92">
        <v>4610</v>
      </c>
      <c r="V24" s="93">
        <v>-4.9500000000000002E-2</v>
      </c>
      <c r="W24" s="93">
        <v>0.98070000000000002</v>
      </c>
      <c r="X24" s="187">
        <f t="shared" si="12"/>
        <v>-0.16272357198320295</v>
      </c>
      <c r="Y24" s="187">
        <f t="shared" si="13"/>
        <v>-5.1162790697674362E-2</v>
      </c>
      <c r="Z24" s="187">
        <f t="shared" si="14"/>
        <v>5.1071591427268581E-2</v>
      </c>
      <c r="AA24" s="185">
        <f t="shared" si="15"/>
        <v>-3.5799999999999998E-2</v>
      </c>
      <c r="AB24" s="186">
        <f t="shared" si="16"/>
        <v>-0.10350000000000004</v>
      </c>
      <c r="AD24" s="41"/>
      <c r="AE24" s="41"/>
      <c r="AF24" s="41"/>
      <c r="AG24" s="41"/>
    </row>
    <row r="25" spans="1:33">
      <c r="A25" s="201">
        <v>20</v>
      </c>
      <c r="B25" s="85" t="s">
        <v>50</v>
      </c>
      <c r="C25" s="85" t="s">
        <v>51</v>
      </c>
      <c r="D25" s="171" t="s">
        <v>330</v>
      </c>
      <c r="E25" s="90">
        <v>23033910098.779999</v>
      </c>
      <c r="F25" s="91">
        <f t="shared" si="0"/>
        <v>8.6327580772676715E-2</v>
      </c>
      <c r="G25" s="171" t="s">
        <v>330</v>
      </c>
      <c r="H25" s="90">
        <v>357.15</v>
      </c>
      <c r="I25" s="171" t="s">
        <v>330</v>
      </c>
      <c r="J25" s="98">
        <v>362.86</v>
      </c>
      <c r="K25" s="92">
        <v>163</v>
      </c>
      <c r="L25" s="93">
        <v>-1.6500000000000001E-2</v>
      </c>
      <c r="M25" s="93">
        <v>0.69</v>
      </c>
      <c r="N25" s="171" t="s">
        <v>330</v>
      </c>
      <c r="O25" s="90">
        <v>23056801353.529999</v>
      </c>
      <c r="P25" s="91">
        <f t="shared" si="1"/>
        <v>8.8284582635415859E-2</v>
      </c>
      <c r="Q25" s="171" t="s">
        <v>330</v>
      </c>
      <c r="R25" s="90">
        <v>353.92</v>
      </c>
      <c r="S25" s="171" t="s">
        <v>330</v>
      </c>
      <c r="T25" s="98">
        <v>359.55</v>
      </c>
      <c r="U25" s="92">
        <v>163</v>
      </c>
      <c r="V25" s="93">
        <v>-8.9999999999999993E-3</v>
      </c>
      <c r="W25" s="93">
        <v>0.67459999999999998</v>
      </c>
      <c r="X25" s="187">
        <f t="shared" si="2"/>
        <v>9.9380672460002545E-4</v>
      </c>
      <c r="Y25" s="187">
        <f t="shared" si="3"/>
        <v>-9.1219754175164026E-3</v>
      </c>
      <c r="Z25" s="187">
        <f t="shared" si="4"/>
        <v>0</v>
      </c>
      <c r="AA25" s="185">
        <f t="shared" si="5"/>
        <v>7.5000000000000015E-3</v>
      </c>
      <c r="AB25" s="186">
        <f t="shared" si="6"/>
        <v>-1.5399999999999969E-2</v>
      </c>
      <c r="AD25" s="41"/>
      <c r="AE25" s="41"/>
    </row>
    <row r="26" spans="1:33">
      <c r="B26" s="99"/>
      <c r="C26" s="100" t="s">
        <v>52</v>
      </c>
      <c r="D26" s="145" t="s">
        <v>330</v>
      </c>
      <c r="E26" s="101">
        <f>SUM(E6:E25)</f>
        <v>266819826208.66391</v>
      </c>
      <c r="F26" s="102">
        <f>(E26/$E$238)</f>
        <v>2.9587077872471706E-2</v>
      </c>
      <c r="G26" s="171"/>
      <c r="H26" s="103"/>
      <c r="I26" s="103"/>
      <c r="J26" s="104"/>
      <c r="K26" s="105">
        <f>SUM(K6:K25)</f>
        <v>107137</v>
      </c>
      <c r="L26" s="106"/>
      <c r="M26" s="92">
        <v>0</v>
      </c>
      <c r="N26" s="171" t="s">
        <v>330</v>
      </c>
      <c r="O26" s="101">
        <f>SUM(O6:O25)</f>
        <v>261164527998.5798</v>
      </c>
      <c r="P26" s="102">
        <f>(O26/$O$238)</f>
        <v>2.8807608437025959E-2</v>
      </c>
      <c r="Q26" s="173"/>
      <c r="R26" s="103"/>
      <c r="S26" s="103"/>
      <c r="T26" s="104"/>
      <c r="U26" s="105">
        <f>SUM(U6:U25)</f>
        <v>108684</v>
      </c>
      <c r="V26" s="106"/>
      <c r="W26" s="105"/>
      <c r="X26" s="187">
        <f t="shared" si="2"/>
        <v>-2.1195194864048198E-2</v>
      </c>
      <c r="Y26" s="187" t="e">
        <f t="shared" si="3"/>
        <v>#DIV/0!</v>
      </c>
      <c r="Z26" s="187">
        <f t="shared" si="4"/>
        <v>1.4439456023595957E-2</v>
      </c>
      <c r="AA26" s="185">
        <f t="shared" si="5"/>
        <v>0</v>
      </c>
      <c r="AB26" s="186">
        <f t="shared" si="6"/>
        <v>0</v>
      </c>
    </row>
    <row r="27" spans="1:33" ht="4.5" customHeight="1"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</row>
    <row r="28" spans="1:33" ht="15" customHeight="1">
      <c r="A28" s="19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</row>
    <row r="29" spans="1:33" ht="16.8" customHeight="1">
      <c r="A29" s="200">
        <v>21</v>
      </c>
      <c r="B29" s="84" t="s">
        <v>54</v>
      </c>
      <c r="C29" s="85" t="s">
        <v>19</v>
      </c>
      <c r="D29" s="171" t="s">
        <v>330</v>
      </c>
      <c r="E29" s="107">
        <v>5889933888.8199997</v>
      </c>
      <c r="F29" s="91">
        <f>(E29/$O$76)</f>
        <v>9.978998019088824E-4</v>
      </c>
      <c r="G29" s="171" t="s">
        <v>330</v>
      </c>
      <c r="H29" s="98">
        <v>100</v>
      </c>
      <c r="I29" s="171" t="s">
        <v>330</v>
      </c>
      <c r="J29" s="98">
        <v>100</v>
      </c>
      <c r="K29" s="92">
        <v>928</v>
      </c>
      <c r="L29" s="93">
        <v>0.17269999999999999</v>
      </c>
      <c r="M29" s="93">
        <v>0.17269999999999999</v>
      </c>
      <c r="N29" s="171" t="s">
        <v>330</v>
      </c>
      <c r="O29" s="107">
        <v>5920217605.1800003</v>
      </c>
      <c r="P29" s="91">
        <f t="shared" ref="P29:P36" si="17">(O29/$O$76)</f>
        <v>1.0030306089989368E-3</v>
      </c>
      <c r="Q29" s="171" t="s">
        <v>330</v>
      </c>
      <c r="R29" s="98">
        <v>100</v>
      </c>
      <c r="S29" s="171" t="s">
        <v>330</v>
      </c>
      <c r="T29" s="98">
        <v>100</v>
      </c>
      <c r="U29" s="92">
        <v>928</v>
      </c>
      <c r="V29" s="93">
        <v>0.15</v>
      </c>
      <c r="W29" s="93">
        <v>0.15</v>
      </c>
      <c r="X29" s="187">
        <f>((O29-E29)/E29)</f>
        <v>5.1416054800689295E-3</v>
      </c>
      <c r="Y29" s="187">
        <f>((T29-J29)/J29)</f>
        <v>0</v>
      </c>
      <c r="Z29" s="187">
        <f>((U29-K29)/K29)</f>
        <v>0</v>
      </c>
      <c r="AA29" s="187">
        <f>V29-L29</f>
        <v>-2.2699999999999998E-2</v>
      </c>
      <c r="AB29" s="188">
        <f>W29-M29</f>
        <v>-2.2699999999999998E-2</v>
      </c>
    </row>
    <row r="30" spans="1:33" ht="15.6">
      <c r="A30" s="200">
        <v>22</v>
      </c>
      <c r="B30" s="84" t="s">
        <v>55</v>
      </c>
      <c r="C30" s="85" t="s">
        <v>56</v>
      </c>
      <c r="D30" s="171" t="s">
        <v>330</v>
      </c>
      <c r="E30" s="107">
        <v>40829618771.589996</v>
      </c>
      <c r="F30" s="91">
        <f>(E30/$O$76)</f>
        <v>6.9175425825276195E-3</v>
      </c>
      <c r="G30" s="171" t="s">
        <v>330</v>
      </c>
      <c r="H30" s="98">
        <v>100</v>
      </c>
      <c r="I30" s="171" t="s">
        <v>330</v>
      </c>
      <c r="J30" s="98">
        <v>100</v>
      </c>
      <c r="K30" s="92">
        <v>4997</v>
      </c>
      <c r="L30" s="93">
        <v>0.17497499999999999</v>
      </c>
      <c r="M30" s="93">
        <v>0.17497499999999999</v>
      </c>
      <c r="N30" s="171" t="s">
        <v>330</v>
      </c>
      <c r="O30" s="107">
        <v>41379456448.040001</v>
      </c>
      <c r="P30" s="91">
        <f t="shared" si="17"/>
        <v>7.010698621078915E-3</v>
      </c>
      <c r="Q30" s="171" t="s">
        <v>330</v>
      </c>
      <c r="R30" s="98">
        <v>100</v>
      </c>
      <c r="S30" s="171" t="s">
        <v>330</v>
      </c>
      <c r="T30" s="98">
        <v>100</v>
      </c>
      <c r="U30" s="92">
        <v>5034</v>
      </c>
      <c r="V30" s="93">
        <v>0.17704800000000001</v>
      </c>
      <c r="W30" s="93">
        <v>0.17704800000000001</v>
      </c>
      <c r="X30" s="187">
        <f t="shared" ref="X30:X76" si="18">((O30-E30)/E30)</f>
        <v>1.3466637529140776E-2</v>
      </c>
      <c r="Y30" s="187">
        <f t="shared" ref="Y30:Y76" si="19">((T30-J30)/J30)</f>
        <v>0</v>
      </c>
      <c r="Z30" s="187">
        <f t="shared" ref="Z30:Z76" si="20">((U30-K30)/K30)</f>
        <v>7.4044426655993593E-3</v>
      </c>
      <c r="AA30" s="185">
        <f t="shared" ref="AA30:AA76" si="21">V30-L30</f>
        <v>2.0730000000000193E-3</v>
      </c>
      <c r="AB30" s="186">
        <f t="shared" ref="AB30:AB76" si="22">W30-M30</f>
        <v>2.0730000000000193E-3</v>
      </c>
      <c r="AD30" s="170"/>
    </row>
    <row r="31" spans="1:33">
      <c r="A31" s="200">
        <v>23</v>
      </c>
      <c r="B31" s="84" t="s">
        <v>312</v>
      </c>
      <c r="C31" s="85" t="s">
        <v>311</v>
      </c>
      <c r="D31" s="171" t="s">
        <v>330</v>
      </c>
      <c r="E31" s="107">
        <v>1698448492.9100001</v>
      </c>
      <c r="F31" s="91">
        <f>(E31/$O$76)</f>
        <v>2.8775898789704151E-4</v>
      </c>
      <c r="G31" s="171" t="s">
        <v>330</v>
      </c>
      <c r="H31" s="98">
        <v>1</v>
      </c>
      <c r="I31" s="171" t="s">
        <v>330</v>
      </c>
      <c r="J31" s="98">
        <v>1</v>
      </c>
      <c r="K31" s="92">
        <v>196</v>
      </c>
      <c r="L31" s="93">
        <v>0.17430000000000001</v>
      </c>
      <c r="M31" s="93">
        <v>0.17430000000000001</v>
      </c>
      <c r="N31" s="171" t="s">
        <v>330</v>
      </c>
      <c r="O31" s="107">
        <v>1726125437.1500001</v>
      </c>
      <c r="P31" s="91">
        <f t="shared" si="17"/>
        <v>2.9244814361523456E-4</v>
      </c>
      <c r="Q31" s="171" t="s">
        <v>330</v>
      </c>
      <c r="R31" s="98">
        <v>1</v>
      </c>
      <c r="S31" s="171" t="s">
        <v>330</v>
      </c>
      <c r="T31" s="98">
        <v>1</v>
      </c>
      <c r="U31" s="92">
        <v>202</v>
      </c>
      <c r="V31" s="93">
        <v>0.1757</v>
      </c>
      <c r="W31" s="93">
        <v>0.1757</v>
      </c>
      <c r="X31" s="187">
        <f t="shared" ref="X31" si="23">((O31-E31)/E31)</f>
        <v>1.6295427477214994E-2</v>
      </c>
      <c r="Y31" s="187">
        <f t="shared" ref="Y31" si="24">((T31-J31)/J31)</f>
        <v>0</v>
      </c>
      <c r="Z31" s="187">
        <f t="shared" ref="Z31" si="25">((U31-K31)/K31)</f>
        <v>3.0612244897959183E-2</v>
      </c>
      <c r="AA31" s="185">
        <f t="shared" ref="AA31" si="26">V31-L31</f>
        <v>1.3999999999999846E-3</v>
      </c>
      <c r="AB31" s="186">
        <f t="shared" ref="AB31" si="27">W31-M31</f>
        <v>1.3999999999999846E-3</v>
      </c>
    </row>
    <row r="32" spans="1:33">
      <c r="A32" s="200">
        <v>24</v>
      </c>
      <c r="B32" s="84" t="s">
        <v>57</v>
      </c>
      <c r="C32" s="85" t="s">
        <v>21</v>
      </c>
      <c r="D32" s="171" t="s">
        <v>330</v>
      </c>
      <c r="E32" s="107">
        <v>3582681574.6999998</v>
      </c>
      <c r="F32" s="91">
        <f>(E32/$O$76)</f>
        <v>6.0699445888211603E-4</v>
      </c>
      <c r="G32" s="171" t="s">
        <v>330</v>
      </c>
      <c r="H32" s="98">
        <v>100</v>
      </c>
      <c r="I32" s="171" t="s">
        <v>330</v>
      </c>
      <c r="J32" s="98">
        <v>100</v>
      </c>
      <c r="K32" s="92">
        <v>2568</v>
      </c>
      <c r="L32" s="93">
        <v>0.16120000000000001</v>
      </c>
      <c r="M32" s="93">
        <v>0.16120000000000001</v>
      </c>
      <c r="N32" s="171" t="s">
        <v>330</v>
      </c>
      <c r="O32" s="107">
        <v>3769421234.75</v>
      </c>
      <c r="P32" s="91">
        <f t="shared" si="17"/>
        <v>6.3863275453873508E-4</v>
      </c>
      <c r="Q32" s="171" t="s">
        <v>330</v>
      </c>
      <c r="R32" s="98">
        <v>100</v>
      </c>
      <c r="S32" s="171" t="s">
        <v>330</v>
      </c>
      <c r="T32" s="98">
        <v>100</v>
      </c>
      <c r="U32" s="92">
        <v>2579</v>
      </c>
      <c r="V32" s="93">
        <v>0.15770000000000001</v>
      </c>
      <c r="W32" s="93">
        <v>0.15770000000000001</v>
      </c>
      <c r="X32" s="187">
        <f t="shared" si="18"/>
        <v>5.2122873930161392E-2</v>
      </c>
      <c r="Y32" s="187">
        <f t="shared" si="19"/>
        <v>0</v>
      </c>
      <c r="Z32" s="187">
        <f t="shared" si="20"/>
        <v>4.2834890965732083E-3</v>
      </c>
      <c r="AA32" s="185">
        <f t="shared" si="21"/>
        <v>-3.5000000000000031E-3</v>
      </c>
      <c r="AB32" s="186">
        <f t="shared" si="22"/>
        <v>-3.5000000000000031E-3</v>
      </c>
    </row>
    <row r="33" spans="1:28">
      <c r="A33" s="200">
        <v>25</v>
      </c>
      <c r="B33" s="84" t="s">
        <v>308</v>
      </c>
      <c r="C33" s="85" t="s">
        <v>309</v>
      </c>
      <c r="D33" s="171" t="s">
        <v>330</v>
      </c>
      <c r="E33" s="107">
        <v>1381719724.4300001</v>
      </c>
      <c r="F33" s="91">
        <v>0</v>
      </c>
      <c r="G33" s="171" t="s">
        <v>330</v>
      </c>
      <c r="H33" s="98">
        <v>100</v>
      </c>
      <c r="I33" s="171" t="s">
        <v>330</v>
      </c>
      <c r="J33" s="98">
        <v>100</v>
      </c>
      <c r="K33" s="92">
        <v>161</v>
      </c>
      <c r="L33" s="93">
        <v>0.15763099999999999</v>
      </c>
      <c r="M33" s="93">
        <v>0.15763099999999999</v>
      </c>
      <c r="N33" s="171" t="s">
        <v>330</v>
      </c>
      <c r="O33" s="107">
        <v>1402523639.4000001</v>
      </c>
      <c r="P33" s="91">
        <f t="shared" si="17"/>
        <v>2.3762203249622196E-4</v>
      </c>
      <c r="Q33" s="171" t="s">
        <v>330</v>
      </c>
      <c r="R33" s="98">
        <v>100</v>
      </c>
      <c r="S33" s="171" t="s">
        <v>330</v>
      </c>
      <c r="T33" s="98">
        <v>100</v>
      </c>
      <c r="U33" s="92">
        <v>170</v>
      </c>
      <c r="V33" s="93">
        <v>0.149341</v>
      </c>
      <c r="W33" s="93">
        <v>0.149341</v>
      </c>
      <c r="X33" s="187">
        <f t="shared" ref="X33" si="28">((O33-E33)/E33)</f>
        <v>1.5056537590199238E-2</v>
      </c>
      <c r="Y33" s="187">
        <f t="shared" ref="Y33" si="29">((T33-J33)/J33)</f>
        <v>0</v>
      </c>
      <c r="Z33" s="187">
        <f t="shared" ref="Z33" si="30">((U33-K33)/K33)</f>
        <v>5.5900621118012424E-2</v>
      </c>
      <c r="AA33" s="185">
        <f t="shared" ref="AA33" si="31">V33-L33</f>
        <v>-8.2899999999999918E-3</v>
      </c>
      <c r="AB33" s="186">
        <f t="shared" ref="AB33" si="32">W33-M33</f>
        <v>-8.2899999999999918E-3</v>
      </c>
    </row>
    <row r="34" spans="1:28">
      <c r="A34" s="200">
        <v>26</v>
      </c>
      <c r="B34" s="84" t="s">
        <v>58</v>
      </c>
      <c r="C34" s="85" t="s">
        <v>23</v>
      </c>
      <c r="D34" s="171" t="s">
        <v>330</v>
      </c>
      <c r="E34" s="107">
        <v>409672165072.45001</v>
      </c>
      <c r="F34" s="91">
        <f>(E34/$O$76)</f>
        <v>6.940855026392885E-2</v>
      </c>
      <c r="G34" s="171" t="s">
        <v>330</v>
      </c>
      <c r="H34" s="98">
        <v>1</v>
      </c>
      <c r="I34" s="171" t="s">
        <v>330</v>
      </c>
      <c r="J34" s="98">
        <v>1</v>
      </c>
      <c r="K34" s="92">
        <v>85299</v>
      </c>
      <c r="L34" s="93">
        <v>0.16700000000000001</v>
      </c>
      <c r="M34" s="93">
        <v>0.16700000000000001</v>
      </c>
      <c r="N34" s="171" t="s">
        <v>330</v>
      </c>
      <c r="O34" s="107">
        <v>411508900958.45001</v>
      </c>
      <c r="P34" s="91">
        <f t="shared" si="17"/>
        <v>6.9719738540638954E-2</v>
      </c>
      <c r="Q34" s="171" t="s">
        <v>330</v>
      </c>
      <c r="R34" s="98">
        <v>1</v>
      </c>
      <c r="S34" s="171" t="s">
        <v>330</v>
      </c>
      <c r="T34" s="98">
        <v>1</v>
      </c>
      <c r="U34" s="92">
        <v>85688</v>
      </c>
      <c r="V34" s="93">
        <v>0.17169999999999999</v>
      </c>
      <c r="W34" s="93">
        <v>0.17169999999999999</v>
      </c>
      <c r="X34" s="187">
        <f t="shared" si="18"/>
        <v>4.4834285621410857E-3</v>
      </c>
      <c r="Y34" s="187">
        <f t="shared" si="19"/>
        <v>0</v>
      </c>
      <c r="Z34" s="187">
        <f t="shared" si="20"/>
        <v>4.5604286099485336E-3</v>
      </c>
      <c r="AA34" s="185">
        <f t="shared" si="21"/>
        <v>4.699999999999982E-3</v>
      </c>
      <c r="AB34" s="186">
        <f t="shared" si="22"/>
        <v>4.699999999999982E-3</v>
      </c>
    </row>
    <row r="35" spans="1:28">
      <c r="A35" s="200">
        <v>27</v>
      </c>
      <c r="B35" s="84" t="s">
        <v>59</v>
      </c>
      <c r="C35" s="85" t="s">
        <v>60</v>
      </c>
      <c r="D35" s="171" t="s">
        <v>330</v>
      </c>
      <c r="E35" s="107">
        <v>2233131980.6599998</v>
      </c>
      <c r="F35" s="91">
        <f>(E35/$O$76)</f>
        <v>3.7834753380966288E-4</v>
      </c>
      <c r="G35" s="171" t="s">
        <v>330</v>
      </c>
      <c r="H35" s="98">
        <v>1</v>
      </c>
      <c r="I35" s="171" t="s">
        <v>330</v>
      </c>
      <c r="J35" s="98">
        <v>1</v>
      </c>
      <c r="K35" s="92">
        <v>597</v>
      </c>
      <c r="L35" s="93">
        <v>0.17</v>
      </c>
      <c r="M35" s="93">
        <v>0.17</v>
      </c>
      <c r="N35" s="171" t="s">
        <v>330</v>
      </c>
      <c r="O35" s="107">
        <v>2258413105.77</v>
      </c>
      <c r="P35" s="91">
        <f t="shared" si="17"/>
        <v>3.8263077878583987E-4</v>
      </c>
      <c r="Q35" s="171" t="s">
        <v>330</v>
      </c>
      <c r="R35" s="98">
        <v>1</v>
      </c>
      <c r="S35" s="171" t="s">
        <v>330</v>
      </c>
      <c r="T35" s="98">
        <v>1</v>
      </c>
      <c r="U35" s="92">
        <v>597</v>
      </c>
      <c r="V35" s="93">
        <v>0.17</v>
      </c>
      <c r="W35" s="93">
        <v>0.17</v>
      </c>
      <c r="X35" s="187">
        <f t="shared" si="18"/>
        <v>1.1320927436867535E-2</v>
      </c>
      <c r="Y35" s="187">
        <f t="shared" si="19"/>
        <v>0</v>
      </c>
      <c r="Z35" s="187">
        <f t="shared" si="20"/>
        <v>0</v>
      </c>
      <c r="AA35" s="185">
        <f t="shared" si="21"/>
        <v>0</v>
      </c>
      <c r="AB35" s="186">
        <f t="shared" si="22"/>
        <v>0</v>
      </c>
    </row>
    <row r="36" spans="1:28">
      <c r="A36" s="200">
        <v>28</v>
      </c>
      <c r="B36" s="84" t="s">
        <v>61</v>
      </c>
      <c r="C36" s="85" t="s">
        <v>25</v>
      </c>
      <c r="D36" s="171" t="s">
        <v>330</v>
      </c>
      <c r="E36" s="107">
        <v>172743024254.25</v>
      </c>
      <c r="F36" s="91">
        <f>(E36/$O$76)</f>
        <v>2.9266920977103247E-2</v>
      </c>
      <c r="G36" s="171" t="s">
        <v>330</v>
      </c>
      <c r="H36" s="98">
        <v>1</v>
      </c>
      <c r="I36" s="171" t="s">
        <v>330</v>
      </c>
      <c r="J36" s="98">
        <v>1</v>
      </c>
      <c r="K36" s="92">
        <v>40311</v>
      </c>
      <c r="L36" s="93">
        <v>0.15440000000000001</v>
      </c>
      <c r="M36" s="93">
        <v>0.15440000000000001</v>
      </c>
      <c r="N36" s="171" t="s">
        <v>330</v>
      </c>
      <c r="O36" s="107">
        <v>173540603325.53</v>
      </c>
      <c r="P36" s="91">
        <f t="shared" si="17"/>
        <v>2.9402050506952083E-2</v>
      </c>
      <c r="Q36" s="171" t="s">
        <v>330</v>
      </c>
      <c r="R36" s="98">
        <v>1</v>
      </c>
      <c r="S36" s="171" t="s">
        <v>330</v>
      </c>
      <c r="T36" s="98">
        <v>1</v>
      </c>
      <c r="U36" s="92">
        <v>40473</v>
      </c>
      <c r="V36" s="93">
        <v>0.1552</v>
      </c>
      <c r="W36" s="93">
        <v>0.1552</v>
      </c>
      <c r="X36" s="187">
        <f t="shared" si="18"/>
        <v>4.6171419929877484E-3</v>
      </c>
      <c r="Y36" s="187">
        <f t="shared" si="19"/>
        <v>0</v>
      </c>
      <c r="Z36" s="187">
        <f t="shared" si="20"/>
        <v>4.0187541862022769E-3</v>
      </c>
      <c r="AA36" s="185">
        <f t="shared" si="21"/>
        <v>7.9999999999999516E-4</v>
      </c>
      <c r="AB36" s="186">
        <f t="shared" si="22"/>
        <v>7.9999999999999516E-4</v>
      </c>
    </row>
    <row r="37" spans="1:28">
      <c r="A37" s="200">
        <v>29</v>
      </c>
      <c r="B37" s="84" t="s">
        <v>62</v>
      </c>
      <c r="C37" s="85" t="s">
        <v>27</v>
      </c>
      <c r="D37" s="171" t="s">
        <v>330</v>
      </c>
      <c r="E37" s="90">
        <v>28576467930.360001</v>
      </c>
      <c r="F37" s="91">
        <f t="shared" ref="F37" si="33">(E37/$E$26)</f>
        <v>0.10710024189886116</v>
      </c>
      <c r="G37" s="171" t="s">
        <v>330</v>
      </c>
      <c r="H37" s="90">
        <v>1</v>
      </c>
      <c r="I37" s="171" t="s">
        <v>330</v>
      </c>
      <c r="J37" s="90">
        <v>1</v>
      </c>
      <c r="K37" s="92">
        <v>1913</v>
      </c>
      <c r="L37" s="93">
        <v>0.1865</v>
      </c>
      <c r="M37" s="93">
        <v>0.1865</v>
      </c>
      <c r="N37" s="171" t="s">
        <v>330</v>
      </c>
      <c r="O37" s="90">
        <v>29825024687.360001</v>
      </c>
      <c r="P37" s="91">
        <f t="shared" ref="P37" si="34">(O37/$O$26)</f>
        <v>0.11420013627395137</v>
      </c>
      <c r="Q37" s="171" t="s">
        <v>330</v>
      </c>
      <c r="R37" s="90">
        <v>1</v>
      </c>
      <c r="S37" s="171" t="s">
        <v>330</v>
      </c>
      <c r="T37" s="90">
        <v>1</v>
      </c>
      <c r="U37" s="92">
        <v>1984</v>
      </c>
      <c r="V37" s="93">
        <v>0.1734</v>
      </c>
      <c r="W37" s="93">
        <v>0.1734</v>
      </c>
      <c r="X37" s="187">
        <f t="shared" si="18"/>
        <v>4.369178024529468E-2</v>
      </c>
      <c r="Y37" s="187">
        <f t="shared" si="19"/>
        <v>0</v>
      </c>
      <c r="Z37" s="187">
        <f t="shared" si="20"/>
        <v>3.7114479874542604E-2</v>
      </c>
      <c r="AA37" s="185">
        <f t="shared" si="21"/>
        <v>-1.3100000000000001E-2</v>
      </c>
      <c r="AB37" s="186">
        <f t="shared" si="22"/>
        <v>-1.3100000000000001E-2</v>
      </c>
    </row>
    <row r="38" spans="1:28" ht="15" customHeight="1">
      <c r="A38" s="200">
        <v>30</v>
      </c>
      <c r="B38" s="84" t="s">
        <v>63</v>
      </c>
      <c r="C38" s="85" t="s">
        <v>44</v>
      </c>
      <c r="D38" s="171" t="s">
        <v>330</v>
      </c>
      <c r="E38" s="107">
        <v>39645317401</v>
      </c>
      <c r="F38" s="91">
        <f>(E38/$O$76)</f>
        <v>6.7168927746655248E-3</v>
      </c>
      <c r="G38" s="171" t="s">
        <v>330</v>
      </c>
      <c r="H38" s="98">
        <v>100</v>
      </c>
      <c r="I38" s="171" t="s">
        <v>330</v>
      </c>
      <c r="J38" s="98">
        <v>100</v>
      </c>
      <c r="K38" s="92">
        <v>16075</v>
      </c>
      <c r="L38" s="93">
        <v>0.1764</v>
      </c>
      <c r="M38" s="93">
        <v>0.1764</v>
      </c>
      <c r="N38" s="171" t="s">
        <v>330</v>
      </c>
      <c r="O38" s="107">
        <v>40710400827</v>
      </c>
      <c r="P38" s="91">
        <f t="shared" ref="P38:P53" si="35">(O38/$O$76)</f>
        <v>6.8973441277510456E-3</v>
      </c>
      <c r="Q38" s="171" t="s">
        <v>330</v>
      </c>
      <c r="R38" s="98">
        <v>100</v>
      </c>
      <c r="S38" s="171" t="s">
        <v>330</v>
      </c>
      <c r="T38" s="98">
        <v>100</v>
      </c>
      <c r="U38" s="92">
        <v>10728</v>
      </c>
      <c r="V38" s="93">
        <v>0.17530000000000001</v>
      </c>
      <c r="W38" s="93">
        <v>0.17530000000000001</v>
      </c>
      <c r="X38" s="187">
        <f t="shared" si="18"/>
        <v>2.6865302028661137E-2</v>
      </c>
      <c r="Y38" s="187">
        <f t="shared" si="19"/>
        <v>0</v>
      </c>
      <c r="Z38" s="187">
        <f t="shared" si="20"/>
        <v>-0.33262830482115086</v>
      </c>
      <c r="AA38" s="185">
        <f t="shared" si="21"/>
        <v>-1.0999999999999899E-3</v>
      </c>
      <c r="AB38" s="186">
        <f t="shared" si="22"/>
        <v>-1.0999999999999899E-3</v>
      </c>
    </row>
    <row r="39" spans="1:28" ht="15" customHeight="1">
      <c r="A39" s="203">
        <v>31</v>
      </c>
      <c r="B39" s="84" t="s">
        <v>64</v>
      </c>
      <c r="C39" s="85" t="s">
        <v>65</v>
      </c>
      <c r="D39" s="171" t="s">
        <v>330</v>
      </c>
      <c r="E39" s="107">
        <v>3297454477.2600002</v>
      </c>
      <c r="F39" s="91">
        <f>(E39/$O$76)</f>
        <v>5.5866996672190871E-4</v>
      </c>
      <c r="G39" s="171" t="s">
        <v>330</v>
      </c>
      <c r="H39" s="98">
        <v>1</v>
      </c>
      <c r="I39" s="171" t="s">
        <v>330</v>
      </c>
      <c r="J39" s="98">
        <v>1</v>
      </c>
      <c r="K39" s="92">
        <v>766</v>
      </c>
      <c r="L39" s="93">
        <v>0.15329999999999999</v>
      </c>
      <c r="M39" s="93">
        <v>0.15329999999999999</v>
      </c>
      <c r="N39" s="171" t="s">
        <v>330</v>
      </c>
      <c r="O39" s="107">
        <v>3628844155.8200002</v>
      </c>
      <c r="P39" s="91">
        <f t="shared" si="35"/>
        <v>6.1481553657582164E-4</v>
      </c>
      <c r="Q39" s="171" t="s">
        <v>330</v>
      </c>
      <c r="R39" s="98">
        <v>1</v>
      </c>
      <c r="S39" s="171" t="s">
        <v>330</v>
      </c>
      <c r="T39" s="98">
        <v>1</v>
      </c>
      <c r="U39" s="92">
        <v>783</v>
      </c>
      <c r="V39" s="93">
        <v>0.15329999999999999</v>
      </c>
      <c r="W39" s="93">
        <v>0.15329999999999999</v>
      </c>
      <c r="X39" s="187">
        <f t="shared" si="18"/>
        <v>0.10049863640130255</v>
      </c>
      <c r="Y39" s="187">
        <f t="shared" si="19"/>
        <v>0</v>
      </c>
      <c r="Z39" s="187">
        <f t="shared" si="20"/>
        <v>2.2193211488250653E-2</v>
      </c>
      <c r="AA39" s="185">
        <f t="shared" si="21"/>
        <v>0</v>
      </c>
      <c r="AB39" s="186">
        <f t="shared" si="22"/>
        <v>0</v>
      </c>
    </row>
    <row r="40" spans="1:28">
      <c r="A40" s="200">
        <v>32</v>
      </c>
      <c r="B40" s="84" t="s">
        <v>66</v>
      </c>
      <c r="C40" s="85" t="s">
        <v>67</v>
      </c>
      <c r="D40" s="171" t="s">
        <v>330</v>
      </c>
      <c r="E40" s="107">
        <v>101999743588.58</v>
      </c>
      <c r="F40" s="91">
        <f>(E40/$O$76)</f>
        <v>1.7281267641221808E-2</v>
      </c>
      <c r="G40" s="171" t="s">
        <v>330</v>
      </c>
      <c r="H40" s="98">
        <v>100</v>
      </c>
      <c r="I40" s="171" t="s">
        <v>330</v>
      </c>
      <c r="J40" s="98">
        <v>100</v>
      </c>
      <c r="K40" s="92">
        <v>6276</v>
      </c>
      <c r="L40" s="93">
        <v>0.182844850057716</v>
      </c>
      <c r="M40" s="93">
        <v>0.182844850057716</v>
      </c>
      <c r="N40" s="171" t="s">
        <v>330</v>
      </c>
      <c r="O40" s="107">
        <v>102990828831.63</v>
      </c>
      <c r="P40" s="91">
        <f t="shared" si="35"/>
        <v>1.744918188039378E-2</v>
      </c>
      <c r="Q40" s="171" t="s">
        <v>330</v>
      </c>
      <c r="R40" s="98">
        <v>100</v>
      </c>
      <c r="S40" s="171" t="s">
        <v>330</v>
      </c>
      <c r="T40" s="98">
        <v>100</v>
      </c>
      <c r="U40" s="92">
        <v>6296</v>
      </c>
      <c r="V40" s="93">
        <v>0.17810000000000001</v>
      </c>
      <c r="W40" s="93">
        <v>0.17810000000000001</v>
      </c>
      <c r="X40" s="187">
        <f t="shared" si="18"/>
        <v>9.7165464165045803E-3</v>
      </c>
      <c r="Y40" s="187">
        <f t="shared" si="19"/>
        <v>0</v>
      </c>
      <c r="Z40" s="187">
        <f t="shared" si="20"/>
        <v>3.1867431485022306E-3</v>
      </c>
      <c r="AA40" s="185">
        <f t="shared" si="21"/>
        <v>-4.7448500577159936E-3</v>
      </c>
      <c r="AB40" s="186">
        <f t="shared" si="22"/>
        <v>-4.7448500577159936E-3</v>
      </c>
    </row>
    <row r="41" spans="1:28">
      <c r="A41" s="200">
        <v>33</v>
      </c>
      <c r="B41" s="84" t="s">
        <v>68</v>
      </c>
      <c r="C41" s="85" t="s">
        <v>69</v>
      </c>
      <c r="D41" s="171" t="s">
        <v>330</v>
      </c>
      <c r="E41" s="107">
        <v>43670298302.040001</v>
      </c>
      <c r="F41" s="91">
        <f>(E41/$O$76)</f>
        <v>7.3988236281609839E-3</v>
      </c>
      <c r="G41" s="171" t="s">
        <v>330</v>
      </c>
      <c r="H41" s="98">
        <v>100</v>
      </c>
      <c r="I41" s="171" t="s">
        <v>330</v>
      </c>
      <c r="J41" s="98">
        <v>100</v>
      </c>
      <c r="K41" s="92">
        <v>5953</v>
      </c>
      <c r="L41" s="93">
        <v>0.15959999999999999</v>
      </c>
      <c r="M41" s="93">
        <v>0.15959999999999999</v>
      </c>
      <c r="N41" s="171" t="s">
        <v>330</v>
      </c>
      <c r="O41" s="107">
        <v>45696974162.459999</v>
      </c>
      <c r="P41" s="91">
        <f t="shared" si="35"/>
        <v>7.7421924125688178E-3</v>
      </c>
      <c r="Q41" s="171" t="s">
        <v>330</v>
      </c>
      <c r="R41" s="98">
        <v>100</v>
      </c>
      <c r="S41" s="171" t="s">
        <v>330</v>
      </c>
      <c r="T41" s="98">
        <v>100</v>
      </c>
      <c r="U41" s="92">
        <v>5964</v>
      </c>
      <c r="V41" s="93">
        <v>0.161</v>
      </c>
      <c r="W41" s="93">
        <v>0.161</v>
      </c>
      <c r="X41" s="187">
        <f t="shared" si="18"/>
        <v>4.6408564613018101E-2</v>
      </c>
      <c r="Y41" s="187">
        <f t="shared" si="19"/>
        <v>0</v>
      </c>
      <c r="Z41" s="187">
        <f t="shared" si="20"/>
        <v>1.8478078279858894E-3</v>
      </c>
      <c r="AA41" s="185">
        <f t="shared" si="21"/>
        <v>1.4000000000000123E-3</v>
      </c>
      <c r="AB41" s="186">
        <f t="shared" si="22"/>
        <v>1.4000000000000123E-3</v>
      </c>
    </row>
    <row r="42" spans="1:28">
      <c r="A42" s="200">
        <v>34</v>
      </c>
      <c r="B42" s="84" t="s">
        <v>70</v>
      </c>
      <c r="C42" s="85" t="s">
        <v>71</v>
      </c>
      <c r="D42" s="171" t="s">
        <v>330</v>
      </c>
      <c r="E42" s="107">
        <v>74456640684.559998</v>
      </c>
      <c r="F42" s="91">
        <f>(E42/$O$76)</f>
        <v>1.2614787940312301E-2</v>
      </c>
      <c r="G42" s="171" t="s">
        <v>330</v>
      </c>
      <c r="H42" s="98">
        <v>1</v>
      </c>
      <c r="I42" s="171" t="s">
        <v>330</v>
      </c>
      <c r="J42" s="98">
        <v>1</v>
      </c>
      <c r="K42" s="92">
        <v>17869</v>
      </c>
      <c r="L42" s="93">
        <v>0.20150199999999999</v>
      </c>
      <c r="M42" s="93">
        <v>0.20150199999999999</v>
      </c>
      <c r="N42" s="171" t="s">
        <v>330</v>
      </c>
      <c r="O42" s="107">
        <v>75334941940.820007</v>
      </c>
      <c r="P42" s="91">
        <f t="shared" si="35"/>
        <v>1.2763593795553195E-2</v>
      </c>
      <c r="Q42" s="171" t="s">
        <v>330</v>
      </c>
      <c r="R42" s="98">
        <v>1</v>
      </c>
      <c r="S42" s="171" t="s">
        <v>330</v>
      </c>
      <c r="T42" s="98">
        <v>1</v>
      </c>
      <c r="U42" s="92">
        <v>18227</v>
      </c>
      <c r="V42" s="93">
        <v>0.20300000000000001</v>
      </c>
      <c r="W42" s="93">
        <v>0.20300000000000001</v>
      </c>
      <c r="X42" s="187">
        <f t="shared" si="18"/>
        <v>1.1796144013278621E-2</v>
      </c>
      <c r="Y42" s="187">
        <f t="shared" si="19"/>
        <v>0</v>
      </c>
      <c r="Z42" s="187">
        <f t="shared" si="20"/>
        <v>2.0034696961217752E-2</v>
      </c>
      <c r="AA42" s="185">
        <f t="shared" si="21"/>
        <v>1.4980000000000271E-3</v>
      </c>
      <c r="AB42" s="186">
        <f t="shared" si="22"/>
        <v>1.4980000000000271E-3</v>
      </c>
    </row>
    <row r="43" spans="1:28">
      <c r="A43" s="200">
        <v>35</v>
      </c>
      <c r="B43" s="84" t="s">
        <v>72</v>
      </c>
      <c r="C43" s="85" t="s">
        <v>73</v>
      </c>
      <c r="D43" s="171" t="s">
        <v>330</v>
      </c>
      <c r="E43" s="107">
        <v>1672977884.46</v>
      </c>
      <c r="F43" s="91">
        <v>0</v>
      </c>
      <c r="G43" s="171" t="s">
        <v>330</v>
      </c>
      <c r="H43" s="98">
        <v>1000</v>
      </c>
      <c r="I43" s="171" t="s">
        <v>330</v>
      </c>
      <c r="J43" s="98">
        <v>1000</v>
      </c>
      <c r="K43" s="92">
        <v>141</v>
      </c>
      <c r="L43" s="93">
        <v>0.20119999999999999</v>
      </c>
      <c r="M43" s="93">
        <v>0.20119999999999999</v>
      </c>
      <c r="N43" s="171" t="s">
        <v>330</v>
      </c>
      <c r="O43" s="107">
        <v>1765515926.8399999</v>
      </c>
      <c r="P43" s="91">
        <f t="shared" si="35"/>
        <v>2.9912186230218908E-4</v>
      </c>
      <c r="Q43" s="171" t="s">
        <v>330</v>
      </c>
      <c r="R43" s="98">
        <v>1000</v>
      </c>
      <c r="S43" s="171" t="s">
        <v>330</v>
      </c>
      <c r="T43" s="98">
        <v>1000</v>
      </c>
      <c r="U43" s="92">
        <v>144</v>
      </c>
      <c r="V43" s="93">
        <v>0.19900000000000001</v>
      </c>
      <c r="W43" s="93">
        <v>0.19900000000000001</v>
      </c>
      <c r="X43" s="187">
        <f t="shared" si="18"/>
        <v>5.5313368598335709E-2</v>
      </c>
      <c r="Y43" s="187">
        <f t="shared" si="19"/>
        <v>0</v>
      </c>
      <c r="Z43" s="187">
        <f t="shared" si="20"/>
        <v>2.1276595744680851E-2</v>
      </c>
      <c r="AA43" s="185">
        <f t="shared" si="21"/>
        <v>-2.1999999999999797E-3</v>
      </c>
      <c r="AB43" s="186">
        <f t="shared" si="22"/>
        <v>-2.1999999999999797E-3</v>
      </c>
    </row>
    <row r="44" spans="1:28">
      <c r="A44" s="200">
        <v>36</v>
      </c>
      <c r="B44" s="84" t="s">
        <v>74</v>
      </c>
      <c r="C44" s="85" t="s">
        <v>75</v>
      </c>
      <c r="D44" s="171" t="s">
        <v>330</v>
      </c>
      <c r="E44" s="107">
        <v>89924481377.309998</v>
      </c>
      <c r="F44" s="91">
        <f t="shared" ref="F44:F53" si="36">(E44/$O$76)</f>
        <v>1.5235420948189018E-2</v>
      </c>
      <c r="G44" s="171" t="s">
        <v>330</v>
      </c>
      <c r="H44" s="108">
        <v>100</v>
      </c>
      <c r="I44" s="171" t="s">
        <v>330</v>
      </c>
      <c r="J44" s="108">
        <v>100</v>
      </c>
      <c r="K44" s="92">
        <v>4953</v>
      </c>
      <c r="L44" s="93">
        <v>0.15129999999999999</v>
      </c>
      <c r="M44" s="93">
        <v>0.15129999999999999</v>
      </c>
      <c r="N44" s="171" t="s">
        <v>330</v>
      </c>
      <c r="O44" s="107">
        <v>90204263101.410004</v>
      </c>
      <c r="P44" s="91">
        <f t="shared" si="35"/>
        <v>1.5282822860048688E-2</v>
      </c>
      <c r="Q44" s="171" t="s">
        <v>330</v>
      </c>
      <c r="R44" s="108">
        <v>100</v>
      </c>
      <c r="S44" s="171" t="s">
        <v>330</v>
      </c>
      <c r="T44" s="108">
        <v>100</v>
      </c>
      <c r="U44" s="92">
        <v>4953</v>
      </c>
      <c r="V44" s="93">
        <v>0.153</v>
      </c>
      <c r="W44" s="93">
        <v>0.153</v>
      </c>
      <c r="X44" s="187">
        <f t="shared" si="18"/>
        <v>3.1112964991822731E-3</v>
      </c>
      <c r="Y44" s="187">
        <f t="shared" si="19"/>
        <v>0</v>
      </c>
      <c r="Z44" s="187">
        <f t="shared" si="20"/>
        <v>0</v>
      </c>
      <c r="AA44" s="185">
        <f t="shared" si="21"/>
        <v>1.7000000000000071E-3</v>
      </c>
      <c r="AB44" s="186">
        <f t="shared" si="22"/>
        <v>1.7000000000000071E-3</v>
      </c>
    </row>
    <row r="45" spans="1:28">
      <c r="A45" s="200">
        <v>37</v>
      </c>
      <c r="B45" s="84" t="s">
        <v>76</v>
      </c>
      <c r="C45" s="85" t="s">
        <v>75</v>
      </c>
      <c r="D45" s="171" t="s">
        <v>330</v>
      </c>
      <c r="E45" s="107">
        <v>10361546258.709999</v>
      </c>
      <c r="F45" s="91">
        <f t="shared" si="36"/>
        <v>1.7555010216095859E-3</v>
      </c>
      <c r="G45" s="171" t="s">
        <v>330</v>
      </c>
      <c r="H45" s="108">
        <v>1000000</v>
      </c>
      <c r="I45" s="171" t="s">
        <v>330</v>
      </c>
      <c r="J45" s="108">
        <v>1000000</v>
      </c>
      <c r="K45" s="92">
        <v>50</v>
      </c>
      <c r="L45" s="93">
        <v>0.15459999999999999</v>
      </c>
      <c r="M45" s="93">
        <v>0.15459999999999999</v>
      </c>
      <c r="N45" s="171" t="s">
        <v>330</v>
      </c>
      <c r="O45" s="107">
        <v>10397726978.66</v>
      </c>
      <c r="P45" s="91">
        <f t="shared" si="35"/>
        <v>1.7616309262829743E-3</v>
      </c>
      <c r="Q45" s="171" t="s">
        <v>330</v>
      </c>
      <c r="R45" s="108">
        <v>1000000</v>
      </c>
      <c r="S45" s="171" t="s">
        <v>330</v>
      </c>
      <c r="T45" s="108">
        <v>1000000</v>
      </c>
      <c r="U45" s="92">
        <v>50</v>
      </c>
      <c r="V45" s="93">
        <v>0.1547</v>
      </c>
      <c r="W45" s="93">
        <v>0.1547</v>
      </c>
      <c r="X45" s="187">
        <f t="shared" si="18"/>
        <v>3.491826320766262E-3</v>
      </c>
      <c r="Y45" s="187">
        <f t="shared" si="19"/>
        <v>0</v>
      </c>
      <c r="Z45" s="187">
        <f t="shared" si="20"/>
        <v>0</v>
      </c>
      <c r="AA45" s="185">
        <f t="shared" si="21"/>
        <v>1.0000000000001674E-4</v>
      </c>
      <c r="AB45" s="186">
        <f t="shared" si="22"/>
        <v>1.0000000000001674E-4</v>
      </c>
    </row>
    <row r="46" spans="1:28">
      <c r="A46" s="200">
        <v>38</v>
      </c>
      <c r="B46" s="84" t="s">
        <v>77</v>
      </c>
      <c r="C46" s="85" t="s">
        <v>78</v>
      </c>
      <c r="D46" s="171" t="s">
        <v>330</v>
      </c>
      <c r="E46" s="107">
        <v>8337182186.1599998</v>
      </c>
      <c r="F46" s="91">
        <f t="shared" si="36"/>
        <v>1.4125239109796029E-3</v>
      </c>
      <c r="G46" s="171" t="s">
        <v>330</v>
      </c>
      <c r="H46" s="98">
        <v>1</v>
      </c>
      <c r="I46" s="171" t="s">
        <v>330</v>
      </c>
      <c r="J46" s="98">
        <v>1</v>
      </c>
      <c r="K46" s="92">
        <v>1265</v>
      </c>
      <c r="L46" s="93">
        <v>0.17199999999999999</v>
      </c>
      <c r="M46" s="93">
        <v>0.17199999999999999</v>
      </c>
      <c r="N46" s="171" t="s">
        <v>330</v>
      </c>
      <c r="O46" s="107">
        <v>8431606629</v>
      </c>
      <c r="P46" s="91">
        <f t="shared" si="35"/>
        <v>1.4285217361817242E-3</v>
      </c>
      <c r="Q46" s="171" t="s">
        <v>330</v>
      </c>
      <c r="R46" s="98">
        <v>1</v>
      </c>
      <c r="S46" s="171" t="s">
        <v>330</v>
      </c>
      <c r="T46" s="98">
        <v>1</v>
      </c>
      <c r="U46" s="92">
        <v>1262</v>
      </c>
      <c r="V46" s="93">
        <v>0.16689999999999999</v>
      </c>
      <c r="W46" s="93">
        <v>0.16689999999999999</v>
      </c>
      <c r="X46" s="187">
        <f t="shared" si="18"/>
        <v>1.1325702225477076E-2</v>
      </c>
      <c r="Y46" s="187">
        <f t="shared" si="19"/>
        <v>0</v>
      </c>
      <c r="Z46" s="187">
        <f t="shared" si="20"/>
        <v>-2.3715415019762848E-3</v>
      </c>
      <c r="AA46" s="185">
        <f t="shared" si="21"/>
        <v>-5.0999999999999934E-3</v>
      </c>
      <c r="AB46" s="186">
        <f t="shared" si="22"/>
        <v>-5.0999999999999934E-3</v>
      </c>
    </row>
    <row r="47" spans="1:28">
      <c r="A47" s="200">
        <v>48</v>
      </c>
      <c r="B47" s="84" t="s">
        <v>318</v>
      </c>
      <c r="C47" s="85" t="s">
        <v>38</v>
      </c>
      <c r="D47" s="171" t="s">
        <v>330</v>
      </c>
      <c r="E47" s="107">
        <v>68202294121.07</v>
      </c>
      <c r="F47" s="91">
        <f t="shared" si="36"/>
        <v>1.1555147660032933E-2</v>
      </c>
      <c r="G47" s="171" t="s">
        <v>330</v>
      </c>
      <c r="H47" s="98">
        <v>1</v>
      </c>
      <c r="I47" s="171" t="s">
        <v>330</v>
      </c>
      <c r="J47" s="98">
        <v>1</v>
      </c>
      <c r="K47" s="92">
        <v>3858</v>
      </c>
      <c r="L47" s="93">
        <v>0.15970000000000001</v>
      </c>
      <c r="M47" s="93">
        <v>0.15970000000000001</v>
      </c>
      <c r="N47" s="171" t="s">
        <v>330</v>
      </c>
      <c r="O47" s="107">
        <v>66103540320.870003</v>
      </c>
      <c r="P47" s="91">
        <f t="shared" si="35"/>
        <v>1.1199567098177989E-2</v>
      </c>
      <c r="Q47" s="171" t="s">
        <v>330</v>
      </c>
      <c r="R47" s="98">
        <v>1</v>
      </c>
      <c r="S47" s="171" t="s">
        <v>330</v>
      </c>
      <c r="T47" s="98">
        <v>1</v>
      </c>
      <c r="U47" s="92">
        <v>3895</v>
      </c>
      <c r="V47" s="93">
        <v>0.15920000000000001</v>
      </c>
      <c r="W47" s="93">
        <v>0.15920000000000001</v>
      </c>
      <c r="X47" s="187">
        <f>((O47-E47)/E47)</f>
        <v>-3.0772481002975832E-2</v>
      </c>
      <c r="Y47" s="187">
        <f>((T47-J47)/J47)</f>
        <v>0</v>
      </c>
      <c r="Z47" s="187">
        <f>((U47-K47)/K47)</f>
        <v>9.5904613789528255E-3</v>
      </c>
      <c r="AA47" s="185">
        <f>V47-L47</f>
        <v>-5.0000000000000044E-4</v>
      </c>
      <c r="AB47" s="186">
        <f>W47-M47</f>
        <v>-5.0000000000000044E-4</v>
      </c>
    </row>
    <row r="48" spans="1:28">
      <c r="A48" s="200">
        <v>39</v>
      </c>
      <c r="B48" s="84" t="s">
        <v>322</v>
      </c>
      <c r="C48" s="85" t="s">
        <v>79</v>
      </c>
      <c r="D48" s="171" t="s">
        <v>330</v>
      </c>
      <c r="E48" s="107">
        <v>730726718064.80005</v>
      </c>
      <c r="F48" s="91">
        <f t="shared" si="36"/>
        <v>0.12380309541173466</v>
      </c>
      <c r="G48" s="171" t="s">
        <v>330</v>
      </c>
      <c r="H48" s="98">
        <v>100</v>
      </c>
      <c r="I48" s="171" t="s">
        <v>330</v>
      </c>
      <c r="J48" s="98">
        <v>100</v>
      </c>
      <c r="K48" s="92">
        <v>41886</v>
      </c>
      <c r="L48" s="93">
        <v>0.15770000000000001</v>
      </c>
      <c r="M48" s="93">
        <v>0.15770000000000001</v>
      </c>
      <c r="N48" s="171" t="s">
        <v>330</v>
      </c>
      <c r="O48" s="107">
        <v>732505509838.31995</v>
      </c>
      <c r="P48" s="91">
        <f t="shared" si="35"/>
        <v>0.12410446652929541</v>
      </c>
      <c r="Q48" s="171" t="s">
        <v>330</v>
      </c>
      <c r="R48" s="98">
        <v>100</v>
      </c>
      <c r="S48" s="171" t="s">
        <v>330</v>
      </c>
      <c r="T48" s="98">
        <v>100</v>
      </c>
      <c r="U48" s="92">
        <v>42086</v>
      </c>
      <c r="V48" s="93">
        <v>0.1595</v>
      </c>
      <c r="W48" s="93">
        <v>0.1595</v>
      </c>
      <c r="X48" s="187">
        <f t="shared" si="18"/>
        <v>2.4342777259201793E-3</v>
      </c>
      <c r="Y48" s="187">
        <f t="shared" si="19"/>
        <v>0</v>
      </c>
      <c r="Z48" s="187">
        <f t="shared" si="20"/>
        <v>4.7748651100606408E-3</v>
      </c>
      <c r="AA48" s="185">
        <f t="shared" si="21"/>
        <v>1.799999999999996E-3</v>
      </c>
      <c r="AB48" s="186">
        <f t="shared" si="22"/>
        <v>1.799999999999996E-3</v>
      </c>
    </row>
    <row r="49" spans="1:28">
      <c r="A49" s="200">
        <v>40</v>
      </c>
      <c r="B49" s="84" t="s">
        <v>80</v>
      </c>
      <c r="C49" s="85" t="s">
        <v>81</v>
      </c>
      <c r="D49" s="171" t="s">
        <v>330</v>
      </c>
      <c r="E49" s="109">
        <v>7424318149.4799995</v>
      </c>
      <c r="F49" s="91">
        <f t="shared" si="36"/>
        <v>1.2578622698528948E-3</v>
      </c>
      <c r="G49" s="171" t="s">
        <v>330</v>
      </c>
      <c r="H49" s="98">
        <v>1</v>
      </c>
      <c r="I49" s="171" t="s">
        <v>330</v>
      </c>
      <c r="J49" s="98">
        <v>1</v>
      </c>
      <c r="K49" s="110">
        <v>2411</v>
      </c>
      <c r="L49" s="111">
        <v>0.18190000000000001</v>
      </c>
      <c r="M49" s="111">
        <v>0.18190000000000001</v>
      </c>
      <c r="N49" s="171" t="s">
        <v>330</v>
      </c>
      <c r="O49" s="109">
        <v>7600643218.1999998</v>
      </c>
      <c r="P49" s="91">
        <f t="shared" si="35"/>
        <v>1.2877360773469394E-3</v>
      </c>
      <c r="Q49" s="171" t="s">
        <v>330</v>
      </c>
      <c r="R49" s="98">
        <v>1</v>
      </c>
      <c r="S49" s="171" t="s">
        <v>330</v>
      </c>
      <c r="T49" s="98">
        <v>1</v>
      </c>
      <c r="U49" s="110">
        <v>2431</v>
      </c>
      <c r="V49" s="111">
        <v>0.18290000000000001</v>
      </c>
      <c r="W49" s="111">
        <v>0.18290000000000001</v>
      </c>
      <c r="X49" s="187">
        <f t="shared" si="18"/>
        <v>2.3749664975274545E-2</v>
      </c>
      <c r="Y49" s="187">
        <f t="shared" si="19"/>
        <v>0</v>
      </c>
      <c r="Z49" s="187">
        <f t="shared" si="20"/>
        <v>8.2953131480713403E-3</v>
      </c>
      <c r="AA49" s="185">
        <f t="shared" si="21"/>
        <v>1.0000000000000009E-3</v>
      </c>
      <c r="AB49" s="186">
        <f t="shared" si="22"/>
        <v>1.0000000000000009E-3</v>
      </c>
    </row>
    <row r="50" spans="1:28">
      <c r="A50" s="200">
        <v>41</v>
      </c>
      <c r="B50" s="84" t="s">
        <v>82</v>
      </c>
      <c r="C50" s="85" t="s">
        <v>83</v>
      </c>
      <c r="D50" s="171" t="s">
        <v>330</v>
      </c>
      <c r="E50" s="107">
        <v>5553845761.9300003</v>
      </c>
      <c r="F50" s="91">
        <f t="shared" si="36"/>
        <v>9.4095819923927274E-4</v>
      </c>
      <c r="G50" s="171" t="s">
        <v>330</v>
      </c>
      <c r="H50" s="98">
        <v>1</v>
      </c>
      <c r="I50" s="171" t="s">
        <v>330</v>
      </c>
      <c r="J50" s="98">
        <v>1</v>
      </c>
      <c r="K50" s="110">
        <v>882</v>
      </c>
      <c r="L50" s="111">
        <v>0.1487</v>
      </c>
      <c r="M50" s="111">
        <v>0.1487</v>
      </c>
      <c r="N50" s="171" t="s">
        <v>330</v>
      </c>
      <c r="O50" s="107">
        <v>5435925239.4499998</v>
      </c>
      <c r="P50" s="91">
        <f t="shared" si="35"/>
        <v>9.2097955970867529E-4</v>
      </c>
      <c r="Q50" s="171" t="s">
        <v>330</v>
      </c>
      <c r="R50" s="98">
        <v>1</v>
      </c>
      <c r="S50" s="171" t="s">
        <v>330</v>
      </c>
      <c r="T50" s="98">
        <v>1</v>
      </c>
      <c r="U50" s="110">
        <v>907</v>
      </c>
      <c r="V50" s="111">
        <v>0.16</v>
      </c>
      <c r="W50" s="111">
        <v>0.16</v>
      </c>
      <c r="X50" s="187">
        <f t="shared" si="18"/>
        <v>-2.1232228537621883E-2</v>
      </c>
      <c r="Y50" s="187">
        <f t="shared" si="19"/>
        <v>0</v>
      </c>
      <c r="Z50" s="187">
        <f t="shared" si="20"/>
        <v>2.834467120181406E-2</v>
      </c>
      <c r="AA50" s="185">
        <f t="shared" si="21"/>
        <v>1.1300000000000004E-2</v>
      </c>
      <c r="AB50" s="186">
        <f t="shared" si="22"/>
        <v>1.1300000000000004E-2</v>
      </c>
    </row>
    <row r="51" spans="1:28">
      <c r="A51" s="200">
        <v>42</v>
      </c>
      <c r="B51" s="84" t="s">
        <v>84</v>
      </c>
      <c r="C51" s="85" t="s">
        <v>85</v>
      </c>
      <c r="D51" s="171" t="s">
        <v>330</v>
      </c>
      <c r="E51" s="107">
        <v>62285068.490000002</v>
      </c>
      <c r="F51" s="91">
        <f t="shared" si="36"/>
        <v>1.0552623965106046E-5</v>
      </c>
      <c r="G51" s="171" t="s">
        <v>330</v>
      </c>
      <c r="H51" s="98">
        <v>1</v>
      </c>
      <c r="I51" s="171" t="s">
        <v>330</v>
      </c>
      <c r="J51" s="98">
        <v>1</v>
      </c>
      <c r="K51" s="110">
        <v>29</v>
      </c>
      <c r="L51" s="111">
        <v>0.105</v>
      </c>
      <c r="M51" s="111">
        <v>0.105</v>
      </c>
      <c r="N51" s="171" t="s">
        <v>330</v>
      </c>
      <c r="O51" s="107">
        <v>62221341.810000002</v>
      </c>
      <c r="P51" s="91">
        <f t="shared" si="35"/>
        <v>1.0541827096660881E-5</v>
      </c>
      <c r="Q51" s="171" t="s">
        <v>330</v>
      </c>
      <c r="R51" s="98">
        <v>1</v>
      </c>
      <c r="S51" s="171" t="s">
        <v>330</v>
      </c>
      <c r="T51" s="98">
        <v>1</v>
      </c>
      <c r="U51" s="110">
        <v>29</v>
      </c>
      <c r="V51" s="111">
        <v>0.105</v>
      </c>
      <c r="W51" s="111">
        <v>0.105</v>
      </c>
      <c r="X51" s="187">
        <f t="shared" si="18"/>
        <v>-1.0231453788997784E-3</v>
      </c>
      <c r="Y51" s="187">
        <f t="shared" si="19"/>
        <v>0</v>
      </c>
      <c r="Z51" s="187">
        <f t="shared" si="20"/>
        <v>0</v>
      </c>
      <c r="AA51" s="185">
        <f t="shared" si="21"/>
        <v>0</v>
      </c>
      <c r="AB51" s="186">
        <f t="shared" si="22"/>
        <v>0</v>
      </c>
    </row>
    <row r="52" spans="1:28">
      <c r="A52" s="200">
        <v>43</v>
      </c>
      <c r="B52" s="84" t="s">
        <v>86</v>
      </c>
      <c r="C52" s="85" t="s">
        <v>87</v>
      </c>
      <c r="D52" s="171" t="s">
        <v>330</v>
      </c>
      <c r="E52" s="107">
        <v>2104698049.6400001</v>
      </c>
      <c r="F52" s="91">
        <f t="shared" si="36"/>
        <v>3.5658766404838898E-4</v>
      </c>
      <c r="G52" s="171" t="s">
        <v>330</v>
      </c>
      <c r="H52" s="98">
        <v>10</v>
      </c>
      <c r="I52" s="171" t="s">
        <v>330</v>
      </c>
      <c r="J52" s="98">
        <v>10</v>
      </c>
      <c r="K52" s="92">
        <v>566</v>
      </c>
      <c r="L52" s="93">
        <v>0.16550000000000001</v>
      </c>
      <c r="M52" s="93">
        <v>0.16550000000000001</v>
      </c>
      <c r="N52" s="171" t="s">
        <v>330</v>
      </c>
      <c r="O52" s="107">
        <v>2143100016.6600001</v>
      </c>
      <c r="P52" s="91">
        <f t="shared" si="35"/>
        <v>3.6309390265913287E-4</v>
      </c>
      <c r="Q52" s="171" t="s">
        <v>330</v>
      </c>
      <c r="R52" s="98">
        <v>10</v>
      </c>
      <c r="S52" s="171" t="s">
        <v>330</v>
      </c>
      <c r="T52" s="98">
        <v>10</v>
      </c>
      <c r="U52" s="92">
        <v>567</v>
      </c>
      <c r="V52" s="93">
        <v>0.1648</v>
      </c>
      <c r="W52" s="93">
        <v>0.1648</v>
      </c>
      <c r="X52" s="187">
        <f t="shared" si="18"/>
        <v>1.8245831997881348E-2</v>
      </c>
      <c r="Y52" s="187">
        <f t="shared" si="19"/>
        <v>0</v>
      </c>
      <c r="Z52" s="187">
        <f t="shared" si="20"/>
        <v>1.7667844522968198E-3</v>
      </c>
      <c r="AA52" s="185">
        <f t="shared" si="21"/>
        <v>-7.0000000000000617E-4</v>
      </c>
      <c r="AB52" s="186">
        <f t="shared" si="22"/>
        <v>-7.0000000000000617E-4</v>
      </c>
    </row>
    <row r="53" spans="1:28">
      <c r="A53" s="200">
        <v>44</v>
      </c>
      <c r="B53" s="84" t="s">
        <v>88</v>
      </c>
      <c r="C53" s="85" t="s">
        <v>89</v>
      </c>
      <c r="D53" s="171" t="s">
        <v>330</v>
      </c>
      <c r="E53" s="107">
        <v>13464673224.07</v>
      </c>
      <c r="F53" s="91">
        <f t="shared" si="36"/>
        <v>2.2812471237702056E-3</v>
      </c>
      <c r="G53" s="171" t="s">
        <v>330</v>
      </c>
      <c r="H53" s="98">
        <v>100</v>
      </c>
      <c r="I53" s="171" t="s">
        <v>330</v>
      </c>
      <c r="J53" s="98">
        <v>100</v>
      </c>
      <c r="K53" s="92">
        <v>1093</v>
      </c>
      <c r="L53" s="93">
        <v>0.1867</v>
      </c>
      <c r="M53" s="93">
        <v>0.1867</v>
      </c>
      <c r="N53" s="171" t="s">
        <v>330</v>
      </c>
      <c r="O53" s="107">
        <v>13312074615.43</v>
      </c>
      <c r="P53" s="91">
        <f t="shared" si="35"/>
        <v>2.2553931627227863E-3</v>
      </c>
      <c r="Q53" s="171" t="s">
        <v>330</v>
      </c>
      <c r="R53" s="98">
        <v>100</v>
      </c>
      <c r="S53" s="171" t="s">
        <v>330</v>
      </c>
      <c r="T53" s="98">
        <v>100</v>
      </c>
      <c r="U53" s="92">
        <v>1099</v>
      </c>
      <c r="V53" s="93">
        <v>0.1842</v>
      </c>
      <c r="W53" s="93">
        <v>0.1842</v>
      </c>
      <c r="X53" s="187">
        <f t="shared" si="18"/>
        <v>-1.1333257487987743E-2</v>
      </c>
      <c r="Y53" s="187">
        <f t="shared" si="19"/>
        <v>0</v>
      </c>
      <c r="Z53" s="187">
        <f t="shared" si="20"/>
        <v>5.4894784995425435E-3</v>
      </c>
      <c r="AA53" s="185">
        <f t="shared" si="21"/>
        <v>-2.5000000000000022E-3</v>
      </c>
      <c r="AB53" s="186">
        <f t="shared" si="22"/>
        <v>-2.5000000000000022E-3</v>
      </c>
    </row>
    <row r="54" spans="1:28">
      <c r="A54" s="200">
        <v>45</v>
      </c>
      <c r="B54" s="84" t="s">
        <v>90</v>
      </c>
      <c r="C54" s="84" t="s">
        <v>91</v>
      </c>
      <c r="D54" s="171" t="s">
        <v>330</v>
      </c>
      <c r="E54" s="112">
        <v>140751298.33000001</v>
      </c>
      <c r="F54" s="91">
        <v>0</v>
      </c>
      <c r="G54" s="171" t="s">
        <v>330</v>
      </c>
      <c r="H54" s="90">
        <v>1</v>
      </c>
      <c r="I54" s="171" t="s">
        <v>330</v>
      </c>
      <c r="J54" s="90">
        <v>1</v>
      </c>
      <c r="K54" s="92">
        <v>173</v>
      </c>
      <c r="L54" s="93">
        <v>0.1701</v>
      </c>
      <c r="M54" s="93">
        <v>0.1701</v>
      </c>
      <c r="N54" s="171" t="s">
        <v>330</v>
      </c>
      <c r="O54" s="112">
        <v>147920716.59</v>
      </c>
      <c r="P54" s="113">
        <f>(O54/$O$203)</f>
        <v>9.3742569273776145E-4</v>
      </c>
      <c r="Q54" s="171" t="s">
        <v>330</v>
      </c>
      <c r="R54" s="90">
        <v>1</v>
      </c>
      <c r="S54" s="171" t="s">
        <v>330</v>
      </c>
      <c r="T54" s="90">
        <v>1</v>
      </c>
      <c r="U54" s="92">
        <v>173</v>
      </c>
      <c r="V54" s="93">
        <v>0.16600000000000001</v>
      </c>
      <c r="W54" s="93">
        <v>0.16600000000000001</v>
      </c>
      <c r="X54" s="185">
        <f t="shared" si="18"/>
        <v>5.0936782431596841E-2</v>
      </c>
      <c r="Y54" s="185">
        <f t="shared" si="19"/>
        <v>0</v>
      </c>
      <c r="Z54" s="185">
        <f t="shared" si="20"/>
        <v>0</v>
      </c>
      <c r="AA54" s="185">
        <f t="shared" si="21"/>
        <v>-4.0999999999999925E-3</v>
      </c>
      <c r="AB54" s="186">
        <f t="shared" si="22"/>
        <v>-4.0999999999999925E-3</v>
      </c>
    </row>
    <row r="55" spans="1:28">
      <c r="A55" s="200">
        <v>46</v>
      </c>
      <c r="B55" s="84" t="s">
        <v>92</v>
      </c>
      <c r="C55" s="85" t="s">
        <v>35</v>
      </c>
      <c r="D55" s="171" t="s">
        <v>330</v>
      </c>
      <c r="E55" s="107">
        <v>3195902165.1100001</v>
      </c>
      <c r="F55" s="91">
        <f t="shared" ref="F55:F75" si="37">(E55/$O$76)</f>
        <v>5.4146450498145841E-4</v>
      </c>
      <c r="G55" s="171" t="s">
        <v>330</v>
      </c>
      <c r="H55" s="98">
        <v>100</v>
      </c>
      <c r="I55" s="171" t="s">
        <v>330</v>
      </c>
      <c r="J55" s="98">
        <v>100</v>
      </c>
      <c r="K55" s="92">
        <v>13929</v>
      </c>
      <c r="L55" s="93">
        <v>0.15279999999999999</v>
      </c>
      <c r="M55" s="93">
        <v>0.15279999999999999</v>
      </c>
      <c r="N55" s="171" t="s">
        <v>330</v>
      </c>
      <c r="O55" s="107">
        <v>3195902165.1100001</v>
      </c>
      <c r="P55" s="91">
        <f t="shared" ref="P55:P68" si="38">(O55/$O$76)</f>
        <v>5.4146450498145841E-4</v>
      </c>
      <c r="Q55" s="171" t="s">
        <v>330</v>
      </c>
      <c r="R55" s="98">
        <v>100</v>
      </c>
      <c r="S55" s="171" t="s">
        <v>330</v>
      </c>
      <c r="T55" s="98">
        <v>100</v>
      </c>
      <c r="U55" s="92">
        <v>13929</v>
      </c>
      <c r="V55" s="93">
        <v>0.14510000000000001</v>
      </c>
      <c r="W55" s="93">
        <v>0.14510000000000001</v>
      </c>
      <c r="X55" s="187">
        <f t="shared" ref="X55" si="39">((O55-E55)/E55)</f>
        <v>0</v>
      </c>
      <c r="Y55" s="187">
        <f t="shared" ref="Y55" si="40">((T55-J55)/J55)</f>
        <v>0</v>
      </c>
      <c r="Z55" s="187">
        <f t="shared" ref="Z55" si="41">((U55-K55)/K55)</f>
        <v>0</v>
      </c>
      <c r="AA55" s="185">
        <f t="shared" ref="AA55" si="42">V55-L55</f>
        <v>-7.6999999999999846E-3</v>
      </c>
      <c r="AB55" s="186">
        <f t="shared" ref="AB55" si="43">W55-M55</f>
        <v>-7.6999999999999846E-3</v>
      </c>
    </row>
    <row r="56" spans="1:28">
      <c r="A56" s="200">
        <v>47</v>
      </c>
      <c r="B56" s="84" t="s">
        <v>93</v>
      </c>
      <c r="C56" s="85" t="s">
        <v>35</v>
      </c>
      <c r="D56" s="171" t="s">
        <v>330</v>
      </c>
      <c r="E56" s="107">
        <v>502256210810</v>
      </c>
      <c r="F56" s="91">
        <f t="shared" si="37"/>
        <v>8.5094566889139828E-2</v>
      </c>
      <c r="G56" s="171" t="s">
        <v>330</v>
      </c>
      <c r="H56" s="98">
        <v>100</v>
      </c>
      <c r="I56" s="171" t="s">
        <v>330</v>
      </c>
      <c r="J56" s="98">
        <v>100</v>
      </c>
      <c r="K56" s="92">
        <v>46920</v>
      </c>
      <c r="L56" s="93">
        <v>0.17150000000000001</v>
      </c>
      <c r="M56" s="93">
        <v>0.17150000000000001</v>
      </c>
      <c r="N56" s="171" t="s">
        <v>330</v>
      </c>
      <c r="O56" s="107">
        <v>518091511782.33002</v>
      </c>
      <c r="P56" s="91">
        <f t="shared" si="38"/>
        <v>8.7777456714686147E-2</v>
      </c>
      <c r="Q56" s="171" t="s">
        <v>330</v>
      </c>
      <c r="R56" s="98">
        <v>100</v>
      </c>
      <c r="S56" s="171" t="s">
        <v>330</v>
      </c>
      <c r="T56" s="98">
        <v>100</v>
      </c>
      <c r="U56" s="92">
        <v>48139</v>
      </c>
      <c r="V56" s="93">
        <v>0.1729</v>
      </c>
      <c r="W56" s="93">
        <v>0.1729</v>
      </c>
      <c r="X56" s="187">
        <f t="shared" si="18"/>
        <v>3.1528332814027463E-2</v>
      </c>
      <c r="Y56" s="187">
        <f t="shared" si="19"/>
        <v>0</v>
      </c>
      <c r="Z56" s="187">
        <f t="shared" si="20"/>
        <v>2.5980392156862746E-2</v>
      </c>
      <c r="AA56" s="185">
        <f t="shared" si="21"/>
        <v>1.3999999999999846E-3</v>
      </c>
      <c r="AB56" s="186">
        <f t="shared" si="22"/>
        <v>1.3999999999999846E-3</v>
      </c>
    </row>
    <row r="57" spans="1:28">
      <c r="A57" s="200">
        <v>49</v>
      </c>
      <c r="B57" s="84" t="s">
        <v>94</v>
      </c>
      <c r="C57" s="85" t="s">
        <v>95</v>
      </c>
      <c r="D57" s="171" t="s">
        <v>330</v>
      </c>
      <c r="E57" s="107">
        <v>6101682286.21</v>
      </c>
      <c r="F57" s="91">
        <f t="shared" si="37"/>
        <v>1.0337751933476712E-3</v>
      </c>
      <c r="G57" s="171" t="s">
        <v>330</v>
      </c>
      <c r="H57" s="98">
        <v>100</v>
      </c>
      <c r="I57" s="171" t="s">
        <v>330</v>
      </c>
      <c r="J57" s="98">
        <v>100</v>
      </c>
      <c r="K57" s="92">
        <v>1014</v>
      </c>
      <c r="L57" s="93">
        <v>0.1668</v>
      </c>
      <c r="M57" s="93">
        <v>0.1668</v>
      </c>
      <c r="N57" s="171" t="s">
        <v>330</v>
      </c>
      <c r="O57" s="107">
        <v>6272491958.8599997</v>
      </c>
      <c r="P57" s="91">
        <f t="shared" si="38"/>
        <v>1.0627145569668619E-3</v>
      </c>
      <c r="Q57" s="171" t="s">
        <v>330</v>
      </c>
      <c r="R57" s="98">
        <v>100</v>
      </c>
      <c r="S57" s="171" t="s">
        <v>330</v>
      </c>
      <c r="T57" s="98">
        <v>100</v>
      </c>
      <c r="U57" s="92">
        <v>1024</v>
      </c>
      <c r="V57" s="93">
        <v>0.16619999999999999</v>
      </c>
      <c r="W57" s="93">
        <v>0.16619999999999999</v>
      </c>
      <c r="X57" s="187">
        <f t="shared" si="18"/>
        <v>2.7993865402666903E-2</v>
      </c>
      <c r="Y57" s="187">
        <f t="shared" si="19"/>
        <v>0</v>
      </c>
      <c r="Z57" s="187">
        <f t="shared" si="20"/>
        <v>9.8619329388560158E-3</v>
      </c>
      <c r="AA57" s="185">
        <f t="shared" si="21"/>
        <v>-6.0000000000001719E-4</v>
      </c>
      <c r="AB57" s="186">
        <f t="shared" si="22"/>
        <v>-6.0000000000001719E-4</v>
      </c>
    </row>
    <row r="58" spans="1:28">
      <c r="A58" s="200">
        <v>50</v>
      </c>
      <c r="B58" s="84" t="s">
        <v>96</v>
      </c>
      <c r="C58" s="85" t="s">
        <v>40</v>
      </c>
      <c r="D58" s="171" t="s">
        <v>330</v>
      </c>
      <c r="E58" s="109">
        <v>117443820473.74001</v>
      </c>
      <c r="F58" s="91">
        <f t="shared" si="37"/>
        <v>1.9897874475064269E-2</v>
      </c>
      <c r="G58" s="171" t="s">
        <v>330</v>
      </c>
      <c r="H58" s="98">
        <v>10</v>
      </c>
      <c r="I58" s="171" t="s">
        <v>330</v>
      </c>
      <c r="J58" s="98">
        <v>10</v>
      </c>
      <c r="K58" s="92">
        <v>11273</v>
      </c>
      <c r="L58" s="93">
        <v>0.18110000000000001</v>
      </c>
      <c r="M58" s="93">
        <v>0.18110000000000001</v>
      </c>
      <c r="N58" s="171" t="s">
        <v>330</v>
      </c>
      <c r="O58" s="109">
        <v>118460822543.45</v>
      </c>
      <c r="P58" s="91">
        <f t="shared" si="38"/>
        <v>2.0070179662704982E-2</v>
      </c>
      <c r="Q58" s="171" t="s">
        <v>330</v>
      </c>
      <c r="R58" s="98">
        <v>10</v>
      </c>
      <c r="S58" s="171" t="s">
        <v>330</v>
      </c>
      <c r="T58" s="98">
        <v>10</v>
      </c>
      <c r="U58" s="92">
        <v>11387</v>
      </c>
      <c r="V58" s="93">
        <v>0.1807</v>
      </c>
      <c r="W58" s="93">
        <v>0.1807</v>
      </c>
      <c r="X58" s="187">
        <f t="shared" si="18"/>
        <v>8.6594770640775372E-3</v>
      </c>
      <c r="Y58" s="187">
        <f t="shared" si="19"/>
        <v>0</v>
      </c>
      <c r="Z58" s="187">
        <f t="shared" si="20"/>
        <v>1.0112658564712143E-2</v>
      </c>
      <c r="AA58" s="185">
        <f t="shared" si="21"/>
        <v>-4.0000000000001146E-4</v>
      </c>
      <c r="AB58" s="186">
        <f t="shared" si="22"/>
        <v>-4.0000000000001146E-4</v>
      </c>
    </row>
    <row r="59" spans="1:28">
      <c r="A59" s="200">
        <v>51</v>
      </c>
      <c r="B59" s="84" t="s">
        <v>339</v>
      </c>
      <c r="C59" s="85" t="s">
        <v>313</v>
      </c>
      <c r="D59" s="171" t="s">
        <v>330</v>
      </c>
      <c r="E59" s="109">
        <v>464637882.85000002</v>
      </c>
      <c r="F59" s="91">
        <f t="shared" si="37"/>
        <v>7.8721096027152261E-5</v>
      </c>
      <c r="G59" s="171" t="s">
        <v>330</v>
      </c>
      <c r="H59" s="98">
        <v>1</v>
      </c>
      <c r="I59" s="171" t="s">
        <v>330</v>
      </c>
      <c r="J59" s="98">
        <v>1</v>
      </c>
      <c r="K59" s="92">
        <v>298</v>
      </c>
      <c r="L59" s="93">
        <v>0.19009999999999999</v>
      </c>
      <c r="M59" s="93">
        <v>0.1901014</v>
      </c>
      <c r="N59" s="171" t="s">
        <v>330</v>
      </c>
      <c r="O59" s="109">
        <v>479895645.30000001</v>
      </c>
      <c r="P59" s="91">
        <f t="shared" si="38"/>
        <v>8.1306136608902857E-5</v>
      </c>
      <c r="Q59" s="171" t="s">
        <v>330</v>
      </c>
      <c r="R59" s="98">
        <v>1</v>
      </c>
      <c r="S59" s="171" t="s">
        <v>330</v>
      </c>
      <c r="T59" s="98">
        <v>1</v>
      </c>
      <c r="U59" s="92">
        <v>312</v>
      </c>
      <c r="V59" s="93">
        <v>0.19250500000000001</v>
      </c>
      <c r="W59" s="93">
        <v>0.19250500000000001</v>
      </c>
      <c r="X59" s="187">
        <f t="shared" ref="X59" si="44">((O59-E59)/E59)</f>
        <v>3.2837964817702313E-2</v>
      </c>
      <c r="Y59" s="187">
        <f t="shared" ref="Y59" si="45">((T59-J59)/J59)</f>
        <v>0</v>
      </c>
      <c r="Z59" s="187">
        <f t="shared" ref="Z59" si="46">((U59-K59)/K59)</f>
        <v>4.6979865771812082E-2</v>
      </c>
      <c r="AA59" s="185">
        <f t="shared" ref="AA59" si="47">V59-L59</f>
        <v>2.4050000000000182E-3</v>
      </c>
      <c r="AB59" s="186">
        <f t="shared" ref="AB59" si="48">W59-M59</f>
        <v>2.4036000000000057E-3</v>
      </c>
    </row>
    <row r="60" spans="1:28">
      <c r="A60" s="200">
        <v>52</v>
      </c>
      <c r="B60" s="84" t="s">
        <v>97</v>
      </c>
      <c r="C60" s="85" t="s">
        <v>98</v>
      </c>
      <c r="D60" s="171" t="s">
        <v>330</v>
      </c>
      <c r="E60" s="107">
        <v>45916654565</v>
      </c>
      <c r="F60" s="91">
        <f t="shared" si="37"/>
        <v>7.7794116809538228E-3</v>
      </c>
      <c r="G60" s="171" t="s">
        <v>330</v>
      </c>
      <c r="H60" s="98">
        <v>100</v>
      </c>
      <c r="I60" s="171" t="s">
        <v>330</v>
      </c>
      <c r="J60" s="98">
        <v>100</v>
      </c>
      <c r="K60" s="92">
        <v>6546</v>
      </c>
      <c r="L60" s="93">
        <v>0.1749</v>
      </c>
      <c r="M60" s="93">
        <v>0.1749</v>
      </c>
      <c r="N60" s="171" t="s">
        <v>330</v>
      </c>
      <c r="O60" s="107">
        <v>46054854219</v>
      </c>
      <c r="P60" s="91">
        <f t="shared" si="38"/>
        <v>7.8028261046050379E-3</v>
      </c>
      <c r="Q60" s="171" t="s">
        <v>330</v>
      </c>
      <c r="R60" s="98">
        <v>100</v>
      </c>
      <c r="S60" s="171" t="s">
        <v>330</v>
      </c>
      <c r="T60" s="98">
        <v>100</v>
      </c>
      <c r="U60" s="92">
        <v>6606</v>
      </c>
      <c r="V60" s="93">
        <v>0.1779</v>
      </c>
      <c r="W60" s="93">
        <v>0.1779</v>
      </c>
      <c r="X60" s="187">
        <f t="shared" si="18"/>
        <v>3.0097936208388922E-3</v>
      </c>
      <c r="Y60" s="187">
        <f t="shared" si="19"/>
        <v>0</v>
      </c>
      <c r="Z60" s="187">
        <f t="shared" si="20"/>
        <v>9.1659028414298807E-3</v>
      </c>
      <c r="AA60" s="185">
        <f t="shared" si="21"/>
        <v>3.0000000000000027E-3</v>
      </c>
      <c r="AB60" s="186">
        <f t="shared" si="22"/>
        <v>3.0000000000000027E-3</v>
      </c>
    </row>
    <row r="61" spans="1:28">
      <c r="A61" s="200">
        <v>53</v>
      </c>
      <c r="B61" s="84" t="s">
        <v>99</v>
      </c>
      <c r="C61" s="85" t="s">
        <v>100</v>
      </c>
      <c r="D61" s="171" t="s">
        <v>330</v>
      </c>
      <c r="E61" s="107">
        <v>190753674.91999999</v>
      </c>
      <c r="F61" s="91">
        <f t="shared" si="37"/>
        <v>3.2318368594489442E-5</v>
      </c>
      <c r="G61" s="171" t="s">
        <v>330</v>
      </c>
      <c r="H61" s="98">
        <v>1.01</v>
      </c>
      <c r="I61" s="171" t="s">
        <v>330</v>
      </c>
      <c r="J61" s="98">
        <v>1.01</v>
      </c>
      <c r="K61" s="92">
        <v>120</v>
      </c>
      <c r="L61" s="93">
        <v>0.15359999999999999</v>
      </c>
      <c r="M61" s="93">
        <v>0.15359999999999999</v>
      </c>
      <c r="N61" s="171" t="s">
        <v>330</v>
      </c>
      <c r="O61" s="107">
        <v>191208961.63999999</v>
      </c>
      <c r="P61" s="91">
        <f t="shared" si="38"/>
        <v>3.2395505373318508E-5</v>
      </c>
      <c r="Q61" s="171" t="s">
        <v>330</v>
      </c>
      <c r="R61" s="98">
        <v>1.01</v>
      </c>
      <c r="S61" s="171" t="s">
        <v>330</v>
      </c>
      <c r="T61" s="98">
        <v>1.01</v>
      </c>
      <c r="U61" s="92">
        <v>120</v>
      </c>
      <c r="V61" s="93">
        <v>0.15329999999999999</v>
      </c>
      <c r="W61" s="93">
        <v>0.15329999999999999</v>
      </c>
      <c r="X61" s="187">
        <f t="shared" si="18"/>
        <v>2.3867782373835841E-3</v>
      </c>
      <c r="Y61" s="187">
        <f t="shared" si="19"/>
        <v>0</v>
      </c>
      <c r="Z61" s="187">
        <f t="shared" si="20"/>
        <v>0</v>
      </c>
      <c r="AA61" s="185">
        <f t="shared" si="21"/>
        <v>-2.9999999999999472E-4</v>
      </c>
      <c r="AB61" s="186">
        <f t="shared" si="22"/>
        <v>-2.9999999999999472E-4</v>
      </c>
    </row>
    <row r="62" spans="1:28">
      <c r="A62" s="200">
        <v>54</v>
      </c>
      <c r="B62" s="84" t="s">
        <v>101</v>
      </c>
      <c r="C62" s="85" t="s">
        <v>42</v>
      </c>
      <c r="D62" s="171" t="s">
        <v>330</v>
      </c>
      <c r="E62" s="109">
        <v>2820324340.98</v>
      </c>
      <c r="F62" s="91">
        <f t="shared" si="37"/>
        <v>4.7783237542358624E-4</v>
      </c>
      <c r="G62" s="171" t="s">
        <v>330</v>
      </c>
      <c r="H62" s="98">
        <v>10</v>
      </c>
      <c r="I62" s="171" t="s">
        <v>330</v>
      </c>
      <c r="J62" s="98">
        <v>10</v>
      </c>
      <c r="K62" s="92">
        <v>996</v>
      </c>
      <c r="L62" s="93">
        <v>0.1701</v>
      </c>
      <c r="M62" s="93">
        <v>0.1701</v>
      </c>
      <c r="N62" s="171" t="s">
        <v>330</v>
      </c>
      <c r="O62" s="109">
        <v>2855423640.71</v>
      </c>
      <c r="P62" s="91">
        <f t="shared" si="38"/>
        <v>4.8377906088879861E-4</v>
      </c>
      <c r="Q62" s="171" t="s">
        <v>330</v>
      </c>
      <c r="R62" s="98">
        <v>10</v>
      </c>
      <c r="S62" s="171" t="s">
        <v>330</v>
      </c>
      <c r="T62" s="98">
        <v>10</v>
      </c>
      <c r="U62" s="92">
        <v>1015</v>
      </c>
      <c r="V62" s="93">
        <v>0.1643</v>
      </c>
      <c r="W62" s="93">
        <v>0.1643</v>
      </c>
      <c r="X62" s="187">
        <f t="shared" si="18"/>
        <v>1.244512881727773E-2</v>
      </c>
      <c r="Y62" s="187">
        <f t="shared" si="19"/>
        <v>0</v>
      </c>
      <c r="Z62" s="187">
        <f t="shared" si="20"/>
        <v>1.9076305220883535E-2</v>
      </c>
      <c r="AA62" s="185">
        <f t="shared" si="21"/>
        <v>-5.7999999999999996E-3</v>
      </c>
      <c r="AB62" s="186">
        <f t="shared" si="22"/>
        <v>-5.7999999999999996E-3</v>
      </c>
    </row>
    <row r="63" spans="1:28" ht="15.6" customHeight="1">
      <c r="A63" s="200">
        <v>55</v>
      </c>
      <c r="B63" s="84" t="s">
        <v>102</v>
      </c>
      <c r="C63" s="85" t="s">
        <v>103</v>
      </c>
      <c r="D63" s="171" t="s">
        <v>330</v>
      </c>
      <c r="E63" s="109">
        <v>1996262535</v>
      </c>
      <c r="F63" s="91">
        <f t="shared" si="37"/>
        <v>3.3821601835223967E-4</v>
      </c>
      <c r="G63" s="171" t="s">
        <v>330</v>
      </c>
      <c r="H63" s="98">
        <v>1</v>
      </c>
      <c r="I63" s="171" t="s">
        <v>330</v>
      </c>
      <c r="J63" s="98">
        <v>1</v>
      </c>
      <c r="K63" s="92">
        <v>271</v>
      </c>
      <c r="L63" s="93">
        <v>0.18790000000000001</v>
      </c>
      <c r="M63" s="93">
        <v>0.18790000000000001</v>
      </c>
      <c r="N63" s="171" t="s">
        <v>330</v>
      </c>
      <c r="O63" s="109">
        <v>2056831387</v>
      </c>
      <c r="P63" s="91">
        <f t="shared" si="38"/>
        <v>3.4847787299332079E-4</v>
      </c>
      <c r="Q63" s="171" t="s">
        <v>330</v>
      </c>
      <c r="R63" s="98">
        <v>1</v>
      </c>
      <c r="S63" s="171" t="s">
        <v>330</v>
      </c>
      <c r="T63" s="98">
        <v>1</v>
      </c>
      <c r="U63" s="92">
        <v>280</v>
      </c>
      <c r="V63" s="93">
        <v>0.18490000000000001</v>
      </c>
      <c r="W63" s="93">
        <v>0.18490000000000001</v>
      </c>
      <c r="X63" s="187">
        <f t="shared" si="18"/>
        <v>3.034112544720978E-2</v>
      </c>
      <c r="Y63" s="187">
        <f t="shared" si="19"/>
        <v>0</v>
      </c>
      <c r="Z63" s="187">
        <f t="shared" si="20"/>
        <v>3.3210332103321034E-2</v>
      </c>
      <c r="AA63" s="185">
        <f t="shared" si="21"/>
        <v>-3.0000000000000027E-3</v>
      </c>
      <c r="AB63" s="186">
        <f t="shared" si="22"/>
        <v>-3.0000000000000027E-3</v>
      </c>
    </row>
    <row r="64" spans="1:28">
      <c r="A64" s="200">
        <v>56</v>
      </c>
      <c r="B64" s="84" t="s">
        <v>104</v>
      </c>
      <c r="C64" s="85" t="s">
        <v>105</v>
      </c>
      <c r="D64" s="171" t="s">
        <v>330</v>
      </c>
      <c r="E64" s="109">
        <v>2296585821.79</v>
      </c>
      <c r="F64" s="91">
        <f t="shared" si="37"/>
        <v>3.8909817663337556E-4</v>
      </c>
      <c r="G64" s="171" t="s">
        <v>330</v>
      </c>
      <c r="H64" s="98">
        <v>1</v>
      </c>
      <c r="I64" s="171" t="s">
        <v>330</v>
      </c>
      <c r="J64" s="98">
        <v>1</v>
      </c>
      <c r="K64" s="92">
        <v>3102</v>
      </c>
      <c r="L64" s="93">
        <v>0.16750000000000001</v>
      </c>
      <c r="M64" s="93">
        <v>0.16750000000000001</v>
      </c>
      <c r="N64" s="171" t="s">
        <v>330</v>
      </c>
      <c r="O64" s="109">
        <v>2265178313.6100001</v>
      </c>
      <c r="P64" s="91">
        <f t="shared" si="38"/>
        <v>3.8377697154298154E-4</v>
      </c>
      <c r="Q64" s="171" t="s">
        <v>330</v>
      </c>
      <c r="R64" s="98">
        <v>1</v>
      </c>
      <c r="S64" s="171" t="s">
        <v>330</v>
      </c>
      <c r="T64" s="98">
        <v>1</v>
      </c>
      <c r="U64" s="92">
        <v>3172</v>
      </c>
      <c r="V64" s="93">
        <v>0.1676</v>
      </c>
      <c r="W64" s="93">
        <v>0.1676</v>
      </c>
      <c r="X64" s="187">
        <f t="shared" si="18"/>
        <v>-1.3675738952146041E-2</v>
      </c>
      <c r="Y64" s="187">
        <f t="shared" si="19"/>
        <v>0</v>
      </c>
      <c r="Z64" s="187">
        <f t="shared" si="20"/>
        <v>2.2566086395873632E-2</v>
      </c>
      <c r="AA64" s="185">
        <f t="shared" si="21"/>
        <v>9.9999999999988987E-5</v>
      </c>
      <c r="AB64" s="186">
        <f t="shared" si="22"/>
        <v>9.9999999999988987E-5</v>
      </c>
    </row>
    <row r="65" spans="1:28">
      <c r="A65" s="203">
        <v>57</v>
      </c>
      <c r="B65" s="84" t="s">
        <v>106</v>
      </c>
      <c r="C65" s="85" t="s">
        <v>107</v>
      </c>
      <c r="D65" s="171" t="s">
        <v>330</v>
      </c>
      <c r="E65" s="109">
        <v>13679392507.030001</v>
      </c>
      <c r="F65" s="91">
        <f t="shared" si="37"/>
        <v>2.3176258563632006E-3</v>
      </c>
      <c r="G65" s="171" t="s">
        <v>330</v>
      </c>
      <c r="H65" s="98">
        <v>100</v>
      </c>
      <c r="I65" s="171" t="s">
        <v>330</v>
      </c>
      <c r="J65" s="98">
        <v>100</v>
      </c>
      <c r="K65" s="92">
        <v>162</v>
      </c>
      <c r="L65" s="93">
        <v>0.1588</v>
      </c>
      <c r="M65" s="93">
        <v>0.1588</v>
      </c>
      <c r="N65" s="171" t="s">
        <v>330</v>
      </c>
      <c r="O65" s="109">
        <v>22894747902.040001</v>
      </c>
      <c r="P65" s="91">
        <f t="shared" si="38"/>
        <v>3.8789339282001112E-3</v>
      </c>
      <c r="Q65" s="171" t="s">
        <v>330</v>
      </c>
      <c r="R65" s="98">
        <v>100</v>
      </c>
      <c r="S65" s="171" t="s">
        <v>330</v>
      </c>
      <c r="T65" s="98">
        <v>100</v>
      </c>
      <c r="U65" s="92">
        <v>162</v>
      </c>
      <c r="V65" s="93">
        <v>0.1593</v>
      </c>
      <c r="W65" s="93">
        <v>0.1593</v>
      </c>
      <c r="X65" s="187">
        <f t="shared" si="18"/>
        <v>0.67366700606581187</v>
      </c>
      <c r="Y65" s="187">
        <f t="shared" si="19"/>
        <v>0</v>
      </c>
      <c r="Z65" s="187">
        <f t="shared" si="20"/>
        <v>0</v>
      </c>
      <c r="AA65" s="185">
        <f t="shared" si="21"/>
        <v>5.0000000000000044E-4</v>
      </c>
      <c r="AB65" s="186">
        <f t="shared" si="22"/>
        <v>5.0000000000000044E-4</v>
      </c>
    </row>
    <row r="66" spans="1:28">
      <c r="A66" s="200">
        <v>58</v>
      </c>
      <c r="B66" s="84" t="s">
        <v>305</v>
      </c>
      <c r="C66" s="85" t="s">
        <v>73</v>
      </c>
      <c r="D66" s="171" t="s">
        <v>330</v>
      </c>
      <c r="E66" s="109">
        <v>340592585.12</v>
      </c>
      <c r="F66" s="91">
        <f t="shared" si="37"/>
        <v>5.77047687866279E-5</v>
      </c>
      <c r="G66" s="171" t="s">
        <v>330</v>
      </c>
      <c r="H66" s="98">
        <v>1000</v>
      </c>
      <c r="I66" s="171" t="s">
        <v>330</v>
      </c>
      <c r="J66" s="98">
        <v>1000</v>
      </c>
      <c r="K66" s="92">
        <v>32</v>
      </c>
      <c r="L66" s="93">
        <v>0.2087</v>
      </c>
      <c r="M66" s="93">
        <v>0.2087</v>
      </c>
      <c r="N66" s="171" t="s">
        <v>330</v>
      </c>
      <c r="O66" s="109">
        <v>352026384.83999997</v>
      </c>
      <c r="P66" s="91">
        <f t="shared" si="38"/>
        <v>5.96419359418164E-5</v>
      </c>
      <c r="Q66" s="171" t="s">
        <v>330</v>
      </c>
      <c r="R66" s="98">
        <v>1000</v>
      </c>
      <c r="S66" s="171" t="s">
        <v>330</v>
      </c>
      <c r="T66" s="98">
        <v>1000</v>
      </c>
      <c r="U66" s="92">
        <v>32</v>
      </c>
      <c r="V66" s="93">
        <v>0.20669999999999999</v>
      </c>
      <c r="W66" s="93">
        <v>0.20669999999999999</v>
      </c>
      <c r="X66" s="187">
        <f t="shared" si="18"/>
        <v>3.3570313094078458E-2</v>
      </c>
      <c r="Y66" s="187">
        <f t="shared" si="19"/>
        <v>0</v>
      </c>
      <c r="Z66" s="187">
        <f t="shared" si="20"/>
        <v>0</v>
      </c>
      <c r="AA66" s="185">
        <f t="shared" si="21"/>
        <v>-2.0000000000000018E-3</v>
      </c>
      <c r="AB66" s="186">
        <f t="shared" si="22"/>
        <v>-2.0000000000000018E-3</v>
      </c>
    </row>
    <row r="67" spans="1:28">
      <c r="A67" s="200">
        <v>59</v>
      </c>
      <c r="B67" s="84" t="s">
        <v>307</v>
      </c>
      <c r="C67" s="85" t="s">
        <v>31</v>
      </c>
      <c r="D67" s="171" t="s">
        <v>330</v>
      </c>
      <c r="E67" s="96">
        <v>2233139169.0100002</v>
      </c>
      <c r="F67" s="91">
        <f t="shared" si="37"/>
        <v>3.7834875169311913E-4</v>
      </c>
      <c r="G67" s="171" t="s">
        <v>330</v>
      </c>
      <c r="H67" s="90">
        <v>1</v>
      </c>
      <c r="I67" s="171" t="s">
        <v>330</v>
      </c>
      <c r="J67" s="90">
        <v>1</v>
      </c>
      <c r="K67" s="92">
        <v>470</v>
      </c>
      <c r="L67" s="93">
        <v>0.16672000000000001</v>
      </c>
      <c r="M67" s="93">
        <v>0.16672000000000001</v>
      </c>
      <c r="N67" s="171" t="s">
        <v>330</v>
      </c>
      <c r="O67" s="96">
        <v>2373880103.73</v>
      </c>
      <c r="P67" s="91">
        <f t="shared" si="38"/>
        <v>4.0219373086073691E-4</v>
      </c>
      <c r="Q67" s="171" t="s">
        <v>330</v>
      </c>
      <c r="R67" s="90">
        <v>1</v>
      </c>
      <c r="S67" s="171" t="s">
        <v>330</v>
      </c>
      <c r="T67" s="90">
        <v>1</v>
      </c>
      <c r="U67" s="92">
        <v>470</v>
      </c>
      <c r="V67" s="93">
        <v>0.16550000000000001</v>
      </c>
      <c r="W67" s="93">
        <v>0.16550000000000001</v>
      </c>
      <c r="X67" s="187">
        <f t="shared" si="18"/>
        <v>6.3023808221676275E-2</v>
      </c>
      <c r="Y67" s="187">
        <f t="shared" si="19"/>
        <v>0</v>
      </c>
      <c r="Z67" s="187">
        <f t="shared" si="20"/>
        <v>0</v>
      </c>
      <c r="AA67" s="185">
        <f t="shared" si="21"/>
        <v>-1.2199999999999989E-3</v>
      </c>
      <c r="AB67" s="186">
        <f t="shared" si="22"/>
        <v>-1.2199999999999989E-3</v>
      </c>
    </row>
    <row r="68" spans="1:28">
      <c r="A68" s="200">
        <v>60</v>
      </c>
      <c r="B68" s="84" t="s">
        <v>108</v>
      </c>
      <c r="C68" s="85" t="s">
        <v>46</v>
      </c>
      <c r="D68" s="171" t="s">
        <v>330</v>
      </c>
      <c r="E68" s="107">
        <v>2825182521935.3799</v>
      </c>
      <c r="F68" s="91">
        <f t="shared" si="37"/>
        <v>0.47865547087839488</v>
      </c>
      <c r="G68" s="171" t="s">
        <v>330</v>
      </c>
      <c r="H68" s="98">
        <v>100</v>
      </c>
      <c r="I68" s="171" t="s">
        <v>330</v>
      </c>
      <c r="J68" s="98">
        <v>100</v>
      </c>
      <c r="K68" s="92">
        <v>334408</v>
      </c>
      <c r="L68" s="93">
        <v>0.15409999999999999</v>
      </c>
      <c r="M68" s="93">
        <v>0.15409999999999999</v>
      </c>
      <c r="N68" s="171" t="s">
        <v>330</v>
      </c>
      <c r="O68" s="107">
        <v>2848905041314.3999</v>
      </c>
      <c r="P68" s="91">
        <f t="shared" si="38"/>
        <v>0.48267464967326018</v>
      </c>
      <c r="Q68" s="171" t="s">
        <v>330</v>
      </c>
      <c r="R68" s="98">
        <v>100</v>
      </c>
      <c r="S68" s="171" t="s">
        <v>330</v>
      </c>
      <c r="T68" s="98">
        <v>100</v>
      </c>
      <c r="U68" s="92">
        <v>337509</v>
      </c>
      <c r="V68" s="93">
        <v>0.154</v>
      </c>
      <c r="W68" s="93">
        <v>0.154</v>
      </c>
      <c r="X68" s="187">
        <f t="shared" si="18"/>
        <v>8.3968094786205181E-3</v>
      </c>
      <c r="Y68" s="187">
        <f t="shared" si="19"/>
        <v>0</v>
      </c>
      <c r="Z68" s="187">
        <f t="shared" si="20"/>
        <v>9.2731035142699942E-3</v>
      </c>
      <c r="AA68" s="185">
        <f t="shared" si="21"/>
        <v>-9.9999999999988987E-5</v>
      </c>
      <c r="AB68" s="186">
        <f t="shared" si="22"/>
        <v>-9.9999999999988987E-5</v>
      </c>
    </row>
    <row r="69" spans="1:28">
      <c r="A69" s="200">
        <v>61</v>
      </c>
      <c r="B69" s="84" t="s">
        <v>109</v>
      </c>
      <c r="C69" s="84" t="s">
        <v>110</v>
      </c>
      <c r="D69" s="171" t="s">
        <v>330</v>
      </c>
      <c r="E69" s="107">
        <v>15282496261.84</v>
      </c>
      <c r="F69" s="91">
        <f t="shared" si="37"/>
        <v>2.5892310983848185E-3</v>
      </c>
      <c r="G69" s="171" t="s">
        <v>330</v>
      </c>
      <c r="H69" s="98">
        <v>100</v>
      </c>
      <c r="I69" s="171" t="s">
        <v>330</v>
      </c>
      <c r="J69" s="98">
        <v>100</v>
      </c>
      <c r="K69" s="92">
        <v>1666</v>
      </c>
      <c r="L69" s="93">
        <v>0.19489999999999999</v>
      </c>
      <c r="M69" s="93">
        <v>0.19489999999999999</v>
      </c>
      <c r="N69" s="171" t="s">
        <v>330</v>
      </c>
      <c r="O69" s="107">
        <v>15858138658.450001</v>
      </c>
      <c r="P69" s="91">
        <f t="shared" ref="P69:P75" si="49">(O69/$O$76)</f>
        <v>2.6867590918038678E-3</v>
      </c>
      <c r="Q69" s="171" t="s">
        <v>330</v>
      </c>
      <c r="R69" s="98">
        <v>100</v>
      </c>
      <c r="S69" s="171" t="s">
        <v>330</v>
      </c>
      <c r="T69" s="98">
        <v>100</v>
      </c>
      <c r="U69" s="92">
        <v>1703</v>
      </c>
      <c r="V69" s="93">
        <v>0.19539999999999999</v>
      </c>
      <c r="W69" s="93">
        <v>0.19539999999999999</v>
      </c>
      <c r="X69" s="187">
        <f t="shared" si="18"/>
        <v>3.7666778172055888E-2</v>
      </c>
      <c r="Y69" s="187">
        <f t="shared" si="19"/>
        <v>0</v>
      </c>
      <c r="Z69" s="187">
        <f t="shared" si="20"/>
        <v>2.220888355342137E-2</v>
      </c>
      <c r="AA69" s="185">
        <f t="shared" si="21"/>
        <v>5.0000000000000044E-4</v>
      </c>
      <c r="AB69" s="186">
        <f t="shared" si="22"/>
        <v>5.0000000000000044E-4</v>
      </c>
    </row>
    <row r="70" spans="1:28">
      <c r="A70" s="200">
        <v>62</v>
      </c>
      <c r="B70" s="202" t="s">
        <v>111</v>
      </c>
      <c r="C70" s="85" t="s">
        <v>112</v>
      </c>
      <c r="D70" s="171" t="s">
        <v>330</v>
      </c>
      <c r="E70" s="107">
        <v>17561732407.959999</v>
      </c>
      <c r="F70" s="91">
        <f t="shared" si="37"/>
        <v>2.9753898128372785E-3</v>
      </c>
      <c r="G70" s="171" t="s">
        <v>330</v>
      </c>
      <c r="H70" s="98">
        <v>1</v>
      </c>
      <c r="I70" s="171" t="s">
        <v>330</v>
      </c>
      <c r="J70" s="98">
        <v>1</v>
      </c>
      <c r="K70" s="92">
        <v>936</v>
      </c>
      <c r="L70" s="93">
        <v>0.18731500000000001</v>
      </c>
      <c r="M70" s="93">
        <v>0.18731500000000001</v>
      </c>
      <c r="N70" s="171" t="s">
        <v>330</v>
      </c>
      <c r="O70" s="107">
        <v>17600919202.110001</v>
      </c>
      <c r="P70" s="91">
        <f t="shared" si="49"/>
        <v>2.9820290204850856E-3</v>
      </c>
      <c r="Q70" s="171" t="s">
        <v>330</v>
      </c>
      <c r="R70" s="98">
        <v>1</v>
      </c>
      <c r="S70" s="171" t="s">
        <v>330</v>
      </c>
      <c r="T70" s="98">
        <v>1</v>
      </c>
      <c r="U70" s="92">
        <v>953</v>
      </c>
      <c r="V70" s="93">
        <v>0.190024</v>
      </c>
      <c r="W70" s="93">
        <v>0.190024</v>
      </c>
      <c r="X70" s="187">
        <f t="shared" si="18"/>
        <v>2.2313740603540793E-3</v>
      </c>
      <c r="Y70" s="187">
        <f t="shared" si="19"/>
        <v>0</v>
      </c>
      <c r="Z70" s="187">
        <f t="shared" si="20"/>
        <v>1.8162393162393164E-2</v>
      </c>
      <c r="AA70" s="185">
        <f t="shared" si="21"/>
        <v>2.7089999999999892E-3</v>
      </c>
      <c r="AB70" s="186">
        <f t="shared" si="22"/>
        <v>2.7089999999999892E-3</v>
      </c>
    </row>
    <row r="71" spans="1:28">
      <c r="A71" s="200">
        <v>63</v>
      </c>
      <c r="B71" s="84" t="s">
        <v>113</v>
      </c>
      <c r="C71" s="85" t="s">
        <v>49</v>
      </c>
      <c r="D71" s="171" t="s">
        <v>330</v>
      </c>
      <c r="E71" s="107">
        <v>226451106844.01999</v>
      </c>
      <c r="F71" s="91">
        <f t="shared" si="37"/>
        <v>3.8366392378466417E-2</v>
      </c>
      <c r="G71" s="171" t="s">
        <v>330</v>
      </c>
      <c r="H71" s="98">
        <v>1</v>
      </c>
      <c r="I71" s="171" t="s">
        <v>330</v>
      </c>
      <c r="J71" s="98">
        <v>1</v>
      </c>
      <c r="K71" s="92">
        <v>90526</v>
      </c>
      <c r="L71" s="93">
        <v>0.15129999999999999</v>
      </c>
      <c r="M71" s="93">
        <v>0.15129999999999999</v>
      </c>
      <c r="N71" s="171" t="s">
        <v>330</v>
      </c>
      <c r="O71" s="107">
        <v>226451106844.01999</v>
      </c>
      <c r="P71" s="91">
        <f t="shared" si="49"/>
        <v>3.8366392378466417E-2</v>
      </c>
      <c r="Q71" s="171" t="s">
        <v>330</v>
      </c>
      <c r="R71" s="98">
        <v>1</v>
      </c>
      <c r="S71" s="171" t="s">
        <v>330</v>
      </c>
      <c r="T71" s="98">
        <v>1</v>
      </c>
      <c r="U71" s="92">
        <v>90526</v>
      </c>
      <c r="V71" s="93">
        <v>0.15129999999999999</v>
      </c>
      <c r="W71" s="93">
        <v>0.15129999999999999</v>
      </c>
      <c r="X71" s="187">
        <f t="shared" si="18"/>
        <v>0</v>
      </c>
      <c r="Y71" s="187">
        <f t="shared" si="19"/>
        <v>0</v>
      </c>
      <c r="Z71" s="187">
        <f t="shared" si="20"/>
        <v>0</v>
      </c>
      <c r="AA71" s="185">
        <f t="shared" si="21"/>
        <v>0</v>
      </c>
      <c r="AB71" s="186">
        <f t="shared" si="22"/>
        <v>0</v>
      </c>
    </row>
    <row r="72" spans="1:28">
      <c r="A72" s="200">
        <v>64</v>
      </c>
      <c r="B72" s="84" t="s">
        <v>114</v>
      </c>
      <c r="C72" s="85" t="s">
        <v>115</v>
      </c>
      <c r="D72" s="171" t="s">
        <v>330</v>
      </c>
      <c r="E72" s="109">
        <v>3325214958.5</v>
      </c>
      <c r="F72" s="91">
        <f t="shared" si="37"/>
        <v>5.6337327566445463E-4</v>
      </c>
      <c r="G72" s="171" t="s">
        <v>330</v>
      </c>
      <c r="H72" s="98">
        <v>1</v>
      </c>
      <c r="I72" s="171" t="s">
        <v>330</v>
      </c>
      <c r="J72" s="98">
        <v>1</v>
      </c>
      <c r="K72" s="92">
        <v>168</v>
      </c>
      <c r="L72" s="93">
        <v>0.14649999999999999</v>
      </c>
      <c r="M72" s="93">
        <v>0.14649999999999999</v>
      </c>
      <c r="N72" s="171" t="s">
        <v>330</v>
      </c>
      <c r="O72" s="109">
        <v>3277226684.7399998</v>
      </c>
      <c r="P72" s="91">
        <f t="shared" si="49"/>
        <v>5.5524288069177901E-4</v>
      </c>
      <c r="Q72" s="171" t="s">
        <v>330</v>
      </c>
      <c r="R72" s="98">
        <v>1</v>
      </c>
      <c r="S72" s="171" t="s">
        <v>330</v>
      </c>
      <c r="T72" s="98">
        <v>1</v>
      </c>
      <c r="U72" s="92">
        <v>169</v>
      </c>
      <c r="V72" s="93">
        <v>0.1489</v>
      </c>
      <c r="W72" s="93">
        <v>0.1489</v>
      </c>
      <c r="X72" s="187">
        <f t="shared" si="18"/>
        <v>-1.4431630543863448E-2</v>
      </c>
      <c r="Y72" s="187">
        <f t="shared" si="19"/>
        <v>0</v>
      </c>
      <c r="Z72" s="187">
        <f t="shared" si="20"/>
        <v>5.9523809523809521E-3</v>
      </c>
      <c r="AA72" s="185">
        <f t="shared" si="21"/>
        <v>2.4000000000000132E-3</v>
      </c>
      <c r="AB72" s="186">
        <f t="shared" si="22"/>
        <v>2.4000000000000132E-3</v>
      </c>
    </row>
    <row r="73" spans="1:28">
      <c r="A73" s="200">
        <v>65</v>
      </c>
      <c r="B73" s="84" t="s">
        <v>116</v>
      </c>
      <c r="C73" s="85" t="s">
        <v>117</v>
      </c>
      <c r="D73" s="171" t="s">
        <v>330</v>
      </c>
      <c r="E73" s="107">
        <v>11350889856.299999</v>
      </c>
      <c r="F73" s="91">
        <f t="shared" si="37"/>
        <v>1.9231201831639904E-3</v>
      </c>
      <c r="G73" s="171" t="s">
        <v>330</v>
      </c>
      <c r="H73" s="98">
        <v>1</v>
      </c>
      <c r="I73" s="171" t="s">
        <v>330</v>
      </c>
      <c r="J73" s="98">
        <v>1</v>
      </c>
      <c r="K73" s="92">
        <v>683</v>
      </c>
      <c r="L73" s="93">
        <v>0.1638</v>
      </c>
      <c r="M73" s="93">
        <v>0.1638</v>
      </c>
      <c r="N73" s="171" t="s">
        <v>330</v>
      </c>
      <c r="O73" s="107">
        <v>11651764032.610001</v>
      </c>
      <c r="P73" s="91">
        <f>(O73/$O$76)</f>
        <v>1.97409567569187E-3</v>
      </c>
      <c r="Q73" s="171" t="s">
        <v>330</v>
      </c>
      <c r="R73" s="98">
        <v>1</v>
      </c>
      <c r="S73" s="171" t="s">
        <v>330</v>
      </c>
      <c r="T73" s="98">
        <v>1</v>
      </c>
      <c r="U73" s="92">
        <v>693</v>
      </c>
      <c r="V73" s="93">
        <v>0.16539999999999999</v>
      </c>
      <c r="W73" s="93">
        <v>0.16539999999999999</v>
      </c>
      <c r="X73" s="187">
        <f t="shared" si="18"/>
        <v>2.6506659840682838E-2</v>
      </c>
      <c r="Y73" s="187">
        <f t="shared" si="19"/>
        <v>0</v>
      </c>
      <c r="Z73" s="187">
        <f t="shared" si="20"/>
        <v>1.4641288433382138E-2</v>
      </c>
      <c r="AA73" s="185">
        <f t="shared" si="21"/>
        <v>1.5999999999999903E-3</v>
      </c>
      <c r="AB73" s="186">
        <f t="shared" si="22"/>
        <v>1.5999999999999903E-3</v>
      </c>
    </row>
    <row r="74" spans="1:28">
      <c r="A74" s="200">
        <v>66</v>
      </c>
      <c r="B74" s="84" t="s">
        <v>118</v>
      </c>
      <c r="C74" s="85" t="s">
        <v>119</v>
      </c>
      <c r="D74" s="171" t="s">
        <v>330</v>
      </c>
      <c r="E74" s="107">
        <v>18172659198.169998</v>
      </c>
      <c r="F74" s="91">
        <f t="shared" si="37"/>
        <v>3.0788958511798457E-3</v>
      </c>
      <c r="G74" s="171" t="s">
        <v>330</v>
      </c>
      <c r="H74" s="98">
        <v>1</v>
      </c>
      <c r="I74" s="171" t="s">
        <v>330</v>
      </c>
      <c r="J74" s="98">
        <v>1</v>
      </c>
      <c r="K74" s="92">
        <v>7926</v>
      </c>
      <c r="L74" s="93">
        <v>0.16850000000000001</v>
      </c>
      <c r="M74" s="93">
        <v>0.16850000000000001</v>
      </c>
      <c r="N74" s="171" t="s">
        <v>330</v>
      </c>
      <c r="O74" s="107">
        <v>18443415427.880001</v>
      </c>
      <c r="P74" s="91">
        <f t="shared" si="49"/>
        <v>3.1247686220960127E-3</v>
      </c>
      <c r="Q74" s="171" t="s">
        <v>330</v>
      </c>
      <c r="R74" s="98">
        <v>1</v>
      </c>
      <c r="S74" s="171" t="s">
        <v>330</v>
      </c>
      <c r="T74" s="98">
        <v>1</v>
      </c>
      <c r="U74" s="92">
        <v>8091</v>
      </c>
      <c r="V74" s="93">
        <v>0.17710000000000001</v>
      </c>
      <c r="W74" s="93">
        <v>0.17710000000000001</v>
      </c>
      <c r="X74" s="187">
        <f t="shared" si="18"/>
        <v>1.489909796675592E-2</v>
      </c>
      <c r="Y74" s="187">
        <f t="shared" si="19"/>
        <v>0</v>
      </c>
      <c r="Z74" s="187">
        <f t="shared" si="20"/>
        <v>2.0817562452687358E-2</v>
      </c>
      <c r="AA74" s="185">
        <f t="shared" si="21"/>
        <v>8.5999999999999965E-3</v>
      </c>
      <c r="AB74" s="186">
        <f t="shared" si="22"/>
        <v>8.5999999999999965E-3</v>
      </c>
    </row>
    <row r="75" spans="1:28">
      <c r="A75" s="200">
        <v>67</v>
      </c>
      <c r="B75" s="84" t="s">
        <v>120</v>
      </c>
      <c r="C75" s="85" t="s">
        <v>121</v>
      </c>
      <c r="D75" s="171" t="s">
        <v>330</v>
      </c>
      <c r="E75" s="107">
        <v>155712789038.66</v>
      </c>
      <c r="F75" s="91">
        <f t="shared" si="37"/>
        <v>2.6381579873299511E-2</v>
      </c>
      <c r="G75" s="171" t="s">
        <v>330</v>
      </c>
      <c r="H75" s="98">
        <v>1</v>
      </c>
      <c r="I75" s="171" t="s">
        <v>330</v>
      </c>
      <c r="J75" s="98">
        <v>1</v>
      </c>
      <c r="K75" s="92">
        <v>8603</v>
      </c>
      <c r="L75" s="93">
        <v>0.15809999999999999</v>
      </c>
      <c r="M75" s="93">
        <v>0.15809999999999999</v>
      </c>
      <c r="N75" s="171" t="s">
        <v>330</v>
      </c>
      <c r="O75" s="107">
        <v>156794839441.63</v>
      </c>
      <c r="P75" s="91">
        <f t="shared" si="49"/>
        <v>2.6564905849984711E-2</v>
      </c>
      <c r="Q75" s="171" t="s">
        <v>330</v>
      </c>
      <c r="R75" s="98">
        <v>1</v>
      </c>
      <c r="S75" s="171" t="s">
        <v>330</v>
      </c>
      <c r="T75" s="98">
        <v>1</v>
      </c>
      <c r="U75" s="92">
        <v>8655</v>
      </c>
      <c r="V75" s="93">
        <v>0.1565</v>
      </c>
      <c r="W75" s="93">
        <v>0.1565</v>
      </c>
      <c r="X75" s="187">
        <f t="shared" si="18"/>
        <v>6.9490143336996702E-3</v>
      </c>
      <c r="Y75" s="187">
        <f t="shared" si="19"/>
        <v>0</v>
      </c>
      <c r="Z75" s="187">
        <f t="shared" si="20"/>
        <v>6.044403115192375E-3</v>
      </c>
      <c r="AA75" s="185">
        <f t="shared" si="21"/>
        <v>-1.5999999999999903E-3</v>
      </c>
      <c r="AB75" s="186">
        <f t="shared" si="22"/>
        <v>-1.5999999999999903E-3</v>
      </c>
    </row>
    <row r="76" spans="1:28">
      <c r="B76" s="99"/>
      <c r="C76" s="100" t="s">
        <v>52</v>
      </c>
      <c r="D76" s="145" t="s">
        <v>330</v>
      </c>
      <c r="E76" s="114">
        <f>SUM(E29:E75)</f>
        <v>5839627786905.6484</v>
      </c>
      <c r="F76" s="102">
        <f>(E76/$E$238)</f>
        <v>0.64754379212550728</v>
      </c>
      <c r="G76" s="171" t="s">
        <v>330</v>
      </c>
      <c r="H76" s="103"/>
      <c r="I76" s="171"/>
      <c r="J76" s="108"/>
      <c r="K76" s="105">
        <f>SUM(K29:K75)</f>
        <v>771265</v>
      </c>
      <c r="L76" s="115"/>
      <c r="M76" s="115"/>
      <c r="N76" s="171"/>
      <c r="O76" s="114">
        <f>SUM(O29:O75)</f>
        <v>5902329950916.0596</v>
      </c>
      <c r="P76" s="102">
        <f>(O76/$O$238)</f>
        <v>0.65105323221017641</v>
      </c>
      <c r="Q76" s="171"/>
      <c r="R76" s="103"/>
      <c r="S76" s="103"/>
      <c r="T76" s="108"/>
      <c r="U76" s="105">
        <f>SUM(U29:U75)</f>
        <v>772196</v>
      </c>
      <c r="V76" s="115"/>
      <c r="W76" s="115"/>
      <c r="X76" s="187">
        <f t="shared" si="18"/>
        <v>1.0737356266269205E-2</v>
      </c>
      <c r="Y76" s="187" t="e">
        <f t="shared" si="19"/>
        <v>#DIV/0!</v>
      </c>
      <c r="Z76" s="187">
        <f t="shared" si="20"/>
        <v>1.2071078034138721E-3</v>
      </c>
      <c r="AA76" s="185">
        <f t="shared" si="21"/>
        <v>0</v>
      </c>
      <c r="AB76" s="186">
        <f t="shared" si="22"/>
        <v>0</v>
      </c>
    </row>
    <row r="77" spans="1:28" ht="3" customHeight="1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</row>
    <row r="78" spans="1:28" ht="15" customHeight="1">
      <c r="A78" s="191"/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</row>
    <row r="79" spans="1:28" ht="17.399999999999999" customHeight="1">
      <c r="A79" s="200">
        <v>68</v>
      </c>
      <c r="B79" s="84" t="s">
        <v>122</v>
      </c>
      <c r="C79" s="85" t="s">
        <v>21</v>
      </c>
      <c r="D79" s="171" t="s">
        <v>330</v>
      </c>
      <c r="E79" s="96">
        <v>1140289098.76</v>
      </c>
      <c r="F79" s="91">
        <f>(E79/$E$117)</f>
        <v>4.8532286275725653E-3</v>
      </c>
      <c r="G79" s="171" t="s">
        <v>330</v>
      </c>
      <c r="H79" s="116">
        <v>1.7765</v>
      </c>
      <c r="I79" s="171" t="s">
        <v>330</v>
      </c>
      <c r="J79" s="116">
        <v>1.7765</v>
      </c>
      <c r="K79" s="92">
        <v>562</v>
      </c>
      <c r="L79" s="93">
        <v>-1.6299999999999999E-3</v>
      </c>
      <c r="M79" s="93">
        <v>6.4199999999999993E-2</v>
      </c>
      <c r="N79" s="171" t="s">
        <v>330</v>
      </c>
      <c r="O79" s="96">
        <v>1141302038.6500001</v>
      </c>
      <c r="P79" s="91">
        <f t="shared" ref="P79:P116" si="50">(O79/$O$117)</f>
        <v>4.8327593592862161E-3</v>
      </c>
      <c r="Q79" s="171" t="s">
        <v>330</v>
      </c>
      <c r="R79" s="116">
        <v>1.7816000000000001</v>
      </c>
      <c r="S79" s="171" t="s">
        <v>330</v>
      </c>
      <c r="T79" s="116">
        <v>1.7765</v>
      </c>
      <c r="U79" s="92">
        <v>563</v>
      </c>
      <c r="V79" s="93">
        <v>3.9300000000000001E-4</v>
      </c>
      <c r="W79" s="93">
        <v>6.7299999999999999E-2</v>
      </c>
      <c r="X79" s="187">
        <f>((O79-E79)/E79)</f>
        <v>8.8831848967215409E-4</v>
      </c>
      <c r="Y79" s="187">
        <f>((T79-J79)/J79)</f>
        <v>0</v>
      </c>
      <c r="Z79" s="187">
        <f>((U79-K79)/K79)</f>
        <v>1.7793594306049821E-3</v>
      </c>
      <c r="AA79" s="185">
        <f>V79-L79</f>
        <v>2.0230000000000001E-3</v>
      </c>
      <c r="AB79" s="186">
        <f>W79-M79</f>
        <v>3.1000000000000055E-3</v>
      </c>
    </row>
    <row r="80" spans="1:28" ht="15" customHeight="1">
      <c r="A80" s="200">
        <v>69</v>
      </c>
      <c r="B80" s="84" t="s">
        <v>123</v>
      </c>
      <c r="C80" s="85" t="s">
        <v>23</v>
      </c>
      <c r="D80" s="171" t="s">
        <v>330</v>
      </c>
      <c r="E80" s="96">
        <v>1200005722.1800001</v>
      </c>
      <c r="F80" s="91">
        <f>(E80/$E$117)</f>
        <v>5.1073908629557458E-3</v>
      </c>
      <c r="G80" s="171" t="s">
        <v>330</v>
      </c>
      <c r="H80" s="116">
        <v>1.3924000000000001</v>
      </c>
      <c r="I80" s="171" t="s">
        <v>330</v>
      </c>
      <c r="J80" s="116">
        <v>1.3924000000000001</v>
      </c>
      <c r="K80" s="92">
        <v>1564</v>
      </c>
      <c r="L80" s="93">
        <v>0.13139999999999999</v>
      </c>
      <c r="M80" s="93">
        <v>0.11650000000000001</v>
      </c>
      <c r="N80" s="171" t="s">
        <v>330</v>
      </c>
      <c r="O80" s="96">
        <v>1304904328.46</v>
      </c>
      <c r="P80" s="91">
        <f t="shared" si="50"/>
        <v>5.525521196648008E-3</v>
      </c>
      <c r="Q80" s="171" t="s">
        <v>330</v>
      </c>
      <c r="R80" s="116">
        <v>1.3958999999999999</v>
      </c>
      <c r="S80" s="171" t="s">
        <v>330</v>
      </c>
      <c r="T80" s="116">
        <v>1.3958999999999999</v>
      </c>
      <c r="U80" s="92">
        <v>1573</v>
      </c>
      <c r="V80" s="93">
        <v>0.13109999999999999</v>
      </c>
      <c r="W80" s="93">
        <v>0.1174</v>
      </c>
      <c r="X80" s="187">
        <f t="shared" ref="X80:X117" si="51">((O80-E80)/E80)</f>
        <v>8.7415088395941212E-2</v>
      </c>
      <c r="Y80" s="187">
        <f t="shared" ref="Y80:Y117" si="52">((T80-J80)/J80)</f>
        <v>2.5136455041653524E-3</v>
      </c>
      <c r="Z80" s="187">
        <f t="shared" ref="Z80:Z117" si="53">((U80-K80)/K80)</f>
        <v>5.7544757033248083E-3</v>
      </c>
      <c r="AA80" s="185">
        <f t="shared" ref="AA80:AA117" si="54">V80-L80</f>
        <v>-2.9999999999999472E-4</v>
      </c>
      <c r="AB80" s="186">
        <f t="shared" ref="AB80:AB117" si="55">W80-M80</f>
        <v>8.9999999999999802E-4</v>
      </c>
    </row>
    <row r="81" spans="1:28" ht="15.6" customHeight="1">
      <c r="A81" s="200">
        <v>70</v>
      </c>
      <c r="B81" s="84" t="s">
        <v>124</v>
      </c>
      <c r="C81" s="85" t="s">
        <v>23</v>
      </c>
      <c r="D81" s="171" t="s">
        <v>330</v>
      </c>
      <c r="E81" s="96">
        <v>681294912.63999999</v>
      </c>
      <c r="F81" s="91">
        <f>(E81/$E$117)</f>
        <v>2.8996856827269574E-3</v>
      </c>
      <c r="G81" s="171" t="s">
        <v>330</v>
      </c>
      <c r="H81" s="116">
        <v>1.2492000000000001</v>
      </c>
      <c r="I81" s="171" t="s">
        <v>330</v>
      </c>
      <c r="J81" s="116">
        <v>1.2492000000000001</v>
      </c>
      <c r="K81" s="92">
        <v>839</v>
      </c>
      <c r="L81" s="93">
        <v>0.12130000000000001</v>
      </c>
      <c r="M81" s="93">
        <v>0.1391</v>
      </c>
      <c r="N81" s="171" t="s">
        <v>330</v>
      </c>
      <c r="O81" s="96">
        <v>680965904.24000001</v>
      </c>
      <c r="P81" s="91">
        <f t="shared" si="50"/>
        <v>2.8834999286984414E-3</v>
      </c>
      <c r="Q81" s="171" t="s">
        <v>330</v>
      </c>
      <c r="R81" s="116">
        <v>1.252</v>
      </c>
      <c r="S81" s="171" t="s">
        <v>330</v>
      </c>
      <c r="T81" s="116">
        <v>1.252</v>
      </c>
      <c r="U81" s="92">
        <v>854</v>
      </c>
      <c r="V81" s="93">
        <v>0.1169</v>
      </c>
      <c r="W81" s="93">
        <v>0.1384</v>
      </c>
      <c r="X81" s="187">
        <f t="shared" si="51"/>
        <v>-4.8291627296184731E-4</v>
      </c>
      <c r="Y81" s="187">
        <f t="shared" si="52"/>
        <v>2.2414345180915094E-3</v>
      </c>
      <c r="Z81" s="187">
        <f t="shared" si="53"/>
        <v>1.7878426698450536E-2</v>
      </c>
      <c r="AA81" s="185">
        <f t="shared" si="54"/>
        <v>-4.4000000000000011E-3</v>
      </c>
      <c r="AB81" s="186">
        <f t="shared" si="55"/>
        <v>-7.0000000000000617E-4</v>
      </c>
    </row>
    <row r="82" spans="1:28" ht="16.2" customHeight="1">
      <c r="A82" s="200">
        <v>71</v>
      </c>
      <c r="B82" s="84" t="s">
        <v>125</v>
      </c>
      <c r="C82" s="85" t="s">
        <v>60</v>
      </c>
      <c r="D82" s="171" t="s">
        <v>330</v>
      </c>
      <c r="E82" s="96">
        <v>331890677.47000003</v>
      </c>
      <c r="F82" s="91">
        <f>(E82/$E$117)</f>
        <v>1.4125727755123216E-3</v>
      </c>
      <c r="G82" s="171" t="s">
        <v>330</v>
      </c>
      <c r="H82" s="95">
        <v>1266.54</v>
      </c>
      <c r="I82" s="171" t="s">
        <v>330</v>
      </c>
      <c r="J82" s="95">
        <v>1266.54</v>
      </c>
      <c r="K82" s="92">
        <v>287</v>
      </c>
      <c r="L82" s="93">
        <v>2.5000000000000001E-3</v>
      </c>
      <c r="M82" s="93">
        <v>8.0500000000000002E-2</v>
      </c>
      <c r="N82" s="171" t="s">
        <v>330</v>
      </c>
      <c r="O82" s="96">
        <v>331696098.89999998</v>
      </c>
      <c r="P82" s="91">
        <f t="shared" si="50"/>
        <v>1.4045426820527139E-3</v>
      </c>
      <c r="Q82" s="171" t="s">
        <v>330</v>
      </c>
      <c r="R82" s="95">
        <v>1265.79</v>
      </c>
      <c r="S82" s="171" t="s">
        <v>330</v>
      </c>
      <c r="T82" s="95">
        <v>1265.79</v>
      </c>
      <c r="U82" s="92">
        <v>287</v>
      </c>
      <c r="V82" s="93">
        <v>1.6000000000000001E-3</v>
      </c>
      <c r="W82" s="93">
        <v>5.5300000000000002E-2</v>
      </c>
      <c r="X82" s="187">
        <f t="shared" si="51"/>
        <v>-5.8627308089315231E-4</v>
      </c>
      <c r="Y82" s="187">
        <f t="shared" si="52"/>
        <v>-5.9216447960585531E-4</v>
      </c>
      <c r="Z82" s="187">
        <f t="shared" si="53"/>
        <v>0</v>
      </c>
      <c r="AA82" s="185">
        <f t="shared" si="54"/>
        <v>-8.9999999999999998E-4</v>
      </c>
      <c r="AB82" s="186">
        <f t="shared" si="55"/>
        <v>-2.52E-2</v>
      </c>
    </row>
    <row r="83" spans="1:28" ht="15" customHeight="1">
      <c r="A83" s="200">
        <v>72</v>
      </c>
      <c r="B83" s="84" t="s">
        <v>126</v>
      </c>
      <c r="C83" s="85" t="s">
        <v>27</v>
      </c>
      <c r="D83" s="171" t="s">
        <v>330</v>
      </c>
      <c r="E83" s="96">
        <v>1808523344.72</v>
      </c>
      <c r="F83" s="91">
        <f>(E83/$O$117)</f>
        <v>7.6580588001240847E-3</v>
      </c>
      <c r="G83" s="171" t="s">
        <v>330</v>
      </c>
      <c r="H83" s="95">
        <v>1.1662999999999999</v>
      </c>
      <c r="I83" s="171" t="s">
        <v>330</v>
      </c>
      <c r="J83" s="95">
        <v>1.1662999999999999</v>
      </c>
      <c r="K83" s="92">
        <v>1081</v>
      </c>
      <c r="L83" s="93">
        <v>3.5000000000000001E-3</v>
      </c>
      <c r="M83" s="93">
        <v>7.4800000000000005E-2</v>
      </c>
      <c r="N83" s="171" t="s">
        <v>330</v>
      </c>
      <c r="O83" s="96">
        <v>1824545163.3499999</v>
      </c>
      <c r="P83" s="91">
        <f t="shared" si="50"/>
        <v>7.7259020101725891E-3</v>
      </c>
      <c r="Q83" s="171" t="s">
        <v>330</v>
      </c>
      <c r="R83" s="95">
        <v>1.1704000000000001</v>
      </c>
      <c r="S83" s="171" t="s">
        <v>330</v>
      </c>
      <c r="T83" s="95">
        <v>1.1704000000000001</v>
      </c>
      <c r="U83" s="92">
        <v>1081</v>
      </c>
      <c r="V83" s="93">
        <v>3.5000000000000001E-3</v>
      </c>
      <c r="W83" s="93">
        <v>7.8399999999999997E-2</v>
      </c>
      <c r="X83" s="187">
        <f t="shared" si="51"/>
        <v>8.8590609995584067E-3</v>
      </c>
      <c r="Y83" s="187">
        <f t="shared" si="52"/>
        <v>3.5153905513163122E-3</v>
      </c>
      <c r="Z83" s="187">
        <f t="shared" si="53"/>
        <v>0</v>
      </c>
      <c r="AA83" s="185">
        <f t="shared" si="54"/>
        <v>0</v>
      </c>
      <c r="AB83" s="186">
        <f t="shared" si="55"/>
        <v>3.5999999999999921E-3</v>
      </c>
    </row>
    <row r="84" spans="1:28" ht="15.6" customHeight="1">
      <c r="A84" s="200">
        <v>73</v>
      </c>
      <c r="B84" s="84" t="s">
        <v>127</v>
      </c>
      <c r="C84" s="85" t="s">
        <v>128</v>
      </c>
      <c r="D84" s="171" t="s">
        <v>330</v>
      </c>
      <c r="E84" s="96">
        <v>507907777.86000001</v>
      </c>
      <c r="F84" s="91">
        <f t="shared" ref="F84:F102" si="56">(E84/$E$117)</f>
        <v>2.1617259784009681E-3</v>
      </c>
      <c r="G84" s="171" t="s">
        <v>330</v>
      </c>
      <c r="H84" s="95">
        <v>2.8925999999999998</v>
      </c>
      <c r="I84" s="171" t="s">
        <v>330</v>
      </c>
      <c r="J84" s="95">
        <v>2.8925999999999998</v>
      </c>
      <c r="K84" s="92">
        <v>1390</v>
      </c>
      <c r="L84" s="93">
        <v>0.13930000000000001</v>
      </c>
      <c r="M84" s="93">
        <v>0.1411</v>
      </c>
      <c r="N84" s="171" t="s">
        <v>330</v>
      </c>
      <c r="O84" s="96">
        <v>507907777.86000001</v>
      </c>
      <c r="P84" s="91">
        <f t="shared" si="50"/>
        <v>2.15069804835416E-3</v>
      </c>
      <c r="Q84" s="171" t="s">
        <v>330</v>
      </c>
      <c r="R84" s="95">
        <v>2.8925999999999998</v>
      </c>
      <c r="S84" s="171" t="s">
        <v>330</v>
      </c>
      <c r="T84" s="95">
        <v>2.8925999999999998</v>
      </c>
      <c r="U84" s="92">
        <v>1390</v>
      </c>
      <c r="V84" s="93">
        <v>0.13930000000000001</v>
      </c>
      <c r="W84" s="93">
        <v>0.1411</v>
      </c>
      <c r="X84" s="187">
        <f t="shared" si="51"/>
        <v>0</v>
      </c>
      <c r="Y84" s="187">
        <f t="shared" si="52"/>
        <v>0</v>
      </c>
      <c r="Z84" s="187">
        <f t="shared" si="53"/>
        <v>0</v>
      </c>
      <c r="AA84" s="185">
        <f t="shared" si="54"/>
        <v>0</v>
      </c>
      <c r="AB84" s="186">
        <f t="shared" si="55"/>
        <v>0</v>
      </c>
    </row>
    <row r="85" spans="1:28" ht="15" customHeight="1">
      <c r="A85" s="200">
        <v>74</v>
      </c>
      <c r="B85" s="85" t="s">
        <v>129</v>
      </c>
      <c r="C85" s="85" t="s">
        <v>130</v>
      </c>
      <c r="D85" s="171" t="s">
        <v>330</v>
      </c>
      <c r="E85" s="96">
        <v>3743936906.0500002</v>
      </c>
      <c r="F85" s="91">
        <f t="shared" si="56"/>
        <v>1.5934714970112722E-2</v>
      </c>
      <c r="G85" s="171" t="s">
        <v>330</v>
      </c>
      <c r="H85" s="95">
        <v>1217.98</v>
      </c>
      <c r="I85" s="171" t="s">
        <v>330</v>
      </c>
      <c r="J85" s="95">
        <v>1217.98</v>
      </c>
      <c r="K85" s="92">
        <v>329</v>
      </c>
      <c r="L85" s="93">
        <v>1.97E-3</v>
      </c>
      <c r="M85" s="93">
        <v>8.8440000000000005E-2</v>
      </c>
      <c r="N85" s="171" t="s">
        <v>330</v>
      </c>
      <c r="O85" s="96">
        <v>4245771027.5900002</v>
      </c>
      <c r="P85" s="91">
        <f t="shared" si="50"/>
        <v>1.7978404467972976E-2</v>
      </c>
      <c r="Q85" s="171" t="s">
        <v>330</v>
      </c>
      <c r="R85" s="95">
        <v>1221.29</v>
      </c>
      <c r="S85" s="171" t="s">
        <v>330</v>
      </c>
      <c r="T85" s="95">
        <v>1221.29</v>
      </c>
      <c r="U85" s="92">
        <v>333</v>
      </c>
      <c r="V85" s="93">
        <v>1.92E-3</v>
      </c>
      <c r="W85" s="93">
        <v>9.1399999999999995E-2</v>
      </c>
      <c r="X85" s="187">
        <f t="shared" ref="X85" si="57">((O85-E85)/E85)</f>
        <v>0.13403915026694577</v>
      </c>
      <c r="Y85" s="187">
        <f t="shared" si="52"/>
        <v>2.717614410745616E-3</v>
      </c>
      <c r="Z85" s="187">
        <f t="shared" ref="Z85" si="58">((U85-K85)/K85)</f>
        <v>1.2158054711246201E-2</v>
      </c>
      <c r="AA85" s="185">
        <f t="shared" si="54"/>
        <v>-4.9999999999999914E-5</v>
      </c>
      <c r="AB85" s="186">
        <f t="shared" si="55"/>
        <v>2.9599999999999904E-3</v>
      </c>
    </row>
    <row r="86" spans="1:28" ht="16.2" customHeight="1">
      <c r="A86" s="203">
        <v>75</v>
      </c>
      <c r="B86" s="84" t="s">
        <v>131</v>
      </c>
      <c r="C86" s="85" t="s">
        <v>65</v>
      </c>
      <c r="D86" s="171" t="s">
        <v>330</v>
      </c>
      <c r="E86" s="96">
        <v>198759108.24000001</v>
      </c>
      <c r="F86" s="91">
        <f t="shared" si="56"/>
        <v>8.4594634391413164E-4</v>
      </c>
      <c r="G86" s="171" t="s">
        <v>330</v>
      </c>
      <c r="H86" s="95">
        <v>12.12</v>
      </c>
      <c r="I86" s="171" t="s">
        <v>330</v>
      </c>
      <c r="J86" s="95">
        <v>12.17</v>
      </c>
      <c r="K86" s="92">
        <v>47</v>
      </c>
      <c r="L86" s="93">
        <v>2.5300000000000001E-3</v>
      </c>
      <c r="M86" s="93">
        <v>0.13239999999999999</v>
      </c>
      <c r="N86" s="171" t="s">
        <v>330</v>
      </c>
      <c r="O86" s="96">
        <v>198518582.99000001</v>
      </c>
      <c r="P86" s="91">
        <f t="shared" si="50"/>
        <v>8.4061230721359833E-4</v>
      </c>
      <c r="Q86" s="171" t="s">
        <v>330</v>
      </c>
      <c r="R86" s="95">
        <v>12.105</v>
      </c>
      <c r="S86" s="171" t="s">
        <v>330</v>
      </c>
      <c r="T86" s="95">
        <v>12.159000000000001</v>
      </c>
      <c r="U86" s="92">
        <v>47</v>
      </c>
      <c r="V86" s="93">
        <v>-2.0600000000000002E-3</v>
      </c>
      <c r="W86" s="93">
        <v>0.1232</v>
      </c>
      <c r="X86" s="187">
        <f t="shared" si="51"/>
        <v>-1.2101344795206453E-3</v>
      </c>
      <c r="Y86" s="187">
        <f t="shared" si="52"/>
        <v>-9.0386195562853187E-4</v>
      </c>
      <c r="Z86" s="187">
        <f t="shared" si="53"/>
        <v>0</v>
      </c>
      <c r="AA86" s="185">
        <f t="shared" si="54"/>
        <v>-4.5900000000000003E-3</v>
      </c>
      <c r="AB86" s="186">
        <f t="shared" si="55"/>
        <v>-9.199999999999986E-3</v>
      </c>
    </row>
    <row r="87" spans="1:28" ht="16.2" customHeight="1">
      <c r="A87" s="200">
        <v>76</v>
      </c>
      <c r="B87" s="84" t="s">
        <v>132</v>
      </c>
      <c r="C87" s="85" t="s">
        <v>67</v>
      </c>
      <c r="D87" s="171" t="s">
        <v>330</v>
      </c>
      <c r="E87" s="96">
        <v>2155534842.8200202</v>
      </c>
      <c r="F87" s="91">
        <f t="shared" si="56"/>
        <v>9.1742553868841923E-3</v>
      </c>
      <c r="G87" s="171" t="s">
        <v>330</v>
      </c>
      <c r="H87" s="96">
        <v>5004.0158390367096</v>
      </c>
      <c r="I87" s="171" t="s">
        <v>330</v>
      </c>
      <c r="J87" s="96">
        <v>5004.0158390367096</v>
      </c>
      <c r="K87" s="92">
        <v>1231</v>
      </c>
      <c r="L87" s="93">
        <v>0.13251259674318</v>
      </c>
      <c r="M87" s="93">
        <v>0.12955569072245801</v>
      </c>
      <c r="N87" s="171" t="s">
        <v>330</v>
      </c>
      <c r="O87" s="96">
        <v>2170228984.7600002</v>
      </c>
      <c r="P87" s="91">
        <f t="shared" si="50"/>
        <v>9.1896746721833369E-3</v>
      </c>
      <c r="Q87" s="171" t="s">
        <v>330</v>
      </c>
      <c r="R87" s="96">
        <v>5015.08</v>
      </c>
      <c r="S87" s="171" t="s">
        <v>330</v>
      </c>
      <c r="T87" s="96">
        <v>5015.08</v>
      </c>
      <c r="U87" s="92">
        <v>1229</v>
      </c>
      <c r="V87" s="93">
        <v>0.1153</v>
      </c>
      <c r="W87" s="93">
        <v>0.12920000000000001</v>
      </c>
      <c r="X87" s="187">
        <f t="shared" si="51"/>
        <v>6.8169354760956374E-3</v>
      </c>
      <c r="Y87" s="187">
        <f t="shared" si="52"/>
        <v>2.2110563433828368E-3</v>
      </c>
      <c r="Z87" s="187">
        <f t="shared" si="53"/>
        <v>-1.6246953696181965E-3</v>
      </c>
      <c r="AA87" s="185">
        <f t="shared" si="54"/>
        <v>-1.721259674318E-2</v>
      </c>
      <c r="AB87" s="186">
        <f t="shared" si="55"/>
        <v>-3.5569072245800193E-4</v>
      </c>
    </row>
    <row r="88" spans="1:28" ht="15.6" customHeight="1">
      <c r="A88" s="200">
        <v>77</v>
      </c>
      <c r="B88" s="84" t="s">
        <v>133</v>
      </c>
      <c r="C88" s="85" t="s">
        <v>69</v>
      </c>
      <c r="D88" s="171" t="s">
        <v>330</v>
      </c>
      <c r="E88" s="96">
        <v>363895329.19999999</v>
      </c>
      <c r="F88" s="91">
        <f t="shared" si="56"/>
        <v>1.5487890141490269E-3</v>
      </c>
      <c r="G88" s="171" t="s">
        <v>330</v>
      </c>
      <c r="H88" s="116">
        <v>113.1</v>
      </c>
      <c r="I88" s="171" t="s">
        <v>330</v>
      </c>
      <c r="J88" s="116">
        <v>113.1</v>
      </c>
      <c r="K88" s="92">
        <v>97</v>
      </c>
      <c r="L88" s="93">
        <v>2.3999999999999998E-3</v>
      </c>
      <c r="M88" s="93">
        <v>0.1202</v>
      </c>
      <c r="N88" s="171" t="s">
        <v>330</v>
      </c>
      <c r="O88" s="96">
        <v>364915887.88999999</v>
      </c>
      <c r="P88" s="91">
        <f t="shared" si="50"/>
        <v>1.5452094299583216E-3</v>
      </c>
      <c r="Q88" s="171" t="s">
        <v>330</v>
      </c>
      <c r="R88" s="116">
        <v>113.36</v>
      </c>
      <c r="S88" s="171" t="s">
        <v>330</v>
      </c>
      <c r="T88" s="116">
        <v>113.36</v>
      </c>
      <c r="U88" s="92">
        <v>97</v>
      </c>
      <c r="V88" s="93">
        <v>2.3E-3</v>
      </c>
      <c r="W88" s="93">
        <v>0.1288</v>
      </c>
      <c r="X88" s="187">
        <f t="shared" si="51"/>
        <v>2.8045391300944396E-3</v>
      </c>
      <c r="Y88" s="187">
        <f t="shared" si="52"/>
        <v>2.2988505747126892E-3</v>
      </c>
      <c r="Z88" s="187">
        <f t="shared" si="53"/>
        <v>0</v>
      </c>
      <c r="AA88" s="185">
        <f t="shared" si="54"/>
        <v>-9.9999999999999829E-5</v>
      </c>
      <c r="AB88" s="186">
        <f t="shared" si="55"/>
        <v>8.5999999999999965E-3</v>
      </c>
    </row>
    <row r="89" spans="1:28" ht="13.5" customHeight="1">
      <c r="A89" s="200">
        <v>78</v>
      </c>
      <c r="B89" s="84" t="s">
        <v>134</v>
      </c>
      <c r="C89" s="85" t="s">
        <v>71</v>
      </c>
      <c r="D89" s="171" t="s">
        <v>330</v>
      </c>
      <c r="E89" s="96">
        <v>1086362756.48</v>
      </c>
      <c r="F89" s="91">
        <f t="shared" si="56"/>
        <v>4.6237106321640542E-3</v>
      </c>
      <c r="G89" s="171" t="s">
        <v>330</v>
      </c>
      <c r="H89" s="116">
        <v>1.5738000000000001</v>
      </c>
      <c r="I89" s="171" t="s">
        <v>330</v>
      </c>
      <c r="J89" s="116">
        <v>1.5738000000000001</v>
      </c>
      <c r="K89" s="92">
        <v>2913</v>
      </c>
      <c r="L89" s="93">
        <v>4.2754131835875953E-3</v>
      </c>
      <c r="M89" s="93">
        <v>8.054904586541678E-2</v>
      </c>
      <c r="N89" s="171" t="s">
        <v>330</v>
      </c>
      <c r="O89" s="96">
        <v>1071955047.11</v>
      </c>
      <c r="P89" s="91">
        <f t="shared" si="50"/>
        <v>4.5391146350555493E-3</v>
      </c>
      <c r="Q89" s="171" t="s">
        <v>330</v>
      </c>
      <c r="R89" s="116">
        <v>1.5829</v>
      </c>
      <c r="S89" s="171" t="s">
        <v>330</v>
      </c>
      <c r="T89" s="116">
        <v>1.5829</v>
      </c>
      <c r="U89" s="92">
        <v>2938</v>
      </c>
      <c r="V89" s="93">
        <v>5.8999999999999999E-3</v>
      </c>
      <c r="W89" s="93">
        <v>8.6599999999999996E-2</v>
      </c>
      <c r="X89" s="187">
        <f t="shared" si="51"/>
        <v>-1.3262337358364008E-2</v>
      </c>
      <c r="Y89" s="187">
        <f t="shared" si="52"/>
        <v>5.7821832507306426E-3</v>
      </c>
      <c r="Z89" s="187">
        <f t="shared" si="53"/>
        <v>8.5822176450394781E-3</v>
      </c>
      <c r="AA89" s="185">
        <f t="shared" si="54"/>
        <v>1.6245868164124046E-3</v>
      </c>
      <c r="AB89" s="186">
        <f t="shared" si="55"/>
        <v>6.0509541345832168E-3</v>
      </c>
    </row>
    <row r="90" spans="1:28" ht="15" customHeight="1">
      <c r="A90" s="200">
        <v>79</v>
      </c>
      <c r="B90" s="84" t="s">
        <v>135</v>
      </c>
      <c r="C90" s="85" t="s">
        <v>71</v>
      </c>
      <c r="D90" s="171" t="s">
        <v>330</v>
      </c>
      <c r="E90" s="96">
        <v>174693126.16</v>
      </c>
      <c r="F90" s="91">
        <f t="shared" si="56"/>
        <v>7.4351818485489363E-4</v>
      </c>
      <c r="G90" s="171" t="s">
        <v>330</v>
      </c>
      <c r="H90" s="116">
        <v>1.0552999999999999</v>
      </c>
      <c r="I90" s="171" t="s">
        <v>330</v>
      </c>
      <c r="J90" s="116">
        <v>1.0552999999999999</v>
      </c>
      <c r="K90" s="92">
        <v>100</v>
      </c>
      <c r="L90" s="93">
        <v>1.1000000000000001E-3</v>
      </c>
      <c r="M90" s="93">
        <v>0.13930000000000001</v>
      </c>
      <c r="N90" s="171" t="s">
        <v>330</v>
      </c>
      <c r="O90" s="96">
        <v>175246063.81999999</v>
      </c>
      <c r="P90" s="91">
        <f t="shared" si="50"/>
        <v>7.4206654016491919E-4</v>
      </c>
      <c r="Q90" s="171" t="s">
        <v>330</v>
      </c>
      <c r="R90" s="116">
        <v>1.0555000000000001</v>
      </c>
      <c r="S90" s="171" t="s">
        <v>330</v>
      </c>
      <c r="T90" s="116">
        <v>1.0555000000000001</v>
      </c>
      <c r="U90" s="92">
        <v>101</v>
      </c>
      <c r="V90" s="93">
        <v>2.0000000000000001E-4</v>
      </c>
      <c r="W90" s="93">
        <v>0.13950000000000001</v>
      </c>
      <c r="X90" s="187">
        <f t="shared" ref="X90" si="59">((O90-E90)/E90)</f>
        <v>3.1651941444654518E-3</v>
      </c>
      <c r="Y90" s="187">
        <f t="shared" ref="Y90" si="60">((T90-J90)/J90)</f>
        <v>1.8951956789557475E-4</v>
      </c>
      <c r="Z90" s="187">
        <f t="shared" ref="Z90" si="61">((U90-K90)/K90)</f>
        <v>0.01</v>
      </c>
      <c r="AA90" s="185">
        <f t="shared" ref="AA90" si="62">V90-L90</f>
        <v>-9.0000000000000008E-4</v>
      </c>
      <c r="AB90" s="186">
        <f t="shared" ref="AB90" si="63">W90-M90</f>
        <v>2.0000000000000573E-4</v>
      </c>
    </row>
    <row r="91" spans="1:28" ht="15.6" customHeight="1">
      <c r="A91" s="200">
        <v>80</v>
      </c>
      <c r="B91" s="84" t="s">
        <v>136</v>
      </c>
      <c r="C91" s="85" t="s">
        <v>29</v>
      </c>
      <c r="D91" s="171" t="s">
        <v>330</v>
      </c>
      <c r="E91" s="96">
        <v>247976365.5</v>
      </c>
      <c r="F91" s="91">
        <f t="shared" si="56"/>
        <v>1.0554218200583701E-3</v>
      </c>
      <c r="G91" s="171" t="s">
        <v>330</v>
      </c>
      <c r="H91" s="116">
        <v>148.68790000000001</v>
      </c>
      <c r="I91" s="171" t="s">
        <v>330</v>
      </c>
      <c r="J91" s="116">
        <v>148.68790000000001</v>
      </c>
      <c r="K91" s="92">
        <v>490</v>
      </c>
      <c r="L91" s="93">
        <v>8.0999999999999996E-4</v>
      </c>
      <c r="M91" s="93">
        <v>0.1099</v>
      </c>
      <c r="N91" s="171" t="s">
        <v>330</v>
      </c>
      <c r="O91" s="96">
        <v>257392763.19999999</v>
      </c>
      <c r="P91" s="91">
        <f t="shared" si="50"/>
        <v>1.0899106837999868E-3</v>
      </c>
      <c r="Q91" s="171" t="s">
        <v>330</v>
      </c>
      <c r="R91" s="116">
        <v>149.1095</v>
      </c>
      <c r="S91" s="171" t="s">
        <v>330</v>
      </c>
      <c r="T91" s="116">
        <v>149.1095</v>
      </c>
      <c r="U91" s="92">
        <v>487</v>
      </c>
      <c r="V91" s="93">
        <v>4.15E-4</v>
      </c>
      <c r="W91" s="93">
        <v>0.1099</v>
      </c>
      <c r="X91" s="187">
        <f t="shared" si="51"/>
        <v>3.7972964403335398E-2</v>
      </c>
      <c r="Y91" s="187">
        <f t="shared" si="52"/>
        <v>2.8354694632178119E-3</v>
      </c>
      <c r="Z91" s="187">
        <f t="shared" si="53"/>
        <v>-6.1224489795918364E-3</v>
      </c>
      <c r="AA91" s="185">
        <f t="shared" si="54"/>
        <v>-3.9499999999999995E-4</v>
      </c>
      <c r="AB91" s="186">
        <f t="shared" si="55"/>
        <v>0</v>
      </c>
    </row>
    <row r="92" spans="1:28" ht="15" customHeight="1">
      <c r="A92" s="200">
        <v>81</v>
      </c>
      <c r="B92" s="84" t="s">
        <v>137</v>
      </c>
      <c r="C92" s="85" t="s">
        <v>73</v>
      </c>
      <c r="D92" s="171" t="s">
        <v>330</v>
      </c>
      <c r="E92" s="96">
        <v>2784795849.9400001</v>
      </c>
      <c r="F92" s="91">
        <f t="shared" si="56"/>
        <v>1.185247754764222E-2</v>
      </c>
      <c r="G92" s="171" t="s">
        <v>330</v>
      </c>
      <c r="H92" s="95">
        <v>1380.91</v>
      </c>
      <c r="I92" s="171" t="s">
        <v>330</v>
      </c>
      <c r="J92" s="95">
        <v>1380.91</v>
      </c>
      <c r="K92" s="92">
        <v>327</v>
      </c>
      <c r="L92" s="93">
        <v>3.5999999999999999E-3</v>
      </c>
      <c r="M92" s="93">
        <v>0.219</v>
      </c>
      <c r="N92" s="171" t="s">
        <v>330</v>
      </c>
      <c r="O92" s="96">
        <v>3028168032.4699998</v>
      </c>
      <c r="P92" s="91">
        <f t="shared" si="50"/>
        <v>1.28225543325246E-2</v>
      </c>
      <c r="Q92" s="171" t="s">
        <v>330</v>
      </c>
      <c r="R92" s="95">
        <v>1388.69</v>
      </c>
      <c r="S92" s="171" t="s">
        <v>330</v>
      </c>
      <c r="T92" s="95">
        <v>1388.69</v>
      </c>
      <c r="U92" s="92">
        <v>328</v>
      </c>
      <c r="V92" s="93">
        <v>5.5999999999999999E-3</v>
      </c>
      <c r="W92" s="93">
        <v>0.21229999999999999</v>
      </c>
      <c r="X92" s="187">
        <f t="shared" si="51"/>
        <v>8.7393186303133613E-2</v>
      </c>
      <c r="Y92" s="187">
        <f t="shared" si="52"/>
        <v>5.633966007922292E-3</v>
      </c>
      <c r="Z92" s="187">
        <f t="shared" si="53"/>
        <v>3.0581039755351682E-3</v>
      </c>
      <c r="AA92" s="185">
        <f t="shared" si="54"/>
        <v>2E-3</v>
      </c>
      <c r="AB92" s="186">
        <f t="shared" si="55"/>
        <v>-6.7000000000000115E-3</v>
      </c>
    </row>
    <row r="93" spans="1:28" ht="14.4" customHeight="1">
      <c r="A93" s="200">
        <v>82</v>
      </c>
      <c r="B93" s="84" t="s">
        <v>138</v>
      </c>
      <c r="C93" s="85" t="s">
        <v>75</v>
      </c>
      <c r="D93" s="171" t="s">
        <v>330</v>
      </c>
      <c r="E93" s="96">
        <v>149210611.16999999</v>
      </c>
      <c r="F93" s="91">
        <f t="shared" si="56"/>
        <v>6.3506106517664546E-4</v>
      </c>
      <c r="G93" s="171" t="s">
        <v>330</v>
      </c>
      <c r="H93" s="95">
        <v>1021.25</v>
      </c>
      <c r="I93" s="171" t="s">
        <v>330</v>
      </c>
      <c r="J93" s="95">
        <v>1035.29</v>
      </c>
      <c r="K93" s="92">
        <v>72</v>
      </c>
      <c r="L93" s="93">
        <v>4.3E-3</v>
      </c>
      <c r="M93" s="93">
        <v>4.9700000000000001E-2</v>
      </c>
      <c r="N93" s="171" t="s">
        <v>330</v>
      </c>
      <c r="O93" s="96">
        <v>149715975.18000001</v>
      </c>
      <c r="P93" s="91">
        <f t="shared" si="50"/>
        <v>6.3396126159702252E-4</v>
      </c>
      <c r="Q93" s="171" t="s">
        <v>330</v>
      </c>
      <c r="R93" s="95">
        <v>1023.02</v>
      </c>
      <c r="S93" s="171" t="s">
        <v>330</v>
      </c>
      <c r="T93" s="95">
        <v>1037.8800000000001</v>
      </c>
      <c r="U93" s="92">
        <v>72</v>
      </c>
      <c r="V93" s="93">
        <v>2.2000000000000001E-3</v>
      </c>
      <c r="W93" s="93">
        <v>5.1999999999999998E-2</v>
      </c>
      <c r="X93" s="187">
        <f t="shared" si="51"/>
        <v>3.3869173649067382E-3</v>
      </c>
      <c r="Y93" s="187">
        <f t="shared" si="52"/>
        <v>2.5017144954555203E-3</v>
      </c>
      <c r="Z93" s="187">
        <f t="shared" si="53"/>
        <v>0</v>
      </c>
      <c r="AA93" s="185">
        <f t="shared" si="54"/>
        <v>-2.0999999999999999E-3</v>
      </c>
      <c r="AB93" s="186">
        <f t="shared" si="55"/>
        <v>2.2999999999999965E-3</v>
      </c>
    </row>
    <row r="94" spans="1:28" ht="15" customHeight="1">
      <c r="A94" s="200">
        <v>83</v>
      </c>
      <c r="B94" s="84" t="s">
        <v>139</v>
      </c>
      <c r="C94" s="85" t="s">
        <v>78</v>
      </c>
      <c r="D94" s="171" t="s">
        <v>330</v>
      </c>
      <c r="E94" s="96">
        <v>764561772.32000005</v>
      </c>
      <c r="F94" s="91">
        <f t="shared" si="56"/>
        <v>3.2540809913960433E-3</v>
      </c>
      <c r="G94" s="171" t="s">
        <v>330</v>
      </c>
      <c r="H94" s="117">
        <v>1.2507999999999999</v>
      </c>
      <c r="I94" s="171" t="s">
        <v>330</v>
      </c>
      <c r="J94" s="117">
        <v>1.2507999999999999</v>
      </c>
      <c r="K94" s="92">
        <v>69</v>
      </c>
      <c r="L94" s="93">
        <v>1.6999999999999999E-3</v>
      </c>
      <c r="M94" s="93">
        <v>0.14269999999999999</v>
      </c>
      <c r="N94" s="171" t="s">
        <v>330</v>
      </c>
      <c r="O94" s="96">
        <v>763413907.13999999</v>
      </c>
      <c r="P94" s="91">
        <f t="shared" si="50"/>
        <v>3.2326199198803936E-3</v>
      </c>
      <c r="Q94" s="171" t="s">
        <v>330</v>
      </c>
      <c r="R94" s="117">
        <v>1.26</v>
      </c>
      <c r="S94" s="171" t="s">
        <v>330</v>
      </c>
      <c r="T94" s="117">
        <v>1.26</v>
      </c>
      <c r="U94" s="92">
        <v>66</v>
      </c>
      <c r="V94" s="93">
        <v>1E-3</v>
      </c>
      <c r="W94" s="93">
        <v>0.14030000000000001</v>
      </c>
      <c r="X94" s="187">
        <f t="shared" si="51"/>
        <v>-1.5013373955605495E-3</v>
      </c>
      <c r="Y94" s="187">
        <f t="shared" si="52"/>
        <v>7.355292612727932E-3</v>
      </c>
      <c r="Z94" s="187">
        <f t="shared" si="53"/>
        <v>-4.3478260869565216E-2</v>
      </c>
      <c r="AA94" s="185">
        <f t="shared" si="54"/>
        <v>-6.9999999999999988E-4</v>
      </c>
      <c r="AB94" s="186">
        <f t="shared" si="55"/>
        <v>-2.3999999999999855E-3</v>
      </c>
    </row>
    <row r="95" spans="1:28" ht="15" customHeight="1">
      <c r="A95" s="200">
        <v>84</v>
      </c>
      <c r="B95" s="84" t="s">
        <v>317</v>
      </c>
      <c r="C95" s="85" t="s">
        <v>38</v>
      </c>
      <c r="D95" s="171" t="s">
        <v>330</v>
      </c>
      <c r="E95" s="96">
        <v>1174276160.01</v>
      </c>
      <c r="F95" s="91">
        <f t="shared" si="56"/>
        <v>4.9978822761998585E-3</v>
      </c>
      <c r="G95" s="171" t="s">
        <v>330</v>
      </c>
      <c r="H95" s="116">
        <v>3.86</v>
      </c>
      <c r="I95" s="171" t="s">
        <v>330</v>
      </c>
      <c r="J95" s="116">
        <v>3.89</v>
      </c>
      <c r="K95" s="110">
        <v>810</v>
      </c>
      <c r="L95" s="111">
        <v>5.8999999999999999E-3</v>
      </c>
      <c r="M95" s="111">
        <v>0.16880000000000001</v>
      </c>
      <c r="N95" s="171" t="s">
        <v>330</v>
      </c>
      <c r="O95" s="96">
        <v>1177458352.9000001</v>
      </c>
      <c r="P95" s="91">
        <f t="shared" si="50"/>
        <v>4.9858606069591522E-3</v>
      </c>
      <c r="Q95" s="171" t="s">
        <v>330</v>
      </c>
      <c r="R95" s="116">
        <v>3.87</v>
      </c>
      <c r="S95" s="171" t="s">
        <v>330</v>
      </c>
      <c r="T95" s="116">
        <v>3.9</v>
      </c>
      <c r="U95" s="110">
        <v>812</v>
      </c>
      <c r="V95" s="111">
        <v>8.6999999999999994E-3</v>
      </c>
      <c r="W95" s="111">
        <v>0.16830000000000001</v>
      </c>
      <c r="X95" s="187">
        <f>((O95-E95)/E95)</f>
        <v>2.7099186702155358E-3</v>
      </c>
      <c r="Y95" s="187">
        <f>((T95-J95)/J95)</f>
        <v>2.5706940874035441E-3</v>
      </c>
      <c r="Z95" s="187">
        <f>((U95-K95)/K95)</f>
        <v>2.4691358024691358E-3</v>
      </c>
      <c r="AA95" s="185">
        <f>V95-L95</f>
        <v>2.7999999999999995E-3</v>
      </c>
      <c r="AB95" s="186">
        <f>W95-M95</f>
        <v>-5.0000000000000044E-4</v>
      </c>
    </row>
    <row r="96" spans="1:28" ht="14.4" customHeight="1">
      <c r="A96" s="200">
        <v>85</v>
      </c>
      <c r="B96" s="84" t="s">
        <v>323</v>
      </c>
      <c r="C96" s="85" t="s">
        <v>79</v>
      </c>
      <c r="D96" s="171" t="s">
        <v>330</v>
      </c>
      <c r="E96" s="117">
        <v>11646394190.459999</v>
      </c>
      <c r="F96" s="91">
        <f t="shared" si="56"/>
        <v>4.9568669694904935E-2</v>
      </c>
      <c r="G96" s="171" t="s">
        <v>330</v>
      </c>
      <c r="H96" s="117">
        <v>1731.58</v>
      </c>
      <c r="I96" s="171" t="s">
        <v>330</v>
      </c>
      <c r="J96" s="117">
        <v>1731.58</v>
      </c>
      <c r="K96" s="92">
        <v>2036</v>
      </c>
      <c r="L96" s="93">
        <v>1.5E-3</v>
      </c>
      <c r="M96" s="93">
        <v>3.9199999999999999E-2</v>
      </c>
      <c r="N96" s="171" t="s">
        <v>330</v>
      </c>
      <c r="O96" s="117">
        <v>11631448769.82</v>
      </c>
      <c r="P96" s="91">
        <f t="shared" si="50"/>
        <v>4.9252512482056574E-2</v>
      </c>
      <c r="Q96" s="171" t="s">
        <v>330</v>
      </c>
      <c r="R96" s="117">
        <v>1734.12</v>
      </c>
      <c r="S96" s="171" t="s">
        <v>330</v>
      </c>
      <c r="T96" s="117">
        <v>1734.12</v>
      </c>
      <c r="U96" s="92">
        <v>2036</v>
      </c>
      <c r="V96" s="93">
        <v>1.5E-3</v>
      </c>
      <c r="W96" s="93">
        <v>4.07E-2</v>
      </c>
      <c r="X96" s="187">
        <f t="shared" si="51"/>
        <v>-1.2832659100824311E-3</v>
      </c>
      <c r="Y96" s="187">
        <f t="shared" si="52"/>
        <v>1.4668684091985146E-3</v>
      </c>
      <c r="Z96" s="187">
        <f t="shared" si="53"/>
        <v>0</v>
      </c>
      <c r="AA96" s="185">
        <f t="shared" si="54"/>
        <v>0</v>
      </c>
      <c r="AB96" s="186">
        <f t="shared" si="55"/>
        <v>1.5000000000000013E-3</v>
      </c>
    </row>
    <row r="97" spans="1:28" ht="13.8" customHeight="1">
      <c r="A97" s="200">
        <v>86</v>
      </c>
      <c r="B97" s="84" t="s">
        <v>140</v>
      </c>
      <c r="C97" s="85" t="s">
        <v>87</v>
      </c>
      <c r="D97" s="171" t="s">
        <v>330</v>
      </c>
      <c r="E97" s="96">
        <v>23800927.98</v>
      </c>
      <c r="F97" s="91">
        <f t="shared" si="56"/>
        <v>1.0130005203149002E-4</v>
      </c>
      <c r="G97" s="171" t="s">
        <v>330</v>
      </c>
      <c r="H97" s="116">
        <v>0.72699999999999998</v>
      </c>
      <c r="I97" s="171" t="s">
        <v>330</v>
      </c>
      <c r="J97" s="116">
        <v>0.72699999999999998</v>
      </c>
      <c r="K97" s="92">
        <v>744</v>
      </c>
      <c r="L97" s="93">
        <v>2.210555402044827E-3</v>
      </c>
      <c r="M97" s="93">
        <v>-3.3E-3</v>
      </c>
      <c r="N97" s="171" t="s">
        <v>330</v>
      </c>
      <c r="O97" s="96">
        <v>23853709.530000001</v>
      </c>
      <c r="P97" s="91">
        <f t="shared" si="50"/>
        <v>1.0100677478957407E-4</v>
      </c>
      <c r="Q97" s="171" t="s">
        <v>330</v>
      </c>
      <c r="R97" s="116">
        <v>0.72860000000000003</v>
      </c>
      <c r="S97" s="171" t="s">
        <v>330</v>
      </c>
      <c r="T97" s="116">
        <v>0.72860000000000003</v>
      </c>
      <c r="U97" s="92">
        <v>744</v>
      </c>
      <c r="V97" s="93">
        <v>2.210555402044827E-3</v>
      </c>
      <c r="W97" s="93">
        <v>-1.1000000000000001E-3</v>
      </c>
      <c r="X97" s="187">
        <f t="shared" si="51"/>
        <v>2.2176257179700415E-3</v>
      </c>
      <c r="Y97" s="187">
        <f t="shared" si="52"/>
        <v>2.2008253094911224E-3</v>
      </c>
      <c r="Z97" s="187">
        <f t="shared" si="53"/>
        <v>0</v>
      </c>
      <c r="AA97" s="185">
        <f t="shared" si="54"/>
        <v>0</v>
      </c>
      <c r="AB97" s="186">
        <f t="shared" si="55"/>
        <v>2.1999999999999997E-3</v>
      </c>
    </row>
    <row r="98" spans="1:28" ht="15.6" customHeight="1">
      <c r="A98" s="200">
        <v>87</v>
      </c>
      <c r="B98" s="84" t="s">
        <v>141</v>
      </c>
      <c r="C98" s="85" t="s">
        <v>35</v>
      </c>
      <c r="D98" s="171" t="s">
        <v>330</v>
      </c>
      <c r="E98" s="96">
        <v>12734391248.030001</v>
      </c>
      <c r="F98" s="91">
        <f t="shared" si="56"/>
        <v>5.4199336139278978E-2</v>
      </c>
      <c r="G98" s="171" t="s">
        <v>330</v>
      </c>
      <c r="H98" s="116">
        <v>1</v>
      </c>
      <c r="I98" s="171" t="s">
        <v>330</v>
      </c>
      <c r="J98" s="116">
        <v>1</v>
      </c>
      <c r="K98" s="92">
        <v>6219</v>
      </c>
      <c r="L98" s="93">
        <v>0.06</v>
      </c>
      <c r="M98" s="93">
        <v>0.06</v>
      </c>
      <c r="N98" s="171" t="s">
        <v>330</v>
      </c>
      <c r="O98" s="96">
        <v>12879930630.99</v>
      </c>
      <c r="P98" s="91">
        <f t="shared" si="50"/>
        <v>5.4539116899766461E-2</v>
      </c>
      <c r="Q98" s="171" t="s">
        <v>330</v>
      </c>
      <c r="R98" s="116">
        <v>1</v>
      </c>
      <c r="S98" s="171" t="s">
        <v>330</v>
      </c>
      <c r="T98" s="116">
        <v>1</v>
      </c>
      <c r="U98" s="92">
        <v>6319</v>
      </c>
      <c r="V98" s="93">
        <v>0.06</v>
      </c>
      <c r="W98" s="93">
        <v>0.06</v>
      </c>
      <c r="X98" s="187">
        <f t="shared" si="51"/>
        <v>1.1428844938505709E-2</v>
      </c>
      <c r="Y98" s="187">
        <f t="shared" si="52"/>
        <v>0</v>
      </c>
      <c r="Z98" s="187">
        <f t="shared" si="53"/>
        <v>1.6079755587715065E-2</v>
      </c>
      <c r="AA98" s="185">
        <f t="shared" si="54"/>
        <v>0</v>
      </c>
      <c r="AB98" s="186">
        <f t="shared" si="55"/>
        <v>0</v>
      </c>
    </row>
    <row r="99" spans="1:28" ht="14.4" customHeight="1">
      <c r="A99" s="200">
        <v>88</v>
      </c>
      <c r="B99" s="84" t="s">
        <v>142</v>
      </c>
      <c r="C99" s="85" t="s">
        <v>143</v>
      </c>
      <c r="D99" s="171" t="s">
        <v>330</v>
      </c>
      <c r="E99" s="96">
        <v>1918106991.3399999</v>
      </c>
      <c r="F99" s="91">
        <f t="shared" si="56"/>
        <v>8.1637295061764547E-3</v>
      </c>
      <c r="G99" s="171" t="s">
        <v>330</v>
      </c>
      <c r="H99" s="96">
        <v>284.86</v>
      </c>
      <c r="I99" s="171" t="s">
        <v>330</v>
      </c>
      <c r="J99" s="96">
        <v>284.86</v>
      </c>
      <c r="K99" s="92">
        <v>584</v>
      </c>
      <c r="L99" s="93">
        <v>3.0000000000000001E-3</v>
      </c>
      <c r="M99" s="93">
        <v>0.16980000000000001</v>
      </c>
      <c r="N99" s="171" t="s">
        <v>330</v>
      </c>
      <c r="O99" s="96">
        <v>1932339753.8900001</v>
      </c>
      <c r="P99" s="91">
        <f t="shared" si="50"/>
        <v>8.182350258463476E-3</v>
      </c>
      <c r="Q99" s="171" t="s">
        <v>330</v>
      </c>
      <c r="R99" s="96">
        <v>287.04000000000002</v>
      </c>
      <c r="S99" s="171" t="s">
        <v>330</v>
      </c>
      <c r="T99" s="96">
        <v>287.04000000000002</v>
      </c>
      <c r="U99" s="92">
        <v>562</v>
      </c>
      <c r="V99" s="93">
        <v>3.0000000000000001E-3</v>
      </c>
      <c r="W99" s="93">
        <v>0.16980000000000001</v>
      </c>
      <c r="X99" s="187">
        <f t="shared" si="51"/>
        <v>7.420213061241754E-3</v>
      </c>
      <c r="Y99" s="187">
        <f t="shared" si="52"/>
        <v>7.6528821175314427E-3</v>
      </c>
      <c r="Z99" s="187">
        <f t="shared" si="53"/>
        <v>-3.7671232876712327E-2</v>
      </c>
      <c r="AA99" s="185">
        <f t="shared" si="54"/>
        <v>0</v>
      </c>
      <c r="AB99" s="186">
        <f t="shared" si="55"/>
        <v>0</v>
      </c>
    </row>
    <row r="100" spans="1:28" ht="13.8" customHeight="1">
      <c r="A100" s="200">
        <v>89</v>
      </c>
      <c r="B100" s="84" t="s">
        <v>144</v>
      </c>
      <c r="C100" s="85" t="s">
        <v>40</v>
      </c>
      <c r="D100" s="171" t="s">
        <v>330</v>
      </c>
      <c r="E100" s="96">
        <v>787080462.07000005</v>
      </c>
      <c r="F100" s="91">
        <f t="shared" si="56"/>
        <v>3.3499236596009484E-3</v>
      </c>
      <c r="G100" s="171" t="s">
        <v>330</v>
      </c>
      <c r="H100" s="116">
        <v>114.88</v>
      </c>
      <c r="I100" s="171" t="s">
        <v>330</v>
      </c>
      <c r="J100" s="116">
        <v>114.88</v>
      </c>
      <c r="K100" s="110">
        <v>259</v>
      </c>
      <c r="L100" s="111">
        <v>0.14929999999999999</v>
      </c>
      <c r="M100" s="111">
        <v>0.17119999999999999</v>
      </c>
      <c r="N100" s="171" t="s">
        <v>330</v>
      </c>
      <c r="O100" s="96">
        <v>788992577.74000001</v>
      </c>
      <c r="P100" s="91">
        <f t="shared" si="50"/>
        <v>3.340930915177019E-3</v>
      </c>
      <c r="Q100" s="171" t="s">
        <v>330</v>
      </c>
      <c r="R100" s="116">
        <v>115.16</v>
      </c>
      <c r="S100" s="171" t="s">
        <v>330</v>
      </c>
      <c r="T100" s="116">
        <v>115.16</v>
      </c>
      <c r="U100" s="110">
        <v>215</v>
      </c>
      <c r="V100" s="111">
        <v>0.14949999999999999</v>
      </c>
      <c r="W100" s="111">
        <v>0.17119999999999999</v>
      </c>
      <c r="X100" s="187">
        <f t="shared" si="51"/>
        <v>2.4293776330962975E-3</v>
      </c>
      <c r="Y100" s="187">
        <f t="shared" si="52"/>
        <v>2.4373259052924891E-3</v>
      </c>
      <c r="Z100" s="187">
        <f t="shared" si="53"/>
        <v>-0.16988416988416988</v>
      </c>
      <c r="AA100" s="185">
        <f t="shared" si="54"/>
        <v>2.0000000000000573E-4</v>
      </c>
      <c r="AB100" s="186">
        <f t="shared" si="55"/>
        <v>0</v>
      </c>
    </row>
    <row r="101" spans="1:28" ht="15.6" customHeight="1">
      <c r="A101" s="200">
        <v>90</v>
      </c>
      <c r="B101" s="85" t="s">
        <v>145</v>
      </c>
      <c r="C101" s="118" t="s">
        <v>44</v>
      </c>
      <c r="D101" s="171" t="s">
        <v>330</v>
      </c>
      <c r="E101" s="96">
        <v>1217545837</v>
      </c>
      <c r="F101" s="91">
        <f t="shared" si="56"/>
        <v>5.1820440254457699E-3</v>
      </c>
      <c r="G101" s="171" t="s">
        <v>330</v>
      </c>
      <c r="H101" s="116">
        <v>116.19</v>
      </c>
      <c r="I101" s="171" t="s">
        <v>330</v>
      </c>
      <c r="J101" s="116">
        <v>116.69</v>
      </c>
      <c r="K101" s="92">
        <v>3687</v>
      </c>
      <c r="L101" s="93">
        <v>2.3999999999999998E-3</v>
      </c>
      <c r="M101" s="93">
        <v>5.1200000000000002E-2</v>
      </c>
      <c r="N101" s="171" t="s">
        <v>330</v>
      </c>
      <c r="O101" s="96">
        <v>1230238375</v>
      </c>
      <c r="P101" s="91">
        <f t="shared" si="50"/>
        <v>5.209353720218482E-3</v>
      </c>
      <c r="Q101" s="171" t="s">
        <v>330</v>
      </c>
      <c r="R101" s="116">
        <v>116.21</v>
      </c>
      <c r="S101" s="171" t="s">
        <v>330</v>
      </c>
      <c r="T101" s="116">
        <v>116.76</v>
      </c>
      <c r="U101" s="92">
        <v>3687</v>
      </c>
      <c r="V101" s="93">
        <v>8.9999999999999998E-4</v>
      </c>
      <c r="W101" s="93">
        <v>5.1700000000000003E-2</v>
      </c>
      <c r="X101" s="187">
        <f t="shared" si="51"/>
        <v>1.0424690072674447E-2</v>
      </c>
      <c r="Y101" s="187">
        <f t="shared" si="52"/>
        <v>5.9988002399526434E-4</v>
      </c>
      <c r="Z101" s="187">
        <f t="shared" si="53"/>
        <v>0</v>
      </c>
      <c r="AA101" s="185">
        <f t="shared" si="54"/>
        <v>-1.4999999999999998E-3</v>
      </c>
      <c r="AB101" s="186">
        <f t="shared" si="55"/>
        <v>5.0000000000000044E-4</v>
      </c>
    </row>
    <row r="102" spans="1:28" ht="13.2" customHeight="1">
      <c r="A102" s="200">
        <v>91</v>
      </c>
      <c r="B102" s="84" t="s">
        <v>146</v>
      </c>
      <c r="C102" s="85" t="s">
        <v>19</v>
      </c>
      <c r="D102" s="171" t="s">
        <v>330</v>
      </c>
      <c r="E102" s="97">
        <v>1755388593.0899999</v>
      </c>
      <c r="F102" s="87">
        <f t="shared" si="56"/>
        <v>7.4711774248854747E-3</v>
      </c>
      <c r="G102" s="171" t="s">
        <v>330</v>
      </c>
      <c r="H102" s="119">
        <v>405.89260000000002</v>
      </c>
      <c r="I102" s="171" t="s">
        <v>330</v>
      </c>
      <c r="J102" s="119">
        <v>405.89260000000002</v>
      </c>
      <c r="K102" s="88">
        <v>96</v>
      </c>
      <c r="L102" s="89">
        <v>2.7000000000000001E-3</v>
      </c>
      <c r="M102" s="89">
        <v>5.5599999999999997E-2</v>
      </c>
      <c r="N102" s="171" t="s">
        <v>330</v>
      </c>
      <c r="O102" s="97">
        <v>1762180833.98</v>
      </c>
      <c r="P102" s="87">
        <f t="shared" si="50"/>
        <v>7.4618248542209714E-3</v>
      </c>
      <c r="Q102" s="171" t="s">
        <v>330</v>
      </c>
      <c r="R102" s="119">
        <v>406.73200000000003</v>
      </c>
      <c r="S102" s="171" t="s">
        <v>330</v>
      </c>
      <c r="T102" s="119">
        <v>406.73200000000003</v>
      </c>
      <c r="U102" s="88">
        <v>96</v>
      </c>
      <c r="V102" s="89">
        <v>2.0999999999999999E-3</v>
      </c>
      <c r="W102" s="89">
        <v>5.7700000000000001E-2</v>
      </c>
      <c r="X102" s="185">
        <f t="shared" si="51"/>
        <v>3.8693659721485171E-3</v>
      </c>
      <c r="Y102" s="185">
        <f t="shared" si="52"/>
        <v>2.068034746137308E-3</v>
      </c>
      <c r="Z102" s="185">
        <f t="shared" si="53"/>
        <v>0</v>
      </c>
      <c r="AA102" s="185">
        <f t="shared" si="54"/>
        <v>-6.0000000000000027E-4</v>
      </c>
      <c r="AB102" s="186">
        <f t="shared" si="55"/>
        <v>2.1000000000000046E-3</v>
      </c>
    </row>
    <row r="103" spans="1:28" ht="14.4" customHeight="1">
      <c r="A103" s="200">
        <v>92</v>
      </c>
      <c r="B103" s="84" t="s">
        <v>147</v>
      </c>
      <c r="C103" s="85" t="s">
        <v>98</v>
      </c>
      <c r="D103" s="171" t="s">
        <v>330</v>
      </c>
      <c r="E103" s="107">
        <v>5697885150</v>
      </c>
      <c r="F103" s="91">
        <f>(E103/$O$76)</f>
        <v>9.6536201760724519E-4</v>
      </c>
      <c r="G103" s="171" t="s">
        <v>330</v>
      </c>
      <c r="H103" s="116">
        <v>105.21</v>
      </c>
      <c r="I103" s="192" t="s">
        <v>330</v>
      </c>
      <c r="J103" s="116">
        <v>105.21</v>
      </c>
      <c r="K103" s="92">
        <v>502</v>
      </c>
      <c r="L103" s="93">
        <v>3.3999999999999998E-3</v>
      </c>
      <c r="M103" s="93">
        <v>0.14319999999999999</v>
      </c>
      <c r="N103" s="171" t="s">
        <v>330</v>
      </c>
      <c r="O103" s="107">
        <v>5700946519</v>
      </c>
      <c r="P103" s="91">
        <f t="shared" si="50"/>
        <v>2.414023782790815E-2</v>
      </c>
      <c r="Q103" s="171" t="s">
        <v>330</v>
      </c>
      <c r="R103" s="116">
        <v>105.32</v>
      </c>
      <c r="S103" s="192" t="s">
        <v>330</v>
      </c>
      <c r="T103" s="116">
        <v>105.32</v>
      </c>
      <c r="U103" s="92">
        <v>502</v>
      </c>
      <c r="V103" s="93">
        <v>1.1000000000000001E-3</v>
      </c>
      <c r="W103" s="93">
        <v>0.1394</v>
      </c>
      <c r="X103" s="187">
        <f t="shared" si="51"/>
        <v>5.3728162632411076E-4</v>
      </c>
      <c r="Y103" s="187">
        <f t="shared" si="52"/>
        <v>1.0455279916357708E-3</v>
      </c>
      <c r="Z103" s="187">
        <f t="shared" si="53"/>
        <v>0</v>
      </c>
      <c r="AA103" s="185">
        <f t="shared" si="54"/>
        <v>-2.3E-3</v>
      </c>
      <c r="AB103" s="186">
        <f t="shared" si="55"/>
        <v>-3.7999999999999978E-3</v>
      </c>
    </row>
    <row r="104" spans="1:28" ht="14.4" customHeight="1">
      <c r="A104" s="200">
        <v>93</v>
      </c>
      <c r="B104" s="84" t="s">
        <v>148</v>
      </c>
      <c r="C104" s="85" t="s">
        <v>42</v>
      </c>
      <c r="D104" s="171" t="s">
        <v>330</v>
      </c>
      <c r="E104" s="96">
        <v>62929207.950000003</v>
      </c>
      <c r="F104" s="91">
        <f t="shared" ref="F104:F116" si="64">(E104/$E$117)</f>
        <v>2.6783544091189067E-4</v>
      </c>
      <c r="G104" s="171" t="s">
        <v>330</v>
      </c>
      <c r="H104" s="96">
        <v>13.06</v>
      </c>
      <c r="I104" s="171" t="s">
        <v>330</v>
      </c>
      <c r="J104" s="96">
        <v>13.38</v>
      </c>
      <c r="K104" s="92">
        <v>54</v>
      </c>
      <c r="L104" s="93">
        <v>0</v>
      </c>
      <c r="M104" s="93">
        <v>0.16850000000000001</v>
      </c>
      <c r="N104" s="171" t="s">
        <v>330</v>
      </c>
      <c r="O104" s="96">
        <v>63066828.640000001</v>
      </c>
      <c r="P104" s="91">
        <f t="shared" si="50"/>
        <v>2.6705183733044053E-4</v>
      </c>
      <c r="Q104" s="171" t="s">
        <v>330</v>
      </c>
      <c r="R104" s="96">
        <v>13.09</v>
      </c>
      <c r="S104" s="171" t="s">
        <v>330</v>
      </c>
      <c r="T104" s="96">
        <v>13.41</v>
      </c>
      <c r="U104" s="92">
        <v>54</v>
      </c>
      <c r="V104" s="93">
        <v>0</v>
      </c>
      <c r="W104" s="93">
        <v>0.12939999999999999</v>
      </c>
      <c r="X104" s="187">
        <f t="shared" si="51"/>
        <v>2.1869127942837491E-3</v>
      </c>
      <c r="Y104" s="187">
        <f t="shared" si="52"/>
        <v>2.2421524663676653E-3</v>
      </c>
      <c r="Z104" s="187">
        <f t="shared" si="53"/>
        <v>0</v>
      </c>
      <c r="AA104" s="185">
        <f t="shared" si="54"/>
        <v>0</v>
      </c>
      <c r="AB104" s="186">
        <f t="shared" si="55"/>
        <v>-3.9100000000000024E-2</v>
      </c>
    </row>
    <row r="105" spans="1:28" ht="13.8" customHeight="1">
      <c r="A105" s="200">
        <v>94</v>
      </c>
      <c r="B105" s="84" t="s">
        <v>149</v>
      </c>
      <c r="C105" s="85" t="s">
        <v>150</v>
      </c>
      <c r="D105" s="171" t="s">
        <v>330</v>
      </c>
      <c r="E105" s="96">
        <v>1052992482.11</v>
      </c>
      <c r="F105" s="91">
        <f t="shared" si="64"/>
        <v>4.4816821140816216E-3</v>
      </c>
      <c r="G105" s="171" t="s">
        <v>330</v>
      </c>
      <c r="H105" s="96">
        <v>164.42</v>
      </c>
      <c r="I105" s="171" t="s">
        <v>330</v>
      </c>
      <c r="J105" s="96">
        <v>164.42</v>
      </c>
      <c r="K105" s="92">
        <v>191</v>
      </c>
      <c r="L105" s="93">
        <v>0.2278</v>
      </c>
      <c r="M105" s="93">
        <v>0.17780000000000001</v>
      </c>
      <c r="N105" s="171" t="s">
        <v>330</v>
      </c>
      <c r="O105" s="96">
        <v>1052992482.11</v>
      </c>
      <c r="P105" s="91">
        <f t="shared" si="50"/>
        <v>4.4588190512605506E-3</v>
      </c>
      <c r="Q105" s="171" t="s">
        <v>330</v>
      </c>
      <c r="R105" s="96">
        <v>164.42</v>
      </c>
      <c r="S105" s="171" t="s">
        <v>330</v>
      </c>
      <c r="T105" s="96">
        <v>164.42</v>
      </c>
      <c r="U105" s="92">
        <v>191</v>
      </c>
      <c r="V105" s="93">
        <v>0.2278</v>
      </c>
      <c r="W105" s="93">
        <v>0.17780000000000001</v>
      </c>
      <c r="X105" s="187">
        <f t="shared" si="51"/>
        <v>0</v>
      </c>
      <c r="Y105" s="187">
        <f t="shared" si="52"/>
        <v>0</v>
      </c>
      <c r="Z105" s="187">
        <f t="shared" si="53"/>
        <v>0</v>
      </c>
      <c r="AA105" s="185">
        <f t="shared" si="54"/>
        <v>0</v>
      </c>
      <c r="AB105" s="186">
        <f t="shared" si="55"/>
        <v>0</v>
      </c>
    </row>
    <row r="106" spans="1:28" ht="14.4" customHeight="1">
      <c r="A106" s="200">
        <v>95</v>
      </c>
      <c r="B106" s="84" t="s">
        <v>151</v>
      </c>
      <c r="C106" s="85" t="s">
        <v>152</v>
      </c>
      <c r="D106" s="171" t="s">
        <v>330</v>
      </c>
      <c r="E106" s="96">
        <v>12420026355.85</v>
      </c>
      <c r="F106" s="91">
        <f t="shared" si="64"/>
        <v>5.2861355537788673E-2</v>
      </c>
      <c r="G106" s="171" t="s">
        <v>330</v>
      </c>
      <c r="H106" s="96">
        <v>1.06</v>
      </c>
      <c r="I106" s="171" t="s">
        <v>330</v>
      </c>
      <c r="J106" s="96">
        <v>1.06</v>
      </c>
      <c r="K106" s="92">
        <v>5419</v>
      </c>
      <c r="L106" s="93">
        <v>0.1605</v>
      </c>
      <c r="M106" s="93">
        <v>0.1605</v>
      </c>
      <c r="N106" s="171" t="s">
        <v>330</v>
      </c>
      <c r="O106" s="96">
        <v>12521217750.99</v>
      </c>
      <c r="P106" s="91">
        <f t="shared" si="50"/>
        <v>5.3020173649505488E-2</v>
      </c>
      <c r="Q106" s="171" t="s">
        <v>330</v>
      </c>
      <c r="R106" s="96">
        <v>1.06</v>
      </c>
      <c r="S106" s="171" t="s">
        <v>330</v>
      </c>
      <c r="T106" s="96">
        <v>1.06</v>
      </c>
      <c r="U106" s="92">
        <v>5431</v>
      </c>
      <c r="V106" s="93">
        <v>0.16039999999999999</v>
      </c>
      <c r="W106" s="93">
        <v>0.16039999999999999</v>
      </c>
      <c r="X106" s="187">
        <f t="shared" si="51"/>
        <v>8.147438036018086E-3</v>
      </c>
      <c r="Y106" s="187">
        <f t="shared" si="52"/>
        <v>0</v>
      </c>
      <c r="Z106" s="187">
        <f t="shared" si="53"/>
        <v>2.2144307067724672E-3</v>
      </c>
      <c r="AA106" s="185">
        <f t="shared" si="54"/>
        <v>-1.0000000000001674E-4</v>
      </c>
      <c r="AB106" s="186">
        <f t="shared" si="55"/>
        <v>-1.0000000000001674E-4</v>
      </c>
    </row>
    <row r="107" spans="1:28" ht="13.5" customHeight="1">
      <c r="A107" s="200">
        <v>96</v>
      </c>
      <c r="B107" s="84" t="s">
        <v>153</v>
      </c>
      <c r="C107" s="85" t="s">
        <v>46</v>
      </c>
      <c r="D107" s="171" t="s">
        <v>330</v>
      </c>
      <c r="E107" s="96">
        <v>15574796672.75</v>
      </c>
      <c r="F107" s="91">
        <f t="shared" si="64"/>
        <v>6.6288495753410226E-2</v>
      </c>
      <c r="G107" s="171" t="s">
        <v>330</v>
      </c>
      <c r="H107" s="116">
        <v>259.25</v>
      </c>
      <c r="I107" s="171" t="s">
        <v>330</v>
      </c>
      <c r="J107" s="116">
        <v>259.25</v>
      </c>
      <c r="K107" s="92">
        <v>5892</v>
      </c>
      <c r="L107" s="93">
        <v>3.8E-3</v>
      </c>
      <c r="M107" s="93">
        <v>3.8E-3</v>
      </c>
      <c r="N107" s="171" t="s">
        <v>330</v>
      </c>
      <c r="O107" s="96">
        <v>15570841379.98</v>
      </c>
      <c r="P107" s="91">
        <f t="shared" si="50"/>
        <v>6.5933580124039534E-2</v>
      </c>
      <c r="Q107" s="171" t="s">
        <v>330</v>
      </c>
      <c r="R107" s="116">
        <v>259.25</v>
      </c>
      <c r="S107" s="171" t="s">
        <v>330</v>
      </c>
      <c r="T107" s="116">
        <v>259.25</v>
      </c>
      <c r="U107" s="92">
        <v>5893</v>
      </c>
      <c r="V107" s="93">
        <v>0</v>
      </c>
      <c r="W107" s="93">
        <v>0</v>
      </c>
      <c r="X107" s="187">
        <f t="shared" si="51"/>
        <v>-2.5395469700870789E-4</v>
      </c>
      <c r="Y107" s="187">
        <f t="shared" si="52"/>
        <v>0</v>
      </c>
      <c r="Z107" s="187">
        <f t="shared" si="53"/>
        <v>1.6972165648336727E-4</v>
      </c>
      <c r="AA107" s="185">
        <f t="shared" si="54"/>
        <v>-3.8E-3</v>
      </c>
      <c r="AB107" s="186">
        <f t="shared" si="55"/>
        <v>-3.8E-3</v>
      </c>
    </row>
    <row r="108" spans="1:28" ht="13.5" customHeight="1">
      <c r="A108" s="200">
        <v>97</v>
      </c>
      <c r="B108" s="84" t="s">
        <v>154</v>
      </c>
      <c r="C108" s="85" t="s">
        <v>46</v>
      </c>
      <c r="D108" s="171" t="s">
        <v>330</v>
      </c>
      <c r="E108" s="96">
        <v>1469989237.55</v>
      </c>
      <c r="F108" s="91">
        <f t="shared" si="64"/>
        <v>6.2564781665099319E-3</v>
      </c>
      <c r="G108" s="171" t="s">
        <v>330</v>
      </c>
      <c r="H108" s="95">
        <v>11005.29</v>
      </c>
      <c r="I108" s="171" t="s">
        <v>330</v>
      </c>
      <c r="J108" s="95">
        <v>11048.96</v>
      </c>
      <c r="K108" s="92">
        <v>33</v>
      </c>
      <c r="L108" s="93">
        <v>5.0000000000000001E-4</v>
      </c>
      <c r="M108" s="93">
        <v>0.17249999999999999</v>
      </c>
      <c r="N108" s="171" t="s">
        <v>330</v>
      </c>
      <c r="O108" s="96">
        <v>1461425779.51</v>
      </c>
      <c r="P108" s="91">
        <f t="shared" si="50"/>
        <v>6.1882997441968209E-3</v>
      </c>
      <c r="Q108" s="171" t="s">
        <v>330</v>
      </c>
      <c r="R108" s="95">
        <v>10964.32</v>
      </c>
      <c r="S108" s="171" t="s">
        <v>330</v>
      </c>
      <c r="T108" s="95">
        <v>11006.89</v>
      </c>
      <c r="U108" s="92">
        <v>33</v>
      </c>
      <c r="V108" s="93">
        <v>-3.8E-3</v>
      </c>
      <c r="W108" s="93">
        <v>0.16800000000000001</v>
      </c>
      <c r="X108" s="187">
        <f t="shared" si="51"/>
        <v>-5.8255243108259053E-3</v>
      </c>
      <c r="Y108" s="187">
        <f t="shared" si="52"/>
        <v>-3.8075981811862575E-3</v>
      </c>
      <c r="Z108" s="187">
        <f t="shared" si="53"/>
        <v>0</v>
      </c>
      <c r="AA108" s="185">
        <f t="shared" si="54"/>
        <v>-4.3E-3</v>
      </c>
      <c r="AB108" s="186">
        <f t="shared" si="55"/>
        <v>-4.4999999999999762E-3</v>
      </c>
    </row>
    <row r="109" spans="1:28" ht="15" customHeight="1">
      <c r="A109" s="200">
        <v>98</v>
      </c>
      <c r="B109" s="84" t="s">
        <v>155</v>
      </c>
      <c r="C109" s="85" t="s">
        <v>46</v>
      </c>
      <c r="D109" s="171" t="s">
        <v>330</v>
      </c>
      <c r="E109" s="96">
        <v>5757804053.1999998</v>
      </c>
      <c r="F109" s="91">
        <f t="shared" si="64"/>
        <v>2.4506012986821538E-2</v>
      </c>
      <c r="G109" s="171" t="s">
        <v>330</v>
      </c>
      <c r="H109" s="116">
        <v>173.35</v>
      </c>
      <c r="I109" s="171" t="s">
        <v>330</v>
      </c>
      <c r="J109" s="116">
        <v>173.35</v>
      </c>
      <c r="K109" s="92">
        <v>6416</v>
      </c>
      <c r="L109" s="93">
        <v>2.8E-3</v>
      </c>
      <c r="M109" s="93">
        <v>0.18090000000000001</v>
      </c>
      <c r="N109" s="171" t="s">
        <v>330</v>
      </c>
      <c r="O109" s="96">
        <v>5831855430.46</v>
      </c>
      <c r="P109" s="91">
        <f t="shared" si="50"/>
        <v>2.4694561964418608E-2</v>
      </c>
      <c r="Q109" s="171" t="s">
        <v>330</v>
      </c>
      <c r="R109" s="116">
        <v>173.73</v>
      </c>
      <c r="S109" s="171" t="s">
        <v>330</v>
      </c>
      <c r="T109" s="116">
        <v>173.73</v>
      </c>
      <c r="U109" s="92">
        <v>6507</v>
      </c>
      <c r="V109" s="93">
        <v>2.2000000000000001E-3</v>
      </c>
      <c r="W109" s="93">
        <v>0.17829999999999999</v>
      </c>
      <c r="X109" s="187">
        <f t="shared" si="51"/>
        <v>1.2861045040052185E-2</v>
      </c>
      <c r="Y109" s="187">
        <f t="shared" si="52"/>
        <v>2.1920969137582662E-3</v>
      </c>
      <c r="Z109" s="187">
        <f t="shared" si="53"/>
        <v>1.4183291770573566E-2</v>
      </c>
      <c r="AA109" s="185">
        <f t="shared" si="54"/>
        <v>-5.9999999999999984E-4</v>
      </c>
      <c r="AB109" s="186">
        <f t="shared" si="55"/>
        <v>-2.600000000000019E-3</v>
      </c>
    </row>
    <row r="110" spans="1:28" ht="15" customHeight="1">
      <c r="A110" s="200">
        <v>99</v>
      </c>
      <c r="B110" s="84" t="s">
        <v>156</v>
      </c>
      <c r="C110" s="85" t="s">
        <v>46</v>
      </c>
      <c r="D110" s="171" t="s">
        <v>330</v>
      </c>
      <c r="E110" s="96">
        <v>5555936704</v>
      </c>
      <c r="F110" s="91">
        <f t="shared" si="64"/>
        <v>2.364683753809103E-2</v>
      </c>
      <c r="G110" s="171" t="s">
        <v>330</v>
      </c>
      <c r="H110" s="116">
        <v>389.29</v>
      </c>
      <c r="I110" s="171" t="s">
        <v>330</v>
      </c>
      <c r="J110" s="116">
        <v>389.29</v>
      </c>
      <c r="K110" s="92">
        <v>12362</v>
      </c>
      <c r="L110" s="93">
        <v>1.6000000000000001E-3</v>
      </c>
      <c r="M110" s="93">
        <v>1.0500000000000001E-2</v>
      </c>
      <c r="N110" s="171" t="s">
        <v>330</v>
      </c>
      <c r="O110" s="96">
        <v>5538537427.1499996</v>
      </c>
      <c r="P110" s="91">
        <f t="shared" si="50"/>
        <v>2.3452528499359443E-2</v>
      </c>
      <c r="Q110" s="171" t="s">
        <v>330</v>
      </c>
      <c r="R110" s="116">
        <v>390.13</v>
      </c>
      <c r="S110" s="171" t="s">
        <v>330</v>
      </c>
      <c r="T110" s="116">
        <v>390.13</v>
      </c>
      <c r="U110" s="92">
        <v>12497</v>
      </c>
      <c r="V110" s="93">
        <v>2.2000000000000001E-3</v>
      </c>
      <c r="W110" s="93">
        <v>1.2699999999999999E-2</v>
      </c>
      <c r="X110" s="187">
        <f t="shared" si="51"/>
        <v>-3.1316549804236899E-3</v>
      </c>
      <c r="Y110" s="187">
        <f t="shared" si="52"/>
        <v>2.1577744098229467E-3</v>
      </c>
      <c r="Z110" s="187">
        <f t="shared" si="53"/>
        <v>1.0920563015693253E-2</v>
      </c>
      <c r="AA110" s="185">
        <f t="shared" si="54"/>
        <v>6.0000000000000006E-4</v>
      </c>
      <c r="AB110" s="186">
        <f t="shared" si="55"/>
        <v>2.1999999999999988E-3</v>
      </c>
    </row>
    <row r="111" spans="1:28" ht="15" customHeight="1">
      <c r="A111" s="200">
        <v>100</v>
      </c>
      <c r="B111" s="84" t="s">
        <v>157</v>
      </c>
      <c r="C111" s="85" t="s">
        <v>112</v>
      </c>
      <c r="D111" s="171" t="s">
        <v>330</v>
      </c>
      <c r="E111" s="96">
        <v>114895500.38</v>
      </c>
      <c r="F111" s="91">
        <f t="shared" si="64"/>
        <v>4.8901119218789724E-4</v>
      </c>
      <c r="G111" s="171" t="s">
        <v>330</v>
      </c>
      <c r="H111" s="116">
        <v>119.345</v>
      </c>
      <c r="I111" s="171" t="s">
        <v>330</v>
      </c>
      <c r="J111" s="116">
        <v>119.345</v>
      </c>
      <c r="K111" s="92">
        <v>28</v>
      </c>
      <c r="L111" s="93">
        <v>2.2369999999999998E-3</v>
      </c>
      <c r="M111" s="93">
        <v>0.1326</v>
      </c>
      <c r="N111" s="171" t="s">
        <v>330</v>
      </c>
      <c r="O111" s="96">
        <v>116228608.76000001</v>
      </c>
      <c r="P111" s="91">
        <f t="shared" si="50"/>
        <v>4.9216147678674427E-4</v>
      </c>
      <c r="Q111" s="171" t="s">
        <v>330</v>
      </c>
      <c r="R111" s="116">
        <v>119.652</v>
      </c>
      <c r="S111" s="171" t="s">
        <v>330</v>
      </c>
      <c r="T111" s="116">
        <v>119.652</v>
      </c>
      <c r="U111" s="92">
        <v>28</v>
      </c>
      <c r="V111" s="93">
        <v>3.0027000000000001E-3</v>
      </c>
      <c r="W111" s="93">
        <v>0.13300000000000001</v>
      </c>
      <c r="X111" s="187">
        <f t="shared" ref="X111" si="65">((O111-E111)/E111)</f>
        <v>1.1602790149230822E-2</v>
      </c>
      <c r="Y111" s="187">
        <f t="shared" ref="Y111" si="66">((T111-J111)/J111)</f>
        <v>2.5723742092253732E-3</v>
      </c>
      <c r="Z111" s="187">
        <f t="shared" ref="Z111" si="67">((U111-K111)/K111)</f>
        <v>0</v>
      </c>
      <c r="AA111" s="185">
        <f t="shared" ref="AA111" si="68">V111-L111</f>
        <v>7.6570000000000023E-4</v>
      </c>
      <c r="AB111" s="186">
        <f t="shared" ref="AB111" si="69">W111-M111</f>
        <v>4.0000000000001146E-4</v>
      </c>
    </row>
    <row r="112" spans="1:28" ht="13.8" customHeight="1">
      <c r="A112" s="200">
        <v>101</v>
      </c>
      <c r="B112" s="84" t="s">
        <v>158</v>
      </c>
      <c r="C112" s="85" t="s">
        <v>49</v>
      </c>
      <c r="D112" s="171" t="s">
        <v>330</v>
      </c>
      <c r="E112" s="96">
        <v>77930066254.190002</v>
      </c>
      <c r="F112" s="91">
        <f t="shared" si="64"/>
        <v>0.33168117533066505</v>
      </c>
      <c r="G112" s="171" t="s">
        <v>330</v>
      </c>
      <c r="H112" s="96">
        <v>2.0423900000000001</v>
      </c>
      <c r="I112" s="171" t="s">
        <v>330</v>
      </c>
      <c r="J112" s="96">
        <v>2.0423900000000001</v>
      </c>
      <c r="K112" s="92">
        <v>7087</v>
      </c>
      <c r="L112" s="93">
        <v>1.4E-3</v>
      </c>
      <c r="M112" s="93">
        <v>8.6099999999999996E-2</v>
      </c>
      <c r="N112" s="171" t="s">
        <v>330</v>
      </c>
      <c r="O112" s="96">
        <v>77930066254.190002</v>
      </c>
      <c r="P112" s="91">
        <f t="shared" si="50"/>
        <v>0.32998912146447834</v>
      </c>
      <c r="Q112" s="171" t="s">
        <v>330</v>
      </c>
      <c r="R112" s="96">
        <v>2.0423900000000001</v>
      </c>
      <c r="S112" s="171" t="s">
        <v>330</v>
      </c>
      <c r="T112" s="96">
        <v>2.0423900000000001</v>
      </c>
      <c r="U112" s="92">
        <v>7087</v>
      </c>
      <c r="V112" s="93">
        <v>1.4E-3</v>
      </c>
      <c r="W112" s="93">
        <v>8.6099999999999996E-2</v>
      </c>
      <c r="X112" s="187">
        <f t="shared" si="51"/>
        <v>0</v>
      </c>
      <c r="Y112" s="187">
        <f t="shared" si="52"/>
        <v>0</v>
      </c>
      <c r="Z112" s="187">
        <f t="shared" si="53"/>
        <v>0</v>
      </c>
      <c r="AA112" s="185">
        <f t="shared" si="54"/>
        <v>0</v>
      </c>
      <c r="AB112" s="186">
        <f t="shared" si="55"/>
        <v>0</v>
      </c>
    </row>
    <row r="113" spans="1:34" ht="12.6" customHeight="1">
      <c r="A113" s="200">
        <v>102</v>
      </c>
      <c r="B113" s="84" t="s">
        <v>159</v>
      </c>
      <c r="C113" s="85" t="s">
        <v>49</v>
      </c>
      <c r="D113" s="171" t="s">
        <v>330</v>
      </c>
      <c r="E113" s="96">
        <v>58019402052.709999</v>
      </c>
      <c r="F113" s="91">
        <f t="shared" si="64"/>
        <v>0.24693862574241787</v>
      </c>
      <c r="G113" s="171" t="s">
        <v>330</v>
      </c>
      <c r="H113" s="96">
        <v>136.34957</v>
      </c>
      <c r="I113" s="171" t="s">
        <v>330</v>
      </c>
      <c r="J113" s="96">
        <v>136.34957</v>
      </c>
      <c r="K113" s="92">
        <v>1630</v>
      </c>
      <c r="L113" s="93">
        <v>2.5999999999999999E-3</v>
      </c>
      <c r="M113" s="93">
        <v>0.1535</v>
      </c>
      <c r="N113" s="171" t="s">
        <v>330</v>
      </c>
      <c r="O113" s="96">
        <v>58019402052.709999</v>
      </c>
      <c r="P113" s="91">
        <f t="shared" si="50"/>
        <v>0.24567888148354716</v>
      </c>
      <c r="Q113" s="171" t="s">
        <v>330</v>
      </c>
      <c r="R113" s="96">
        <v>136.34957</v>
      </c>
      <c r="S113" s="171" t="s">
        <v>330</v>
      </c>
      <c r="T113" s="96">
        <v>136.34957</v>
      </c>
      <c r="U113" s="92">
        <v>1630</v>
      </c>
      <c r="V113" s="93">
        <v>2.5999999999999999E-3</v>
      </c>
      <c r="W113" s="93">
        <v>0.1535</v>
      </c>
      <c r="X113" s="187">
        <f t="shared" ref="X113:X115" si="70">((O113-E113)/E113)</f>
        <v>0</v>
      </c>
      <c r="Y113" s="187">
        <f t="shared" ref="Y113:Y115" si="71">((T113-J113)/J113)</f>
        <v>0</v>
      </c>
      <c r="Z113" s="187">
        <f t="shared" ref="Z113:Z115" si="72">((U113-K113)/K113)</f>
        <v>0</v>
      </c>
      <c r="AA113" s="185">
        <f t="shared" ref="AA113:AA115" si="73">V113-L113</f>
        <v>0</v>
      </c>
      <c r="AB113" s="186">
        <f t="shared" ref="AB113:AB115" si="74">W113-M113</f>
        <v>0</v>
      </c>
      <c r="AD113" s="50"/>
    </row>
    <row r="114" spans="1:34" ht="15" customHeight="1">
      <c r="A114" s="200">
        <v>103</v>
      </c>
      <c r="B114" s="84" t="s">
        <v>160</v>
      </c>
      <c r="C114" s="84" t="s">
        <v>161</v>
      </c>
      <c r="D114" s="171" t="s">
        <v>330</v>
      </c>
      <c r="E114" s="96">
        <v>118275538.90000001</v>
      </c>
      <c r="F114" s="91">
        <f t="shared" si="64"/>
        <v>5.0339710513348324E-4</v>
      </c>
      <c r="G114" s="171" t="s">
        <v>330</v>
      </c>
      <c r="H114" s="96">
        <v>119.43</v>
      </c>
      <c r="I114" s="171" t="s">
        <v>330</v>
      </c>
      <c r="J114" s="96">
        <v>119.43</v>
      </c>
      <c r="K114" s="120">
        <v>89</v>
      </c>
      <c r="L114" s="121">
        <v>1.5055245773718346E-3</v>
      </c>
      <c r="M114" s="121">
        <v>1.9148588975057113E-2</v>
      </c>
      <c r="N114" s="171" t="s">
        <v>330</v>
      </c>
      <c r="O114" s="96">
        <v>118918891.29000001</v>
      </c>
      <c r="P114" s="91">
        <f t="shared" si="50"/>
        <v>5.0355327986400904E-4</v>
      </c>
      <c r="Q114" s="171" t="s">
        <v>330</v>
      </c>
      <c r="R114" s="96">
        <v>119.81</v>
      </c>
      <c r="S114" s="171" t="s">
        <v>330</v>
      </c>
      <c r="T114" s="96">
        <v>119.81</v>
      </c>
      <c r="U114" s="120">
        <v>88</v>
      </c>
      <c r="V114" s="121">
        <v>2.9999999999999997E-4</v>
      </c>
      <c r="W114" s="121">
        <v>2.7E-2</v>
      </c>
      <c r="X114" s="187">
        <f t="shared" si="70"/>
        <v>5.4394374017094462E-3</v>
      </c>
      <c r="Y114" s="187">
        <f t="shared" si="71"/>
        <v>3.1817801222473034E-3</v>
      </c>
      <c r="Z114" s="187">
        <f t="shared" si="72"/>
        <v>-1.1235955056179775E-2</v>
      </c>
      <c r="AA114" s="185">
        <f t="shared" si="73"/>
        <v>-1.2055245773718347E-3</v>
      </c>
      <c r="AB114" s="186">
        <f t="shared" si="74"/>
        <v>7.8514110249428871E-3</v>
      </c>
      <c r="AD114" s="41"/>
    </row>
    <row r="115" spans="1:34" ht="15.6" customHeight="1">
      <c r="A115" s="200">
        <v>104</v>
      </c>
      <c r="B115" s="84" t="s">
        <v>162</v>
      </c>
      <c r="C115" s="85" t="s">
        <v>119</v>
      </c>
      <c r="D115" s="171" t="s">
        <v>330</v>
      </c>
      <c r="E115" s="96">
        <v>517141418.08999997</v>
      </c>
      <c r="F115" s="91">
        <f t="shared" si="64"/>
        <v>2.2010256324533246E-3</v>
      </c>
      <c r="G115" s="171" t="s">
        <v>330</v>
      </c>
      <c r="H115" s="96">
        <v>1.45</v>
      </c>
      <c r="I115" s="171" t="s">
        <v>330</v>
      </c>
      <c r="J115" s="96">
        <v>1.45</v>
      </c>
      <c r="K115" s="92">
        <v>925</v>
      </c>
      <c r="L115" s="93">
        <v>2E-3</v>
      </c>
      <c r="M115" s="93">
        <v>5.7299999999999997E-2</v>
      </c>
      <c r="N115" s="171" t="s">
        <v>330</v>
      </c>
      <c r="O115" s="96">
        <v>516092849.45999998</v>
      </c>
      <c r="P115" s="91">
        <f t="shared" si="50"/>
        <v>2.1853571307370472E-3</v>
      </c>
      <c r="Q115" s="171" t="s">
        <v>330</v>
      </c>
      <c r="R115" s="96">
        <v>1.46</v>
      </c>
      <c r="S115" s="171" t="s">
        <v>330</v>
      </c>
      <c r="T115" s="96">
        <v>1.46</v>
      </c>
      <c r="U115" s="92">
        <v>931</v>
      </c>
      <c r="V115" s="93">
        <v>2E-3</v>
      </c>
      <c r="W115" s="93">
        <v>6.0199999999999997E-2</v>
      </c>
      <c r="X115" s="187">
        <f t="shared" si="70"/>
        <v>-2.0276245400586133E-3</v>
      </c>
      <c r="Y115" s="187">
        <f t="shared" si="71"/>
        <v>6.896551724137937E-3</v>
      </c>
      <c r="Z115" s="187">
        <f t="shared" si="72"/>
        <v>6.4864864864864862E-3</v>
      </c>
      <c r="AA115" s="185">
        <f t="shared" si="73"/>
        <v>0</v>
      </c>
      <c r="AB115" s="186">
        <f t="shared" si="74"/>
        <v>2.8999999999999998E-3</v>
      </c>
    </row>
    <row r="116" spans="1:34" ht="16.8" customHeight="1">
      <c r="A116" s="200">
        <v>105</v>
      </c>
      <c r="B116" s="84" t="s">
        <v>163</v>
      </c>
      <c r="C116" s="85" t="s">
        <v>121</v>
      </c>
      <c r="D116" s="171" t="s">
        <v>330</v>
      </c>
      <c r="E116" s="96">
        <v>2065982614.28</v>
      </c>
      <c r="F116" s="91">
        <f t="shared" si="64"/>
        <v>8.7931086762070773E-3</v>
      </c>
      <c r="G116" s="171" t="s">
        <v>330</v>
      </c>
      <c r="H116" s="116">
        <v>31.8093</v>
      </c>
      <c r="I116" s="171" t="s">
        <v>330</v>
      </c>
      <c r="J116" s="116">
        <v>31.8093</v>
      </c>
      <c r="K116" s="92">
        <v>1343</v>
      </c>
      <c r="L116" s="93">
        <v>0.1469</v>
      </c>
      <c r="M116" s="93">
        <v>0.1469</v>
      </c>
      <c r="N116" s="171" t="s">
        <v>330</v>
      </c>
      <c r="O116" s="96">
        <v>2074818139.23</v>
      </c>
      <c r="P116" s="91">
        <f t="shared" si="50"/>
        <v>8.7856644793531079E-3</v>
      </c>
      <c r="Q116" s="171" t="s">
        <v>330</v>
      </c>
      <c r="R116" s="116">
        <v>31.8856</v>
      </c>
      <c r="S116" s="171" t="s">
        <v>330</v>
      </c>
      <c r="T116" s="116">
        <v>31.8856</v>
      </c>
      <c r="U116" s="92">
        <v>1351</v>
      </c>
      <c r="V116" s="93">
        <v>0.14660000000000001</v>
      </c>
      <c r="W116" s="93">
        <v>0.14660000000000001</v>
      </c>
      <c r="X116" s="187">
        <f t="shared" si="51"/>
        <v>4.2766695561372138E-3</v>
      </c>
      <c r="Y116" s="187">
        <f t="shared" si="52"/>
        <v>2.3986695714775181E-3</v>
      </c>
      <c r="Z116" s="187">
        <f t="shared" si="53"/>
        <v>5.956813104988831E-3</v>
      </c>
      <c r="AA116" s="185">
        <f t="shared" si="54"/>
        <v>-2.9999999999999472E-4</v>
      </c>
      <c r="AB116" s="186">
        <f t="shared" si="55"/>
        <v>-2.9999999999999472E-4</v>
      </c>
    </row>
    <row r="117" spans="1:34">
      <c r="B117" s="99"/>
      <c r="C117" s="100" t="s">
        <v>52</v>
      </c>
      <c r="D117" s="145" t="s">
        <v>330</v>
      </c>
      <c r="E117" s="114">
        <f>SUM(E79:E116)</f>
        <v>234954745853.45001</v>
      </c>
      <c r="F117" s="102">
        <f>(E117/$E$238)</f>
        <v>2.6053627501564942E-2</v>
      </c>
      <c r="G117" s="171" t="s">
        <v>330</v>
      </c>
      <c r="H117" s="103"/>
      <c r="I117" s="171" t="s">
        <v>330</v>
      </c>
      <c r="J117" s="108"/>
      <c r="K117" s="105">
        <f>SUM(K79:K116)</f>
        <v>67804</v>
      </c>
      <c r="L117" s="111"/>
      <c r="M117" s="111"/>
      <c r="N117" s="171" t="s">
        <v>330</v>
      </c>
      <c r="O117" s="114">
        <f>SUM(O79:O116)</f>
        <v>236159500980.94</v>
      </c>
      <c r="P117" s="102">
        <f>(O117/$O$238)</f>
        <v>2.6049442797910757E-2</v>
      </c>
      <c r="Q117" s="173"/>
      <c r="R117" s="103"/>
      <c r="S117" s="103"/>
      <c r="T117" s="108"/>
      <c r="U117" s="105">
        <f>SUM(U79:U116)</f>
        <v>68140</v>
      </c>
      <c r="V117" s="111"/>
      <c r="W117" s="111"/>
      <c r="X117" s="187">
        <f t="shared" si="51"/>
        <v>5.1276049909689449E-3</v>
      </c>
      <c r="Y117" s="187" t="e">
        <f t="shared" si="52"/>
        <v>#DIV/0!</v>
      </c>
      <c r="Z117" s="187">
        <f t="shared" si="53"/>
        <v>4.9554598548758183E-3</v>
      </c>
      <c r="AA117" s="185">
        <f t="shared" si="54"/>
        <v>0</v>
      </c>
      <c r="AB117" s="186">
        <f t="shared" si="55"/>
        <v>0</v>
      </c>
    </row>
    <row r="118" spans="1:34" ht="3.75" customHeight="1"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</row>
    <row r="119" spans="1:34" ht="15" customHeight="1">
      <c r="A119" s="191"/>
      <c r="B119" s="212" t="s">
        <v>164</v>
      </c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</row>
    <row r="120" spans="1:34">
      <c r="A120" s="195"/>
      <c r="B120" s="214" t="s">
        <v>338</v>
      </c>
      <c r="C120" s="214"/>
      <c r="D120" s="214"/>
      <c r="E120" s="214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F120" s="23"/>
      <c r="AH120" s="25"/>
    </row>
    <row r="121" spans="1:34" ht="16.5" customHeight="1">
      <c r="A121" s="200">
        <v>106</v>
      </c>
      <c r="B121" s="84" t="s">
        <v>165</v>
      </c>
      <c r="C121" s="85" t="s">
        <v>19</v>
      </c>
      <c r="D121" s="189">
        <v>2744286.22</v>
      </c>
      <c r="E121" s="96">
        <v>3768603400.9029903</v>
      </c>
      <c r="F121" s="91">
        <f t="shared" ref="F121:F126" si="75">(E121/$E$161)</f>
        <v>2.0486734263914451E-3</v>
      </c>
      <c r="G121" s="174">
        <v>118.36660000000001</v>
      </c>
      <c r="H121" s="96">
        <v>162547.46609970002</v>
      </c>
      <c r="I121" s="174">
        <v>118.36660000000001</v>
      </c>
      <c r="J121" s="96">
        <v>162547.46609970002</v>
      </c>
      <c r="K121" s="92">
        <v>190</v>
      </c>
      <c r="L121" s="93">
        <v>1.6999999999999999E-3</v>
      </c>
      <c r="M121" s="93">
        <v>3.3399999999999999E-2</v>
      </c>
      <c r="N121" s="174">
        <v>2765146.62</v>
      </c>
      <c r="O121" s="96">
        <f>N121*C269</f>
        <v>3766716737.0674257</v>
      </c>
      <c r="P121" s="91">
        <f t="shared" ref="P121:P138" si="76">(O121/$O$161)</f>
        <v>2.0589721471020888E-3</v>
      </c>
      <c r="Q121" s="174">
        <v>118.75920000000001</v>
      </c>
      <c r="R121" s="122">
        <f>Q121*C269</f>
        <v>161775.24297816001</v>
      </c>
      <c r="S121" s="174">
        <v>118.75920000000001</v>
      </c>
      <c r="T121" s="96">
        <f>S121*C269</f>
        <v>161775.24297816001</v>
      </c>
      <c r="U121" s="92">
        <v>190</v>
      </c>
      <c r="V121" s="93">
        <v>3.3E-3</v>
      </c>
      <c r="W121" s="93">
        <v>3.6799999999999999E-2</v>
      </c>
      <c r="X121" s="187">
        <f>((O121-E121)/E121)</f>
        <v>-5.0062679323394771E-4</v>
      </c>
      <c r="Y121" s="187">
        <f>((T121-J121)/J121)</f>
        <v>-4.7507545953768323E-3</v>
      </c>
      <c r="Z121" s="187">
        <f>((U121-K121)/K121)</f>
        <v>0</v>
      </c>
      <c r="AA121" s="187">
        <f>V121-L121</f>
        <v>1.6000000000000001E-3</v>
      </c>
      <c r="AB121" s="188">
        <f>W121-M121</f>
        <v>3.4000000000000002E-3</v>
      </c>
      <c r="AD121" s="23"/>
      <c r="AE121" s="26"/>
      <c r="AF121" s="23"/>
      <c r="AG121" s="27"/>
    </row>
    <row r="122" spans="1:34" ht="16.5" customHeight="1">
      <c r="A122" s="200">
        <v>107</v>
      </c>
      <c r="B122" s="84" t="s">
        <v>166</v>
      </c>
      <c r="C122" s="85" t="s">
        <v>56</v>
      </c>
      <c r="D122" s="189">
        <v>3933561.45</v>
      </c>
      <c r="E122" s="96">
        <v>5401780962.2390251</v>
      </c>
      <c r="F122" s="91">
        <f t="shared" si="75"/>
        <v>2.9364950182538905E-3</v>
      </c>
      <c r="G122" s="174">
        <v>106.27</v>
      </c>
      <c r="H122" s="96">
        <v>145935.75571500001</v>
      </c>
      <c r="I122" s="174">
        <v>106.27</v>
      </c>
      <c r="J122" s="96">
        <v>145935.75571500001</v>
      </c>
      <c r="K122" s="92">
        <v>112</v>
      </c>
      <c r="L122" s="93">
        <v>1.7470000000000001E-3</v>
      </c>
      <c r="M122" s="93">
        <v>6.2715000000000007E-2</v>
      </c>
      <c r="N122" s="174">
        <v>3975770.16</v>
      </c>
      <c r="O122" s="96">
        <f>3975770.16*C269</f>
        <v>5415843013.9249678</v>
      </c>
      <c r="P122" s="91">
        <f t="shared" si="76"/>
        <v>2.9604216874111419E-3</v>
      </c>
      <c r="Q122" s="174">
        <v>106.63</v>
      </c>
      <c r="R122" s="96">
        <f>106.63*C269</f>
        <v>145252.69754899997</v>
      </c>
      <c r="S122" s="174">
        <v>106.63</v>
      </c>
      <c r="T122" s="96">
        <f>106.63*C269</f>
        <v>145252.69754899997</v>
      </c>
      <c r="U122" s="92">
        <v>113</v>
      </c>
      <c r="V122" s="93">
        <v>3.555E-3</v>
      </c>
      <c r="W122" s="93">
        <v>6.6269999999999996E-2</v>
      </c>
      <c r="X122" s="187">
        <f>((O122-E122)/E122)</f>
        <v>2.6032250815505049E-3</v>
      </c>
      <c r="Y122" s="185">
        <f>((T122-J122)/J122)</f>
        <v>-4.6805401640841572E-3</v>
      </c>
      <c r="Z122" s="185">
        <f>((U122-K122)/K122)</f>
        <v>8.9285714285714281E-3</v>
      </c>
      <c r="AA122" s="185">
        <f>V122-L122</f>
        <v>1.8079999999999999E-3</v>
      </c>
      <c r="AB122" s="186">
        <f>W122-M122</f>
        <v>3.5549999999999887E-3</v>
      </c>
      <c r="AD122" s="23"/>
      <c r="AE122" s="26"/>
      <c r="AF122" s="23"/>
      <c r="AG122" s="27"/>
    </row>
    <row r="123" spans="1:34">
      <c r="A123" s="200">
        <v>108</v>
      </c>
      <c r="B123" s="84" t="s">
        <v>167</v>
      </c>
      <c r="C123" s="85" t="s">
        <v>23</v>
      </c>
      <c r="D123" s="189">
        <v>12941402.300000001</v>
      </c>
      <c r="E123" s="96">
        <v>17756099611.30809</v>
      </c>
      <c r="F123" s="91">
        <f t="shared" si="75"/>
        <v>9.6525013540374755E-3</v>
      </c>
      <c r="G123" s="174">
        <v>1.2345999999999999</v>
      </c>
      <c r="H123" s="96">
        <v>1693.9184851799998</v>
      </c>
      <c r="I123" s="174">
        <v>1.2345999999999999</v>
      </c>
      <c r="J123" s="96">
        <v>1693.9184851799998</v>
      </c>
      <c r="K123" s="92">
        <v>343</v>
      </c>
      <c r="L123" s="93">
        <v>0.12280000000000001</v>
      </c>
      <c r="M123" s="93">
        <v>5.5399999999999998E-2</v>
      </c>
      <c r="N123" s="174">
        <v>12670467.85</v>
      </c>
      <c r="O123" s="96">
        <f>12670467.85*1361.2771</f>
        <v>17248017730.491234</v>
      </c>
      <c r="P123" s="91">
        <f t="shared" si="76"/>
        <v>9.4281546977841493E-3</v>
      </c>
      <c r="Q123" s="174">
        <v>1.2352000000000001</v>
      </c>
      <c r="R123" s="96">
        <f>1.2352*1361.2771</f>
        <v>1681.4494739200002</v>
      </c>
      <c r="S123" s="174">
        <v>1.2352000000000001</v>
      </c>
      <c r="T123" s="96">
        <f>1.2352*1361.2771</f>
        <v>1681.4494739200002</v>
      </c>
      <c r="U123" s="92">
        <v>346</v>
      </c>
      <c r="V123" s="93">
        <v>2.53E-2</v>
      </c>
      <c r="W123" s="93">
        <v>5.4100000000000002E-2</v>
      </c>
      <c r="X123" s="185">
        <f t="shared" ref="X123:X136" si="77">((O123-E123)/E123)</f>
        <v>-2.8614498225346802E-2</v>
      </c>
      <c r="Y123" s="185">
        <f t="shared" ref="Y123:Y136" si="78">((T123-J123)/J123)</f>
        <v>-7.3610456282816195E-3</v>
      </c>
      <c r="Z123" s="185">
        <f t="shared" ref="Z123:Z136" si="79">((U123-K123)/K123)</f>
        <v>8.7463556851311956E-3</v>
      </c>
      <c r="AA123" s="185">
        <f t="shared" ref="AA123:AA136" si="80">V123-L123</f>
        <v>-9.7500000000000003E-2</v>
      </c>
      <c r="AB123" s="186">
        <f t="shared" ref="AB123:AB136" si="81">W123-M123</f>
        <v>-1.2999999999999956E-3</v>
      </c>
    </row>
    <row r="124" spans="1:34">
      <c r="A124" s="200">
        <v>109</v>
      </c>
      <c r="B124" s="84" t="s">
        <v>168</v>
      </c>
      <c r="C124" s="85" t="s">
        <v>23</v>
      </c>
      <c r="D124" s="189">
        <v>3126022.53</v>
      </c>
      <c r="E124" s="96">
        <v>4289022637.8228984</v>
      </c>
      <c r="F124" s="91">
        <f t="shared" si="75"/>
        <v>2.3315816944796354E-3</v>
      </c>
      <c r="G124" s="174">
        <v>1.0650999999999999</v>
      </c>
      <c r="H124" s="96">
        <v>1461.3579933299998</v>
      </c>
      <c r="I124" s="174">
        <v>1.0650999999999999</v>
      </c>
      <c r="J124" s="96">
        <v>1461.3579933299998</v>
      </c>
      <c r="K124" s="92">
        <v>124</v>
      </c>
      <c r="L124" s="93">
        <v>5.8799999999999998E-2</v>
      </c>
      <c r="M124" s="93">
        <v>4.8599999999999997E-2</v>
      </c>
      <c r="N124" s="174">
        <v>3131621.29</v>
      </c>
      <c r="O124" s="96">
        <f>3131621.29*1361.2771</f>
        <v>4263004347.9494591</v>
      </c>
      <c r="P124" s="91">
        <f t="shared" si="76"/>
        <v>2.3302541253040123E-3</v>
      </c>
      <c r="Q124" s="174">
        <v>1.0662</v>
      </c>
      <c r="R124" s="96">
        <f>1.0662*1361.2771</f>
        <v>1451.39364402</v>
      </c>
      <c r="S124" s="174">
        <v>1.0662</v>
      </c>
      <c r="T124" s="96">
        <f>1.0662*1361.2771</f>
        <v>1451.39364402</v>
      </c>
      <c r="U124" s="92">
        <v>127</v>
      </c>
      <c r="V124" s="93">
        <v>5.3900000000000003E-2</v>
      </c>
      <c r="W124" s="93">
        <v>4.8800000000000003E-2</v>
      </c>
      <c r="X124" s="185">
        <f t="shared" si="77"/>
        <v>-6.0662514681074659E-3</v>
      </c>
      <c r="Y124" s="185">
        <f t="shared" ref="Y124" si="82">((T124-J124)/J124)</f>
        <v>-6.8185546289680713E-3</v>
      </c>
      <c r="Z124" s="185">
        <f t="shared" ref="Z124" si="83">((U124-K124)/K124)</f>
        <v>2.4193548387096774E-2</v>
      </c>
      <c r="AA124" s="185">
        <f t="shared" ref="AA124" si="84">V124-L124</f>
        <v>-4.8999999999999946E-3</v>
      </c>
      <c r="AB124" s="186">
        <f t="shared" ref="AB124" si="85">W124-M124</f>
        <v>2.0000000000000573E-4</v>
      </c>
    </row>
    <row r="125" spans="1:34">
      <c r="A125" s="200">
        <v>110</v>
      </c>
      <c r="B125" s="84" t="s">
        <v>169</v>
      </c>
      <c r="C125" s="85" t="s">
        <v>27</v>
      </c>
      <c r="D125" s="189">
        <v>35912821.490000002</v>
      </c>
      <c r="E125" s="96">
        <v>49317443718.839211</v>
      </c>
      <c r="F125" s="91">
        <f t="shared" si="75"/>
        <v>2.6809755672388511E-2</v>
      </c>
      <c r="G125" s="174">
        <v>1.2966</v>
      </c>
      <c r="H125" s="96">
        <v>1780.5617846999999</v>
      </c>
      <c r="I125" s="174">
        <v>1.2966</v>
      </c>
      <c r="J125" s="96">
        <v>1780.5617846999999</v>
      </c>
      <c r="K125" s="92">
        <v>653</v>
      </c>
      <c r="L125" s="93">
        <v>1.52E-2</v>
      </c>
      <c r="M125" s="93">
        <v>6.8699999999999997E-2</v>
      </c>
      <c r="N125" s="174">
        <v>36105084.770000003</v>
      </c>
      <c r="O125" s="96">
        <f>36105084.77*C269</f>
        <v>49182790566.236671</v>
      </c>
      <c r="P125" s="91">
        <f t="shared" si="76"/>
        <v>2.6884420295293358E-2</v>
      </c>
      <c r="Q125" s="174">
        <v>1.3005</v>
      </c>
      <c r="R125" s="96">
        <f>1.3005*C269</f>
        <v>1771.5570961499998</v>
      </c>
      <c r="S125" s="174">
        <v>1.3005</v>
      </c>
      <c r="T125" s="96">
        <f>1.3005*C269</f>
        <v>1771.5570961499998</v>
      </c>
      <c r="U125" s="92">
        <v>651</v>
      </c>
      <c r="V125" s="93">
        <v>3.0000000000000001E-3</v>
      </c>
      <c r="W125" s="93">
        <v>7.17E-2</v>
      </c>
      <c r="X125" s="185">
        <f t="shared" si="77"/>
        <v>-2.7303352008713642E-3</v>
      </c>
      <c r="Y125" s="185">
        <f t="shared" ref="Y125:Z128" si="86">((T125-J125)/J125)</f>
        <v>-5.0572176867859989E-3</v>
      </c>
      <c r="Z125" s="185">
        <f t="shared" si="86"/>
        <v>-3.0627871362940277E-3</v>
      </c>
      <c r="AA125" s="185">
        <f t="shared" si="80"/>
        <v>-1.2199999999999999E-2</v>
      </c>
      <c r="AB125" s="186">
        <f t="shared" si="81"/>
        <v>3.0000000000000027E-3</v>
      </c>
    </row>
    <row r="126" spans="1:34">
      <c r="A126" s="203">
        <v>111</v>
      </c>
      <c r="B126" s="84" t="s">
        <v>170</v>
      </c>
      <c r="C126" s="85" t="s">
        <v>65</v>
      </c>
      <c r="D126" s="189">
        <v>1000772.29</v>
      </c>
      <c r="E126" s="96">
        <v>1374315050.7178051</v>
      </c>
      <c r="F126" s="91">
        <f t="shared" si="75"/>
        <v>7.4709976730922515E-4</v>
      </c>
      <c r="G126" s="174">
        <v>1.1051</v>
      </c>
      <c r="H126" s="96">
        <v>1517.5835479499999</v>
      </c>
      <c r="I126" s="174">
        <v>1.111</v>
      </c>
      <c r="J126" s="96">
        <v>1525.6857494999999</v>
      </c>
      <c r="K126" s="92">
        <v>77</v>
      </c>
      <c r="L126" s="93">
        <v>1.2800000000000001E-3</v>
      </c>
      <c r="M126" s="93">
        <v>6.59E-2</v>
      </c>
      <c r="N126" s="174">
        <v>989392.53</v>
      </c>
      <c r="O126" s="96">
        <f>N126*C269</f>
        <v>1347762673.894119</v>
      </c>
      <c r="P126" s="91">
        <f t="shared" si="76"/>
        <v>7.3671741204843163E-4</v>
      </c>
      <c r="Q126" s="174">
        <v>1.1056999999999999</v>
      </c>
      <c r="R126" s="96">
        <f>Q126*C269</f>
        <v>1506.1981401099997</v>
      </c>
      <c r="S126" s="96">
        <v>1.111</v>
      </c>
      <c r="T126" s="96">
        <f>S126*C269</f>
        <v>1513.4178652999999</v>
      </c>
      <c r="U126" s="92">
        <v>78</v>
      </c>
      <c r="V126" s="93">
        <v>5.0000000000000001E-4</v>
      </c>
      <c r="W126" s="93">
        <v>6.4199999999999993E-2</v>
      </c>
      <c r="X126" s="185">
        <f t="shared" si="77"/>
        <v>-1.9320443889352598E-2</v>
      </c>
      <c r="Y126" s="185">
        <f t="shared" si="86"/>
        <v>-8.0408984641958375E-3</v>
      </c>
      <c r="Z126" s="185">
        <f t="shared" si="86"/>
        <v>1.2987012987012988E-2</v>
      </c>
      <c r="AA126" s="185">
        <f t="shared" si="80"/>
        <v>-7.8000000000000009E-4</v>
      </c>
      <c r="AB126" s="186">
        <f t="shared" si="81"/>
        <v>-1.7000000000000071E-3</v>
      </c>
    </row>
    <row r="127" spans="1:34">
      <c r="A127" s="200">
        <v>112</v>
      </c>
      <c r="B127" s="84" t="s">
        <v>171</v>
      </c>
      <c r="C127" s="85" t="s">
        <v>29</v>
      </c>
      <c r="D127" s="189">
        <v>766961.03</v>
      </c>
      <c r="E127" s="96">
        <v>1053232685.772135</v>
      </c>
      <c r="F127" s="91">
        <v>0</v>
      </c>
      <c r="G127" s="174">
        <v>1.5245</v>
      </c>
      <c r="H127" s="96">
        <v>2093.52648525</v>
      </c>
      <c r="I127" s="174">
        <v>1.5245</v>
      </c>
      <c r="J127" s="96">
        <v>2093.52648525</v>
      </c>
      <c r="K127" s="92">
        <v>80</v>
      </c>
      <c r="L127" s="93">
        <v>3.4900000000000003E-4</v>
      </c>
      <c r="M127" s="93">
        <v>7.9799999999999996E-2</v>
      </c>
      <c r="N127" s="174">
        <v>704999.16</v>
      </c>
      <c r="O127" s="96">
        <f>704999.16*C269</f>
        <v>960358527.24166799</v>
      </c>
      <c r="P127" s="91">
        <f t="shared" si="76"/>
        <v>5.2495358606711757E-4</v>
      </c>
      <c r="Q127" s="174">
        <v>1.5246</v>
      </c>
      <c r="R127" s="96">
        <f>1.5246*C269</f>
        <v>2076.8288725799998</v>
      </c>
      <c r="S127" s="174">
        <v>1.5246</v>
      </c>
      <c r="T127" s="96">
        <f>1.5246*C269</f>
        <v>2076.8288725799998</v>
      </c>
      <c r="U127" s="92">
        <v>81</v>
      </c>
      <c r="V127" s="93">
        <v>6.6000000000000005E-5</v>
      </c>
      <c r="W127" s="93">
        <v>7.9799999999999996E-2</v>
      </c>
      <c r="X127" s="185">
        <f t="shared" si="77"/>
        <v>-8.818009522974507E-2</v>
      </c>
      <c r="Y127" s="185">
        <f t="shared" si="86"/>
        <v>-7.9758306320190497E-3</v>
      </c>
      <c r="Z127" s="185">
        <f t="shared" si="86"/>
        <v>1.2500000000000001E-2</v>
      </c>
      <c r="AA127" s="185">
        <f t="shared" si="80"/>
        <v>-2.8300000000000005E-4</v>
      </c>
      <c r="AB127" s="186">
        <f t="shared" si="81"/>
        <v>0</v>
      </c>
    </row>
    <row r="128" spans="1:34">
      <c r="A128" s="200">
        <v>113</v>
      </c>
      <c r="B128" s="84" t="s">
        <v>172</v>
      </c>
      <c r="C128" s="85" t="s">
        <v>75</v>
      </c>
      <c r="D128" s="189">
        <v>2960279.05</v>
      </c>
      <c r="E128" s="96">
        <v>4065216526.6682248</v>
      </c>
      <c r="F128" s="91">
        <f t="shared" ref="F128:F138" si="87">(E128/$E$161)</f>
        <v>2.209917092553965E-3</v>
      </c>
      <c r="G128" s="174">
        <v>110.92</v>
      </c>
      <c r="H128" s="96">
        <v>152321.38914000001</v>
      </c>
      <c r="I128" s="174">
        <v>111.31</v>
      </c>
      <c r="J128" s="96">
        <v>152856.95839499999</v>
      </c>
      <c r="K128" s="92">
        <v>84</v>
      </c>
      <c r="L128" s="93">
        <v>4.4000000000000003E-3</v>
      </c>
      <c r="M128" s="93">
        <v>3.4799999999999998E-2</v>
      </c>
      <c r="N128" s="174">
        <v>2960279.05</v>
      </c>
      <c r="O128" s="96">
        <f>2960279.05*C269</f>
        <v>4032528533.3423147</v>
      </c>
      <c r="P128" s="91">
        <f t="shared" si="76"/>
        <v>2.2042708576516033E-3</v>
      </c>
      <c r="Q128" s="174">
        <v>111.24</v>
      </c>
      <c r="R128" s="96">
        <f>111.24*C269</f>
        <v>151532.49625199998</v>
      </c>
      <c r="S128" s="96">
        <v>111.66</v>
      </c>
      <c r="T128" s="96">
        <f>111.66*C269</f>
        <v>152104.62541799998</v>
      </c>
      <c r="U128" s="92">
        <v>84</v>
      </c>
      <c r="V128" s="93">
        <v>3.0999999999999999E-3</v>
      </c>
      <c r="W128" s="93">
        <v>3.7999999999999999E-2</v>
      </c>
      <c r="X128" s="185">
        <f t="shared" si="77"/>
        <v>-8.0408984641958444E-3</v>
      </c>
      <c r="Y128" s="185">
        <f t="shared" si="86"/>
        <v>-4.9218104618822629E-3</v>
      </c>
      <c r="Z128" s="185">
        <f t="shared" si="86"/>
        <v>0</v>
      </c>
      <c r="AA128" s="185">
        <f t="shared" si="80"/>
        <v>-1.3000000000000004E-3</v>
      </c>
      <c r="AB128" s="186">
        <f t="shared" si="81"/>
        <v>3.2000000000000015E-3</v>
      </c>
    </row>
    <row r="129" spans="1:111">
      <c r="A129" s="203">
        <v>114</v>
      </c>
      <c r="B129" s="84" t="s">
        <v>173</v>
      </c>
      <c r="C129" s="85" t="s">
        <v>78</v>
      </c>
      <c r="D129" s="189">
        <v>3233997.33</v>
      </c>
      <c r="E129" s="96">
        <v>4446746328.75</v>
      </c>
      <c r="F129" s="91">
        <f t="shared" si="87"/>
        <v>2.4173228298395694E-3</v>
      </c>
      <c r="G129" s="174">
        <v>114.36</v>
      </c>
      <c r="H129" s="96">
        <v>157245</v>
      </c>
      <c r="I129" s="174">
        <v>114.36</v>
      </c>
      <c r="J129" s="96">
        <v>157245</v>
      </c>
      <c r="K129" s="92">
        <v>61</v>
      </c>
      <c r="L129" s="93">
        <v>8.9999999999999998E-4</v>
      </c>
      <c r="M129" s="93">
        <v>5.8099999999999999E-2</v>
      </c>
      <c r="N129" s="174">
        <v>3234817.71</v>
      </c>
      <c r="O129" s="96">
        <f>N129*1365</f>
        <v>4415526174.1499996</v>
      </c>
      <c r="P129" s="91">
        <f t="shared" si="76"/>
        <v>2.4136259883596224E-3</v>
      </c>
      <c r="Q129" s="174">
        <v>114.39091000000001</v>
      </c>
      <c r="R129" s="96">
        <f>Q129*1365</f>
        <v>156143.59215000001</v>
      </c>
      <c r="S129" s="174">
        <v>114.39091000000001</v>
      </c>
      <c r="T129" s="96">
        <f>S129*1365</f>
        <v>156143.59215000001</v>
      </c>
      <c r="U129" s="92">
        <v>66</v>
      </c>
      <c r="V129" s="93">
        <v>8.8900000000000006E-5</v>
      </c>
      <c r="W129" s="93">
        <v>5.6099999999999997E-2</v>
      </c>
      <c r="X129" s="185">
        <f t="shared" si="77"/>
        <v>-7.0208984933881995E-3</v>
      </c>
      <c r="Y129" s="185">
        <f t="shared" si="78"/>
        <v>-7.0044061814365398E-3</v>
      </c>
      <c r="Z129" s="185">
        <f t="shared" si="79"/>
        <v>8.1967213114754092E-2</v>
      </c>
      <c r="AA129" s="185">
        <f t="shared" si="80"/>
        <v>-8.1109999999999993E-4</v>
      </c>
      <c r="AB129" s="186">
        <f t="shared" si="81"/>
        <v>-2.0000000000000018E-3</v>
      </c>
      <c r="AD129" s="24"/>
    </row>
    <row r="130" spans="1:111">
      <c r="A130" s="200">
        <v>115</v>
      </c>
      <c r="B130" s="84" t="s">
        <v>320</v>
      </c>
      <c r="C130" s="85" t="s">
        <v>38</v>
      </c>
      <c r="D130" s="189">
        <v>8495188.25</v>
      </c>
      <c r="E130" s="96">
        <v>11666055492.659626</v>
      </c>
      <c r="F130" s="91">
        <f t="shared" si="87"/>
        <v>6.3418554133059211E-3</v>
      </c>
      <c r="G130" s="174">
        <v>1.53</v>
      </c>
      <c r="H130" s="96">
        <v>2087.3468400000002</v>
      </c>
      <c r="I130" s="174">
        <v>1.53</v>
      </c>
      <c r="J130" s="96">
        <v>2101.079385</v>
      </c>
      <c r="K130" s="110">
        <v>118</v>
      </c>
      <c r="L130" s="111">
        <v>7.1000000000000004E-3</v>
      </c>
      <c r="M130" s="111">
        <v>8.1500000000000003E-2</v>
      </c>
      <c r="N130" s="175">
        <v>8497475.4299999997</v>
      </c>
      <c r="O130" s="96">
        <f>8497475.43*C269</f>
        <v>11575365549.693789</v>
      </c>
      <c r="P130" s="91">
        <f t="shared" si="76"/>
        <v>6.327355339679726E-3</v>
      </c>
      <c r="Q130" s="174">
        <v>1.53</v>
      </c>
      <c r="R130" s="96">
        <f>1.52*C269</f>
        <v>2070.562696</v>
      </c>
      <c r="S130" s="96">
        <v>1.53</v>
      </c>
      <c r="T130" s="96">
        <f>1.53*C269</f>
        <v>2084.1848190000001</v>
      </c>
      <c r="U130" s="110">
        <v>119</v>
      </c>
      <c r="V130" s="111">
        <v>6.4999999999999997E-3</v>
      </c>
      <c r="W130" s="111">
        <v>7.6499999999999999E-2</v>
      </c>
      <c r="X130" s="185">
        <f>((O130-E130)/E130)</f>
        <v>-7.7738309253629302E-3</v>
      </c>
      <c r="Y130" s="185">
        <f>((T130-J130)/J130)</f>
        <v>-8.0408984641957924E-3</v>
      </c>
      <c r="Z130" s="185">
        <f>((U130-K130)/K130)</f>
        <v>8.4745762711864406E-3</v>
      </c>
      <c r="AA130" s="185">
        <f>V130-L130</f>
        <v>-6.0000000000000071E-4</v>
      </c>
      <c r="AB130" s="186">
        <f>W130-M130</f>
        <v>-5.0000000000000044E-3</v>
      </c>
      <c r="AD130" s="24"/>
    </row>
    <row r="131" spans="1:111">
      <c r="A131" s="200">
        <v>116</v>
      </c>
      <c r="B131" s="84" t="s">
        <v>324</v>
      </c>
      <c r="C131" s="85" t="s">
        <v>79</v>
      </c>
      <c r="D131" s="189">
        <v>38574751.189999998</v>
      </c>
      <c r="E131" s="96">
        <v>53054941291.702202</v>
      </c>
      <c r="F131" s="91">
        <f t="shared" si="87"/>
        <v>2.8841519470322853E-2</v>
      </c>
      <c r="G131" s="174">
        <v>131.78</v>
      </c>
      <c r="H131" s="96">
        <v>181247.57640000002</v>
      </c>
      <c r="I131" s="174">
        <v>131.81</v>
      </c>
      <c r="J131" s="96">
        <v>181288.83780000001</v>
      </c>
      <c r="K131" s="92">
        <v>2618</v>
      </c>
      <c r="L131" s="93">
        <v>2.0999999999999999E-3</v>
      </c>
      <c r="M131" s="93">
        <v>3.04E-2</v>
      </c>
      <c r="N131" s="174">
        <v>38731038.490000002</v>
      </c>
      <c r="O131" s="95">
        <f>N131*1375.38</f>
        <v>53269895718.376205</v>
      </c>
      <c r="P131" s="91">
        <f t="shared" si="76"/>
        <v>2.9118523961151818E-2</v>
      </c>
      <c r="Q131" s="174">
        <v>131.93</v>
      </c>
      <c r="R131" s="96">
        <f>Q131*1375.38</f>
        <v>181453.88340000002</v>
      </c>
      <c r="S131" s="96">
        <v>131.96</v>
      </c>
      <c r="T131" s="96">
        <f>S131*1375.38</f>
        <v>181495.14480000004</v>
      </c>
      <c r="U131" s="92">
        <v>2694</v>
      </c>
      <c r="V131" s="93">
        <v>1.1000000000000001E-3</v>
      </c>
      <c r="W131" s="93">
        <v>3.1600000000000003E-2</v>
      </c>
      <c r="X131" s="185">
        <f t="shared" si="77"/>
        <v>4.0515439550137151E-3</v>
      </c>
      <c r="Y131" s="185">
        <f t="shared" si="78"/>
        <v>1.138001669069279E-3</v>
      </c>
      <c r="Z131" s="185">
        <f t="shared" si="79"/>
        <v>2.9029793735676088E-2</v>
      </c>
      <c r="AA131" s="185">
        <f t="shared" si="80"/>
        <v>-9.999999999999998E-4</v>
      </c>
      <c r="AB131" s="186">
        <f t="shared" si="81"/>
        <v>1.2000000000000031E-3</v>
      </c>
      <c r="DG131" s="197" t="s">
        <v>340</v>
      </c>
    </row>
    <row r="132" spans="1:111">
      <c r="A132" s="200">
        <v>117</v>
      </c>
      <c r="B132" s="205" t="s">
        <v>325</v>
      </c>
      <c r="C132" s="85" t="s">
        <v>79</v>
      </c>
      <c r="D132" s="189">
        <v>117580544.16</v>
      </c>
      <c r="E132" s="96">
        <v>161717928826.78082</v>
      </c>
      <c r="F132" s="91">
        <f t="shared" si="87"/>
        <v>8.7912467329171545E-2</v>
      </c>
      <c r="G132" s="174">
        <v>128.62</v>
      </c>
      <c r="H132" s="96">
        <v>176901.37560000003</v>
      </c>
      <c r="I132" s="174">
        <v>128.68</v>
      </c>
      <c r="J132" s="96">
        <v>176983.89840000003</v>
      </c>
      <c r="K132" s="92">
        <v>1082</v>
      </c>
      <c r="L132" s="93">
        <v>2.2000000000000001E-3</v>
      </c>
      <c r="M132" s="93">
        <v>3.1600000000000003E-2</v>
      </c>
      <c r="N132" s="174">
        <v>118091484.89</v>
      </c>
      <c r="O132" s="95">
        <f>N132*1375.38</f>
        <v>162420666488.00821</v>
      </c>
      <c r="P132" s="91">
        <f t="shared" si="76"/>
        <v>8.8782791952900786E-2</v>
      </c>
      <c r="Q132" s="174">
        <v>128.80000000000001</v>
      </c>
      <c r="R132" s="96">
        <f>Q132*1375.38</f>
        <v>177148.94400000002</v>
      </c>
      <c r="S132" s="96">
        <v>128.84</v>
      </c>
      <c r="T132" s="96">
        <f>S132*1375.38</f>
        <v>177203.95920000001</v>
      </c>
      <c r="U132" s="92">
        <v>1088</v>
      </c>
      <c r="V132" s="93">
        <v>1.2999999999999999E-3</v>
      </c>
      <c r="W132" s="93">
        <v>3.3000000000000002E-2</v>
      </c>
      <c r="X132" s="185">
        <f t="shared" si="77"/>
        <v>4.345453013933305E-3</v>
      </c>
      <c r="Y132" s="185">
        <f t="shared" si="78"/>
        <v>1.2433944668944947E-3</v>
      </c>
      <c r="Z132" s="185">
        <f t="shared" si="79"/>
        <v>5.5452865064695009E-3</v>
      </c>
      <c r="AA132" s="185">
        <f t="shared" si="80"/>
        <v>-9.0000000000000019E-4</v>
      </c>
      <c r="AB132" s="186">
        <f t="shared" si="81"/>
        <v>1.3999999999999985E-3</v>
      </c>
      <c r="AD132" s="23"/>
    </row>
    <row r="133" spans="1:111">
      <c r="A133" s="200">
        <v>118</v>
      </c>
      <c r="B133" s="84" t="s">
        <v>174</v>
      </c>
      <c r="C133" s="85" t="s">
        <v>83</v>
      </c>
      <c r="D133" s="189">
        <v>1422202.52</v>
      </c>
      <c r="E133" s="96">
        <v>1953046010.5013402</v>
      </c>
      <c r="F133" s="91">
        <f t="shared" si="87"/>
        <v>1.0617072258851147E-3</v>
      </c>
      <c r="G133" s="174">
        <v>1</v>
      </c>
      <c r="H133" s="96">
        <v>1373.2545</v>
      </c>
      <c r="I133" s="174">
        <v>1</v>
      </c>
      <c r="J133" s="96">
        <v>1373.2545</v>
      </c>
      <c r="K133" s="92">
        <v>16</v>
      </c>
      <c r="L133" s="93">
        <v>8.9499999999999996E-2</v>
      </c>
      <c r="M133" s="93">
        <v>8.5300000000000001E-2</v>
      </c>
      <c r="N133" s="174">
        <v>1527863.53</v>
      </c>
      <c r="O133" s="96">
        <f>N133*C269</f>
        <v>2081274493.2874188</v>
      </c>
      <c r="P133" s="91">
        <f t="shared" si="76"/>
        <v>1.1376714818988791E-3</v>
      </c>
      <c r="Q133" s="174">
        <v>1</v>
      </c>
      <c r="R133" s="96">
        <f>1*C269</f>
        <v>1362.2122999999999</v>
      </c>
      <c r="S133" s="96">
        <v>1</v>
      </c>
      <c r="T133" s="96">
        <f>1*C269</f>
        <v>1362.2122999999999</v>
      </c>
      <c r="U133" s="92">
        <v>16</v>
      </c>
      <c r="V133" s="93">
        <v>8.5400000000000004E-2</v>
      </c>
      <c r="W133" s="93">
        <v>8.5000000000000006E-2</v>
      </c>
      <c r="X133" s="185">
        <f t="shared" ref="X133" si="88">((O133-E133)/E133)</f>
        <v>6.5655638472727471E-2</v>
      </c>
      <c r="Y133" s="185">
        <f t="shared" ref="Y133" si="89">((T133-J133)/J133)</f>
        <v>-8.0408984641958895E-3</v>
      </c>
      <c r="Z133" s="185">
        <f t="shared" si="79"/>
        <v>0</v>
      </c>
      <c r="AA133" s="185">
        <f t="shared" si="80"/>
        <v>-4.0999999999999925E-3</v>
      </c>
      <c r="AB133" s="186">
        <f t="shared" si="81"/>
        <v>-2.9999999999999472E-4</v>
      </c>
    </row>
    <row r="134" spans="1:111">
      <c r="A134" s="200">
        <v>119</v>
      </c>
      <c r="B134" s="84" t="s">
        <v>175</v>
      </c>
      <c r="C134" s="85" t="s">
        <v>33</v>
      </c>
      <c r="D134" s="189">
        <v>213214.10060000001</v>
      </c>
      <c r="E134" s="96">
        <v>292797223.11240274</v>
      </c>
      <c r="F134" s="91">
        <f t="shared" si="87"/>
        <v>1.5916928010197576E-4</v>
      </c>
      <c r="G134" s="174">
        <v>146.07169999999999</v>
      </c>
      <c r="H134" s="96">
        <v>200593.61934765</v>
      </c>
      <c r="I134" s="174">
        <v>146.07169999999999</v>
      </c>
      <c r="J134" s="96">
        <v>200593.61934765</v>
      </c>
      <c r="K134" s="92">
        <v>11</v>
      </c>
      <c r="L134" s="93">
        <v>1.6999999999999999E-3</v>
      </c>
      <c r="M134" s="93">
        <v>7.9799999999999996E-2</v>
      </c>
      <c r="N134" s="174">
        <v>213553.41329999999</v>
      </c>
      <c r="O134" s="96">
        <f>N134*C269</f>
        <v>290905086.30424356</v>
      </c>
      <c r="P134" s="91">
        <f t="shared" si="76"/>
        <v>1.5901526766174908E-4</v>
      </c>
      <c r="Q134" s="174">
        <v>146.30420000000001</v>
      </c>
      <c r="R134" s="96">
        <f>Q134*C269</f>
        <v>199297.38078166</v>
      </c>
      <c r="S134" s="174">
        <v>146.30420000000001</v>
      </c>
      <c r="T134" s="96">
        <f>S134*C269</f>
        <v>199297.38078166</v>
      </c>
      <c r="U134" s="92">
        <v>11</v>
      </c>
      <c r="V134" s="93">
        <v>1.6000000000000001E-3</v>
      </c>
      <c r="W134" s="93">
        <v>8.1500000000000003E-2</v>
      </c>
      <c r="X134" s="185">
        <f t="shared" si="77"/>
        <v>-6.4622771624879612E-3</v>
      </c>
      <c r="Y134" s="185">
        <f t="shared" si="78"/>
        <v>-6.4620129503894334E-3</v>
      </c>
      <c r="Z134" s="185">
        <f t="shared" si="79"/>
        <v>0</v>
      </c>
      <c r="AA134" s="185">
        <f t="shared" si="80"/>
        <v>-9.9999999999999829E-5</v>
      </c>
      <c r="AB134" s="186">
        <f t="shared" si="81"/>
        <v>1.7000000000000071E-3</v>
      </c>
    </row>
    <row r="135" spans="1:111">
      <c r="A135" s="200">
        <v>120</v>
      </c>
      <c r="B135" s="84" t="s">
        <v>315</v>
      </c>
      <c r="C135" s="85" t="s">
        <v>313</v>
      </c>
      <c r="D135" s="189">
        <v>37184.67</v>
      </c>
      <c r="E135" s="96">
        <v>51064015.408514999</v>
      </c>
      <c r="F135" s="91">
        <f t="shared" si="87"/>
        <v>2.7759220136351218E-5</v>
      </c>
      <c r="G135" s="174">
        <v>1.0049999999999999</v>
      </c>
      <c r="H135" s="90">
        <v>1380.1207724999999</v>
      </c>
      <c r="I135" s="174">
        <v>1.006</v>
      </c>
      <c r="J135" s="90">
        <v>1381.494027</v>
      </c>
      <c r="K135" s="92">
        <v>3</v>
      </c>
      <c r="L135" s="93">
        <v>0.32063599999999998</v>
      </c>
      <c r="M135" s="93">
        <v>0</v>
      </c>
      <c r="N135" s="174">
        <v>47217.27</v>
      </c>
      <c r="O135" s="96">
        <f>47217.27*C269</f>
        <v>64319945.966420993</v>
      </c>
      <c r="P135" s="91">
        <f t="shared" si="76"/>
        <v>3.5158730133521471E-5</v>
      </c>
      <c r="Q135" s="174">
        <v>1.0049999999999999</v>
      </c>
      <c r="R135" s="90">
        <f>1.005*C269</f>
        <v>1369.0233614999997</v>
      </c>
      <c r="S135" s="90">
        <v>1.006</v>
      </c>
      <c r="T135" s="90">
        <f>1.006*C269</f>
        <v>1370.3855738</v>
      </c>
      <c r="U135" s="92">
        <v>3</v>
      </c>
      <c r="V135" s="93">
        <v>0.26980500000000002</v>
      </c>
      <c r="W135" s="93">
        <v>0</v>
      </c>
      <c r="X135" s="185">
        <f>((O135-E135)/E135)</f>
        <v>0.25959436311182743</v>
      </c>
      <c r="Y135" s="185">
        <f>((T135-J135)/J135)</f>
        <v>-8.0408984641958114E-3</v>
      </c>
      <c r="Z135" s="185">
        <f>((U135-K135)/K135)</f>
        <v>0</v>
      </c>
      <c r="AA135" s="185">
        <f>V135-L135</f>
        <v>-5.083099999999996E-2</v>
      </c>
      <c r="AB135" s="186">
        <f>W135-M135</f>
        <v>0</v>
      </c>
    </row>
    <row r="136" spans="1:111">
      <c r="A136" s="200">
        <v>121</v>
      </c>
      <c r="B136" s="84" t="s">
        <v>176</v>
      </c>
      <c r="C136" s="85" t="s">
        <v>98</v>
      </c>
      <c r="D136" s="189">
        <v>30969327</v>
      </c>
      <c r="E136" s="96">
        <v>42528767664.721497</v>
      </c>
      <c r="F136" s="91">
        <f t="shared" si="87"/>
        <v>2.311932217410146E-2</v>
      </c>
      <c r="G136" s="174">
        <v>107.21</v>
      </c>
      <c r="H136" s="96">
        <v>147226.61494499998</v>
      </c>
      <c r="I136" s="174">
        <v>107.21</v>
      </c>
      <c r="J136" s="96">
        <v>147226.61494499998</v>
      </c>
      <c r="K136" s="92">
        <v>936</v>
      </c>
      <c r="L136" s="111">
        <v>2.5000000000000001E-3</v>
      </c>
      <c r="M136" s="93">
        <v>0.113</v>
      </c>
      <c r="N136" s="174">
        <v>31168116</v>
      </c>
      <c r="O136" s="96">
        <f>31168116*C269</f>
        <v>42457590983.026794</v>
      </c>
      <c r="P136" s="91">
        <f t="shared" si="76"/>
        <v>2.3208274837030873E-2</v>
      </c>
      <c r="Q136" s="174">
        <v>107.87</v>
      </c>
      <c r="R136" s="96">
        <f>107.87*C269</f>
        <v>146941.84080099998</v>
      </c>
      <c r="S136" s="174">
        <v>107.87</v>
      </c>
      <c r="T136" s="96">
        <f>107.87*C269</f>
        <v>146941.84080099998</v>
      </c>
      <c r="U136" s="92">
        <v>939</v>
      </c>
      <c r="V136" s="111">
        <v>6.1999999999999998E-3</v>
      </c>
      <c r="W136" s="93">
        <v>0.1229</v>
      </c>
      <c r="X136" s="185">
        <f t="shared" si="77"/>
        <v>-1.6736126063145887E-3</v>
      </c>
      <c r="Y136" s="185">
        <f t="shared" si="78"/>
        <v>-1.9342572272437264E-3</v>
      </c>
      <c r="Z136" s="185">
        <f t="shared" si="79"/>
        <v>3.205128205128205E-3</v>
      </c>
      <c r="AA136" s="185">
        <f t="shared" si="80"/>
        <v>3.6999999999999997E-3</v>
      </c>
      <c r="AB136" s="186">
        <f t="shared" si="81"/>
        <v>9.8999999999999921E-3</v>
      </c>
    </row>
    <row r="137" spans="1:111">
      <c r="A137" s="200">
        <v>122</v>
      </c>
      <c r="B137" s="84" t="s">
        <v>177</v>
      </c>
      <c r="C137" s="85" t="s">
        <v>42</v>
      </c>
      <c r="D137" s="189">
        <v>2055088.49</v>
      </c>
      <c r="E137" s="96">
        <v>2822159516.7907052</v>
      </c>
      <c r="F137" s="91">
        <f t="shared" si="87"/>
        <v>1.5341713075197824E-3</v>
      </c>
      <c r="G137" s="174">
        <v>162.30000000000001</v>
      </c>
      <c r="H137" s="96">
        <v>222879.20535</v>
      </c>
      <c r="I137" s="174">
        <v>169.61</v>
      </c>
      <c r="J137" s="96">
        <v>232917.69574500003</v>
      </c>
      <c r="K137" s="92">
        <v>53</v>
      </c>
      <c r="L137" s="93">
        <v>-6.4999999999999997E-3</v>
      </c>
      <c r="M137" s="93">
        <v>9.2100000000000001E-2</v>
      </c>
      <c r="N137" s="174">
        <v>2054381.48</v>
      </c>
      <c r="O137" s="96">
        <f>2054381.48*C269</f>
        <v>2798503720.9482036</v>
      </c>
      <c r="P137" s="91">
        <f t="shared" si="76"/>
        <v>1.529725120631168E-3</v>
      </c>
      <c r="Q137" s="174">
        <v>163.4</v>
      </c>
      <c r="R137" s="96">
        <f>163.4*C269</f>
        <v>222585.48981999999</v>
      </c>
      <c r="S137" s="96">
        <v>169.72</v>
      </c>
      <c r="T137" s="96">
        <f>169.72*C269</f>
        <v>231194.67155599999</v>
      </c>
      <c r="U137" s="92">
        <v>53</v>
      </c>
      <c r="V137" s="93">
        <v>-6.4999999999999997E-3</v>
      </c>
      <c r="W137" s="93">
        <v>7.6700000000000004E-2</v>
      </c>
      <c r="X137" s="185">
        <f t="shared" ref="X137:X138" si="90">((O137-E137)/E137)</f>
        <v>-8.3821611435353823E-3</v>
      </c>
      <c r="Y137" s="185">
        <f t="shared" ref="Y137:Y138" si="91">((T137-J137)/J137)</f>
        <v>-7.3975666962051104E-3</v>
      </c>
      <c r="Z137" s="185">
        <f t="shared" ref="Z137:Z138" si="92">((U137-K137)/K137)</f>
        <v>0</v>
      </c>
      <c r="AA137" s="185">
        <f t="shared" ref="AA137:AA138" si="93">V137-L137</f>
        <v>0</v>
      </c>
      <c r="AB137" s="186">
        <f t="shared" ref="AB137:AB138" si="94">W137-M137</f>
        <v>-1.5399999999999997E-2</v>
      </c>
    </row>
    <row r="138" spans="1:111" ht="15" customHeight="1">
      <c r="A138" s="200">
        <v>123</v>
      </c>
      <c r="B138" s="84" t="s">
        <v>178</v>
      </c>
      <c r="C138" s="85" t="s">
        <v>49</v>
      </c>
      <c r="D138" s="189">
        <v>112801426.84999999</v>
      </c>
      <c r="E138" s="90">
        <v>155144826460.953</v>
      </c>
      <c r="F138" s="91">
        <f t="shared" si="87"/>
        <v>8.4339223155323065E-2</v>
      </c>
      <c r="G138" s="174">
        <v>127.63648999999999</v>
      </c>
      <c r="H138" s="96">
        <v>175548.67561619999</v>
      </c>
      <c r="I138" s="174">
        <v>127.63648999999999</v>
      </c>
      <c r="J138" s="96">
        <v>175548.67561619999</v>
      </c>
      <c r="K138" s="92">
        <v>4426</v>
      </c>
      <c r="L138" s="93">
        <v>1.1000000000000001E-3</v>
      </c>
      <c r="M138" s="93">
        <v>6.0100000000000001E-2</v>
      </c>
      <c r="N138" s="174">
        <v>112801426.84999999</v>
      </c>
      <c r="O138" s="90">
        <f>112801426.85*1375.38</f>
        <v>155144826460.953</v>
      </c>
      <c r="P138" s="91">
        <f t="shared" si="76"/>
        <v>8.4805654034603162E-2</v>
      </c>
      <c r="Q138" s="174">
        <v>127.63648999999999</v>
      </c>
      <c r="R138" s="96">
        <f>127.63649*1375.38</f>
        <v>175548.67561619999</v>
      </c>
      <c r="S138" s="174">
        <v>127.63648999999999</v>
      </c>
      <c r="T138" s="96">
        <f>127.63649*1375.38</f>
        <v>175548.67561619999</v>
      </c>
      <c r="U138" s="92">
        <v>4426</v>
      </c>
      <c r="V138" s="93">
        <v>1.1000000000000001E-3</v>
      </c>
      <c r="W138" s="93">
        <v>6.0100000000000001E-2</v>
      </c>
      <c r="X138" s="185">
        <f t="shared" si="90"/>
        <v>0</v>
      </c>
      <c r="Y138" s="185">
        <f t="shared" si="91"/>
        <v>0</v>
      </c>
      <c r="Z138" s="185">
        <f t="shared" si="92"/>
        <v>0</v>
      </c>
      <c r="AA138" s="185">
        <f t="shared" si="93"/>
        <v>0</v>
      </c>
      <c r="AB138" s="186">
        <f t="shared" si="94"/>
        <v>0</v>
      </c>
    </row>
    <row r="139" spans="1:111" ht="4.8" customHeight="1"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  <c r="R139" s="213"/>
      <c r="S139" s="213"/>
      <c r="T139" s="213"/>
      <c r="U139" s="213"/>
      <c r="V139" s="213"/>
      <c r="W139" s="213"/>
      <c r="X139" s="213"/>
      <c r="Y139" s="213"/>
      <c r="Z139" s="213"/>
      <c r="AA139" s="213"/>
      <c r="AB139" s="213"/>
    </row>
    <row r="140" spans="1:111">
      <c r="A140" s="195"/>
      <c r="B140" s="214" t="s">
        <v>333</v>
      </c>
      <c r="C140" s="214"/>
      <c r="D140" s="214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8">
        <v>1374.9431</v>
      </c>
      <c r="AE140" s="32"/>
    </row>
    <row r="141" spans="1:111">
      <c r="A141" s="200">
        <v>124</v>
      </c>
      <c r="B141" s="84" t="s">
        <v>310</v>
      </c>
      <c r="C141" s="85" t="s">
        <v>311</v>
      </c>
      <c r="D141" s="189">
        <v>344885.08</v>
      </c>
      <c r="E141" s="90">
        <v>473614988.09286004</v>
      </c>
      <c r="F141" s="91">
        <f>(E141/$E$161)</f>
        <v>2.5746472558350262E-4</v>
      </c>
      <c r="G141" s="174">
        <v>1.0087999999999999</v>
      </c>
      <c r="H141" s="96">
        <v>1385.3391396</v>
      </c>
      <c r="I141" s="174">
        <v>1.0087999999999999</v>
      </c>
      <c r="J141" s="96">
        <v>1385.3391396</v>
      </c>
      <c r="K141" s="92">
        <v>38</v>
      </c>
      <c r="L141" s="93">
        <v>8.2299999999999998E-2</v>
      </c>
      <c r="M141" s="93">
        <v>7.2499999999999995E-2</v>
      </c>
      <c r="N141" s="174">
        <v>430306.51</v>
      </c>
      <c r="O141" s="90">
        <f>430306.51*C269</f>
        <v>586168820.69207299</v>
      </c>
      <c r="P141" s="91">
        <f>(O141/$O$161)</f>
        <v>3.204130704673832E-4</v>
      </c>
      <c r="Q141" s="174">
        <v>1.01</v>
      </c>
      <c r="R141" s="96">
        <f>1.01*C269</f>
        <v>1375.834423</v>
      </c>
      <c r="S141" s="96">
        <v>1.01</v>
      </c>
      <c r="T141" s="96">
        <f>1.01*C269</f>
        <v>1375.834423</v>
      </c>
      <c r="U141" s="92">
        <v>41</v>
      </c>
      <c r="V141" s="93">
        <v>8.5999999999999993E-2</v>
      </c>
      <c r="W141" s="93">
        <v>7.4800000000000005E-2</v>
      </c>
      <c r="X141" s="185">
        <f>((O141-E141)/E141)</f>
        <v>0.23764837564039445</v>
      </c>
      <c r="Y141" s="185">
        <f>((T141-J141)/J141)</f>
        <v>-6.8609312538042569E-3</v>
      </c>
      <c r="Z141" s="185">
        <f>((U141-K141)/K141)</f>
        <v>7.8947368421052627E-2</v>
      </c>
      <c r="AA141" s="185">
        <f>V141-L141</f>
        <v>3.699999999999995E-3</v>
      </c>
      <c r="AB141" s="186">
        <f>W141-M141</f>
        <v>2.3000000000000104E-3</v>
      </c>
      <c r="AC141" s="28"/>
      <c r="AE141" s="32"/>
    </row>
    <row r="142" spans="1:111">
      <c r="A142" s="200">
        <v>125</v>
      </c>
      <c r="B142" s="84" t="s">
        <v>179</v>
      </c>
      <c r="C142" s="85" t="s">
        <v>60</v>
      </c>
      <c r="D142" s="189">
        <v>1065542.21</v>
      </c>
      <c r="E142" s="90">
        <v>1463260634.8224449</v>
      </c>
      <c r="F142" s="91">
        <f>(E142/$E$161)</f>
        <v>7.9545201751055408E-4</v>
      </c>
      <c r="G142" s="174">
        <v>119.12</v>
      </c>
      <c r="H142" s="96">
        <v>163582.07604000001</v>
      </c>
      <c r="I142" s="174">
        <v>119.12</v>
      </c>
      <c r="J142" s="96">
        <v>163582.07604000001</v>
      </c>
      <c r="K142" s="92">
        <v>76</v>
      </c>
      <c r="L142" s="93">
        <v>2.5000000000000001E-3</v>
      </c>
      <c r="M142" s="93">
        <v>7.2900000000000006E-2</v>
      </c>
      <c r="N142" s="174">
        <v>1063108.54</v>
      </c>
      <c r="O142" s="90">
        <f>1063108.54*C269</f>
        <v>1448179529.4230421</v>
      </c>
      <c r="P142" s="91">
        <f>(O142/$O$161)</f>
        <v>7.9160752539276461E-4</v>
      </c>
      <c r="Q142" s="174">
        <v>119.12</v>
      </c>
      <c r="R142" s="96">
        <f>119.12*C269</f>
        <v>162266.72917599999</v>
      </c>
      <c r="S142" s="96">
        <v>119.12</v>
      </c>
      <c r="T142" s="96">
        <f>119.12*C269</f>
        <v>162266.72917599999</v>
      </c>
      <c r="U142" s="92">
        <v>76</v>
      </c>
      <c r="V142" s="93">
        <v>1.8E-3</v>
      </c>
      <c r="W142" s="93">
        <v>6.9500000000000006E-2</v>
      </c>
      <c r="X142" s="185">
        <f>((O142-E142)/E142)</f>
        <v>-1.0306506606208831E-2</v>
      </c>
      <c r="Y142" s="185">
        <f>((T142-J142)/J142)</f>
        <v>-8.0408984641959485E-3</v>
      </c>
      <c r="Z142" s="185">
        <f>((U142-K142)/K142)</f>
        <v>0</v>
      </c>
      <c r="AA142" s="185">
        <f>V142-L142</f>
        <v>-7.000000000000001E-4</v>
      </c>
      <c r="AB142" s="186">
        <f>W142-M142</f>
        <v>-3.4000000000000002E-3</v>
      </c>
    </row>
    <row r="143" spans="1:111">
      <c r="A143" s="200">
        <v>126</v>
      </c>
      <c r="B143" s="85" t="s">
        <v>180</v>
      </c>
      <c r="C143" s="85" t="s">
        <v>25</v>
      </c>
      <c r="D143" s="189">
        <v>20368902.43</v>
      </c>
      <c r="E143" s="96">
        <v>27971686922.058434</v>
      </c>
      <c r="F143" s="91">
        <f>(E143/$E$161)</f>
        <v>1.5205858933001939E-2</v>
      </c>
      <c r="G143" s="174">
        <v>138.44</v>
      </c>
      <c r="H143" s="90">
        <v>190113.35298</v>
      </c>
      <c r="I143" s="174">
        <v>138.44</v>
      </c>
      <c r="J143" s="90">
        <v>190113.35298</v>
      </c>
      <c r="K143" s="92">
        <v>683</v>
      </c>
      <c r="L143" s="93">
        <v>5.0000000000000001E-4</v>
      </c>
      <c r="M143" s="93">
        <v>2.0799999999999999E-2</v>
      </c>
      <c r="N143" s="174">
        <v>19810576.379999999</v>
      </c>
      <c r="O143" s="96">
        <f>19810576.38*C269</f>
        <v>26986210814.925472</v>
      </c>
      <c r="P143" s="91">
        <f>(O143/$O$161)</f>
        <v>1.4751270218162438E-2</v>
      </c>
      <c r="Q143" s="174">
        <v>138.58000000000001</v>
      </c>
      <c r="R143" s="90">
        <f>138.58*C269</f>
        <v>188775.380534</v>
      </c>
      <c r="S143" s="90">
        <v>138.58000000000001</v>
      </c>
      <c r="T143" s="90">
        <f>138.58*C269</f>
        <v>188775.380534</v>
      </c>
      <c r="U143" s="92">
        <v>684</v>
      </c>
      <c r="V143" s="93">
        <v>5.0000000000000001E-4</v>
      </c>
      <c r="W143" s="93">
        <v>2.18E-2</v>
      </c>
      <c r="X143" s="185">
        <f t="shared" ref="X143:X161" si="95">((O143-E143)/E143)</f>
        <v>-3.5231200387696893E-2</v>
      </c>
      <c r="Y143" s="185">
        <f t="shared" ref="Y143:Y161" si="96">((T143-J143)/J143)</f>
        <v>-7.0377615513453964E-3</v>
      </c>
      <c r="Z143" s="185">
        <f t="shared" ref="Z143:Z161" si="97">((U143-K143)/K143)</f>
        <v>1.4641288433382138E-3</v>
      </c>
      <c r="AA143" s="185">
        <f t="shared" ref="AA143:AA161" si="98">V143-L143</f>
        <v>0</v>
      </c>
      <c r="AB143" s="186">
        <f t="shared" ref="AB143:AB161" si="99">W143-M143</f>
        <v>1.0000000000000009E-3</v>
      </c>
    </row>
    <row r="144" spans="1:111">
      <c r="A144" s="200">
        <v>127</v>
      </c>
      <c r="B144" s="85" t="s">
        <v>181</v>
      </c>
      <c r="C144" s="85" t="s">
        <v>130</v>
      </c>
      <c r="D144" s="189">
        <v>437191.76</v>
      </c>
      <c r="E144" s="96">
        <v>600375551.78292</v>
      </c>
      <c r="F144" s="91">
        <f>(E144/$E$161)</f>
        <v>3.2637380693815028E-4</v>
      </c>
      <c r="G144" s="174">
        <v>105.22</v>
      </c>
      <c r="H144" s="90">
        <v>144493.83848999999</v>
      </c>
      <c r="I144" s="174">
        <v>105.22</v>
      </c>
      <c r="J144" s="90">
        <v>144493.83848999999</v>
      </c>
      <c r="K144" s="92">
        <v>19</v>
      </c>
      <c r="L144" s="93">
        <v>7.1000000000000002E-4</v>
      </c>
      <c r="M144" s="93">
        <v>6.4030000000000004E-2</v>
      </c>
      <c r="N144" s="174">
        <v>438577.5</v>
      </c>
      <c r="O144" s="96">
        <f>N144*C269</f>
        <v>597435665.00325</v>
      </c>
      <c r="P144" s="91">
        <f>(O144/$O$161)</f>
        <v>3.2657178115410982E-4</v>
      </c>
      <c r="Q144" s="174">
        <v>105.32</v>
      </c>
      <c r="R144" s="90">
        <f>Q144*C269</f>
        <v>143468.199436</v>
      </c>
      <c r="S144" s="90">
        <v>105.32</v>
      </c>
      <c r="T144" s="90">
        <f>S144*C269</f>
        <v>143468.199436</v>
      </c>
      <c r="U144" s="92">
        <v>19</v>
      </c>
      <c r="V144" s="93">
        <v>7.7999999999999999E-4</v>
      </c>
      <c r="W144" s="93">
        <v>6.3549999999999995E-2</v>
      </c>
      <c r="X144" s="185">
        <v>0</v>
      </c>
      <c r="Y144" s="185">
        <f t="shared" ref="Y144" si="100">((T144-J144)/J144)</f>
        <v>-7.0981507911908708E-3</v>
      </c>
      <c r="Z144" s="185">
        <f t="shared" ref="Z144" si="101">((U144-K144)/K144)</f>
        <v>0</v>
      </c>
      <c r="AA144" s="185">
        <f t="shared" ref="AA144" si="102">V144-L144</f>
        <v>6.9999999999999967E-5</v>
      </c>
      <c r="AB144" s="186">
        <f t="shared" ref="AB144" si="103">W144-M144</f>
        <v>-4.800000000000082E-4</v>
      </c>
    </row>
    <row r="145" spans="1:30">
      <c r="A145" s="200">
        <v>128</v>
      </c>
      <c r="B145" s="84" t="s">
        <v>182</v>
      </c>
      <c r="C145" s="85" t="s">
        <v>69</v>
      </c>
      <c r="D145" s="189">
        <v>12775678.07</v>
      </c>
      <c r="E145" s="90">
        <v>17566557346.25</v>
      </c>
      <c r="F145" s="91">
        <f>(E145/$E$161)</f>
        <v>9.549463129980916E-3</v>
      </c>
      <c r="G145" s="174">
        <v>116.18</v>
      </c>
      <c r="H145" s="90">
        <v>159747.5</v>
      </c>
      <c r="I145" s="174">
        <v>116.18</v>
      </c>
      <c r="J145" s="90">
        <v>159747.5</v>
      </c>
      <c r="K145" s="92">
        <v>474</v>
      </c>
      <c r="L145" s="93">
        <v>8.9999999999999998E-4</v>
      </c>
      <c r="M145" s="93">
        <v>6.6299999999999998E-2</v>
      </c>
      <c r="N145" s="174">
        <v>12842709.49</v>
      </c>
      <c r="O145" s="90">
        <v>17478927615.889999</v>
      </c>
      <c r="P145" s="91">
        <f t="shared" ref="P145:P146" si="104">(O145/$O$117)</f>
        <v>7.4013230648301093E-2</v>
      </c>
      <c r="Q145" s="174">
        <v>116.31</v>
      </c>
      <c r="R145" s="90">
        <v>158297.91</v>
      </c>
      <c r="S145" s="174">
        <v>116.31</v>
      </c>
      <c r="T145" s="90">
        <v>158297.91</v>
      </c>
      <c r="U145" s="92">
        <v>471</v>
      </c>
      <c r="V145" s="93">
        <v>1.1000000000000001E-3</v>
      </c>
      <c r="W145" s="93">
        <v>6.6299999999999998E-2</v>
      </c>
      <c r="X145" s="185">
        <f t="shared" si="95"/>
        <v>-4.9884407418455991E-3</v>
      </c>
      <c r="Y145" s="185">
        <f t="shared" si="96"/>
        <v>-9.0742578131112941E-3</v>
      </c>
      <c r="Z145" s="185">
        <f t="shared" si="97"/>
        <v>-6.3291139240506328E-3</v>
      </c>
      <c r="AA145" s="185">
        <f t="shared" si="98"/>
        <v>2.0000000000000009E-4</v>
      </c>
      <c r="AB145" s="186">
        <f t="shared" si="99"/>
        <v>0</v>
      </c>
    </row>
    <row r="146" spans="1:30">
      <c r="A146" s="200">
        <v>129</v>
      </c>
      <c r="B146" s="84" t="s">
        <v>183</v>
      </c>
      <c r="C146" s="85" t="s">
        <v>71</v>
      </c>
      <c r="D146" s="189">
        <v>247611.83</v>
      </c>
      <c r="E146" s="96">
        <v>340034059.800735</v>
      </c>
      <c r="F146" s="91">
        <f t="shared" ref="F146" si="105">(E146/$E$117)</f>
        <v>1.4472321406643425E-3</v>
      </c>
      <c r="G146" s="174">
        <v>1.0585</v>
      </c>
      <c r="H146" s="95">
        <v>1453.5898882500001</v>
      </c>
      <c r="I146" s="174">
        <v>1.0585</v>
      </c>
      <c r="J146" s="95">
        <v>1453.5898882500001</v>
      </c>
      <c r="K146" s="92">
        <v>11</v>
      </c>
      <c r="L146" s="93">
        <v>1E-3</v>
      </c>
      <c r="M146" s="93">
        <v>8.6099999999999996E-2</v>
      </c>
      <c r="N146" s="174">
        <v>250849.08</v>
      </c>
      <c r="O146" s="96">
        <f>N146*C269</f>
        <v>341709702.21968395</v>
      </c>
      <c r="P146" s="91">
        <f t="shared" si="104"/>
        <v>1.4469445472247281E-3</v>
      </c>
      <c r="Q146" s="174">
        <v>1.0528999999999999</v>
      </c>
      <c r="R146" s="95">
        <f>Q146*C269</f>
        <v>1434.27333067</v>
      </c>
      <c r="S146" s="174">
        <v>1.0528999999999999</v>
      </c>
      <c r="T146" s="95">
        <f>S146*C269</f>
        <v>1434.27333067</v>
      </c>
      <c r="U146" s="92">
        <v>12</v>
      </c>
      <c r="V146" s="93">
        <v>-5.3E-3</v>
      </c>
      <c r="W146" s="93">
        <v>8.0500000000000002E-2</v>
      </c>
      <c r="X146" s="187">
        <f t="shared" si="95"/>
        <v>4.9278664023565746E-3</v>
      </c>
      <c r="Y146" s="187">
        <f t="shared" si="96"/>
        <v>-1.3288863479406573E-2</v>
      </c>
      <c r="Z146" s="187">
        <f t="shared" si="97"/>
        <v>9.0909090909090912E-2</v>
      </c>
      <c r="AA146" s="185">
        <f t="shared" si="98"/>
        <v>-6.3E-3</v>
      </c>
      <c r="AB146" s="186">
        <f t="shared" si="99"/>
        <v>-5.5999999999999939E-3</v>
      </c>
    </row>
    <row r="147" spans="1:30">
      <c r="A147" s="200">
        <v>130</v>
      </c>
      <c r="B147" s="84" t="s">
        <v>184</v>
      </c>
      <c r="C147" s="85" t="s">
        <v>67</v>
      </c>
      <c r="D147" s="189">
        <v>10425389.451103199</v>
      </c>
      <c r="E147" s="90">
        <v>14316712977.98</v>
      </c>
      <c r="F147" s="91">
        <f t="shared" ref="F147:F160" si="106">(E147/$E$161)</f>
        <v>7.7827954579230505E-3</v>
      </c>
      <c r="G147" s="174">
        <v>1.3812588999344257</v>
      </c>
      <c r="H147" s="90">
        <v>1896.82</v>
      </c>
      <c r="I147" s="174">
        <v>1.3812588999344257</v>
      </c>
      <c r="J147" s="90">
        <v>1896.82</v>
      </c>
      <c r="K147" s="92">
        <v>371</v>
      </c>
      <c r="L147" s="93">
        <v>6.6000000000000003E-2</v>
      </c>
      <c r="M147" s="93">
        <v>7.3700000000000002E-2</v>
      </c>
      <c r="N147" s="174">
        <f>O147/C269</f>
        <v>10457692.558480056</v>
      </c>
      <c r="O147" s="90">
        <v>14245597432.780001</v>
      </c>
      <c r="P147" s="91">
        <f t="shared" ref="P147:P160" si="107">(O147/$O$161)</f>
        <v>7.7869641866828813E-3</v>
      </c>
      <c r="Q147" s="174">
        <f>R147/C269</f>
        <v>1.3798730197928768</v>
      </c>
      <c r="R147" s="90">
        <v>1879.68</v>
      </c>
      <c r="S147" s="90">
        <f>T147/C269</f>
        <v>1.3798730197928768</v>
      </c>
      <c r="T147" s="90">
        <v>1879.68</v>
      </c>
      <c r="U147" s="92">
        <v>371</v>
      </c>
      <c r="V147" s="93">
        <v>4.8300000000000003E-2</v>
      </c>
      <c r="W147" s="93">
        <v>7.2599999999999998E-2</v>
      </c>
      <c r="X147" s="185">
        <f t="shared" si="95"/>
        <v>-4.9673095569757533E-3</v>
      </c>
      <c r="Y147" s="185">
        <f t="shared" si="96"/>
        <v>-9.0361763372380482E-3</v>
      </c>
      <c r="Z147" s="187">
        <f t="shared" si="97"/>
        <v>0</v>
      </c>
      <c r="AA147" s="185">
        <f t="shared" si="98"/>
        <v>-1.77E-2</v>
      </c>
      <c r="AB147" s="186">
        <f t="shared" si="99"/>
        <v>-1.1000000000000038E-3</v>
      </c>
    </row>
    <row r="148" spans="1:30">
      <c r="A148" s="200">
        <v>131</v>
      </c>
      <c r="B148" s="84" t="s">
        <v>185</v>
      </c>
      <c r="C148" s="85" t="s">
        <v>89</v>
      </c>
      <c r="D148" s="189">
        <v>190773.81</v>
      </c>
      <c r="E148" s="90">
        <v>261980993.06464499</v>
      </c>
      <c r="F148" s="91">
        <f t="shared" si="106"/>
        <v>1.4241708177161291E-4</v>
      </c>
      <c r="G148" s="174">
        <v>1.08</v>
      </c>
      <c r="H148" s="90">
        <v>1483.1148600000001</v>
      </c>
      <c r="I148" s="174">
        <v>1.08</v>
      </c>
      <c r="J148" s="90">
        <v>1483.1148600000001</v>
      </c>
      <c r="K148" s="92">
        <v>9</v>
      </c>
      <c r="L148" s="93">
        <v>6.7799999999999999E-2</v>
      </c>
      <c r="M148" s="93">
        <v>6.7799999999999999E-2</v>
      </c>
      <c r="N148" s="174">
        <v>189974.23</v>
      </c>
      <c r="O148" s="90">
        <f>189974.23*C269</f>
        <v>258785232.789029</v>
      </c>
      <c r="P148" s="91">
        <f t="shared" si="107"/>
        <v>1.4145783279917581E-4</v>
      </c>
      <c r="Q148" s="174">
        <v>1.08</v>
      </c>
      <c r="R148" s="90">
        <f>1.08*C269</f>
        <v>1471.189284</v>
      </c>
      <c r="S148" s="174">
        <v>1.08</v>
      </c>
      <c r="T148" s="90">
        <f>1.08*C269</f>
        <v>1471.189284</v>
      </c>
      <c r="U148" s="92">
        <v>9</v>
      </c>
      <c r="V148" s="93">
        <v>6.7799999999999999E-2</v>
      </c>
      <c r="W148" s="93">
        <v>6.7799999999999999E-2</v>
      </c>
      <c r="X148" s="185">
        <f t="shared" si="95"/>
        <v>-1.2198443246710733E-2</v>
      </c>
      <c r="Y148" s="185">
        <f t="shared" si="96"/>
        <v>-8.0408984641958826E-3</v>
      </c>
      <c r="Z148" s="187">
        <f t="shared" si="97"/>
        <v>0</v>
      </c>
      <c r="AA148" s="185">
        <f t="shared" si="98"/>
        <v>0</v>
      </c>
      <c r="AB148" s="186">
        <f t="shared" si="99"/>
        <v>0</v>
      </c>
    </row>
    <row r="149" spans="1:30" ht="15.6">
      <c r="A149" s="200">
        <v>132</v>
      </c>
      <c r="B149" s="84" t="s">
        <v>186</v>
      </c>
      <c r="C149" s="85" t="s">
        <v>35</v>
      </c>
      <c r="D149" s="189">
        <v>102808573.44555399</v>
      </c>
      <c r="E149" s="90">
        <v>141355619973.23001</v>
      </c>
      <c r="F149" s="91">
        <f t="shared" si="106"/>
        <v>7.6843188710400107E-2</v>
      </c>
      <c r="G149" s="174">
        <v>100</v>
      </c>
      <c r="H149" s="90">
        <v>137325</v>
      </c>
      <c r="I149" s="174">
        <v>100</v>
      </c>
      <c r="J149" s="90">
        <v>137325</v>
      </c>
      <c r="K149" s="92">
        <v>3529</v>
      </c>
      <c r="L149" s="93">
        <v>5.33E-2</v>
      </c>
      <c r="M149" s="93">
        <v>4.99E-2</v>
      </c>
      <c r="N149" s="174">
        <f>O149/1374.94</f>
        <v>103297285.63180211</v>
      </c>
      <c r="O149" s="90">
        <v>142027569906.59</v>
      </c>
      <c r="P149" s="91">
        <f t="shared" si="107"/>
        <v>7.7635466367968892E-2</v>
      </c>
      <c r="Q149" s="174">
        <v>100</v>
      </c>
      <c r="R149" s="90">
        <f>100*1373.25</f>
        <v>137325</v>
      </c>
      <c r="S149" s="90">
        <v>100</v>
      </c>
      <c r="T149" s="90">
        <f>100*1373.25</f>
        <v>137325</v>
      </c>
      <c r="U149" s="92">
        <v>3614</v>
      </c>
      <c r="V149" s="93">
        <v>5.62E-2</v>
      </c>
      <c r="W149" s="93">
        <v>5.0200000000000002E-2</v>
      </c>
      <c r="X149" s="185">
        <f t="shared" si="95"/>
        <v>4.7536131459593864E-3</v>
      </c>
      <c r="Y149" s="185">
        <f t="shared" si="96"/>
        <v>0</v>
      </c>
      <c r="Z149" s="185">
        <f t="shared" si="97"/>
        <v>2.408614338339473E-2</v>
      </c>
      <c r="AA149" s="185">
        <f t="shared" si="98"/>
        <v>2.8999999999999998E-3</v>
      </c>
      <c r="AB149" s="186">
        <f t="shared" si="99"/>
        <v>3.0000000000000165E-4</v>
      </c>
      <c r="AD149" s="29"/>
    </row>
    <row r="150" spans="1:30" ht="15.6">
      <c r="A150" s="200">
        <v>133</v>
      </c>
      <c r="B150" s="84" t="s">
        <v>187</v>
      </c>
      <c r="C150" s="85" t="s">
        <v>143</v>
      </c>
      <c r="D150" s="189">
        <v>1129483.1599999999</v>
      </c>
      <c r="E150" s="90">
        <v>1551067832.1442199</v>
      </c>
      <c r="F150" s="91">
        <f t="shared" si="106"/>
        <v>8.4318542234586465E-4</v>
      </c>
      <c r="G150" s="174">
        <v>1.1499999999999999</v>
      </c>
      <c r="H150" s="90">
        <v>1579.242675</v>
      </c>
      <c r="I150" s="174">
        <v>1.1499999999999999</v>
      </c>
      <c r="J150" s="90">
        <v>1579.242675</v>
      </c>
      <c r="K150" s="92">
        <v>69</v>
      </c>
      <c r="L150" s="93">
        <v>1.9E-3</v>
      </c>
      <c r="M150" s="93">
        <v>0.10150000000000001</v>
      </c>
      <c r="N150" s="174">
        <v>1189473.43</v>
      </c>
      <c r="O150" s="90">
        <f>1189473.43*C269</f>
        <v>1620315336.8691888</v>
      </c>
      <c r="P150" s="91">
        <f t="shared" si="107"/>
        <v>8.8570083205496931E-4</v>
      </c>
      <c r="Q150" s="174">
        <v>1.1599999999999999</v>
      </c>
      <c r="R150" s="90">
        <f>1.16*C269</f>
        <v>1580.1662679999997</v>
      </c>
      <c r="S150" s="90">
        <v>1.1599999999999999</v>
      </c>
      <c r="T150" s="90">
        <f>1.16*C269</f>
        <v>1580.1662679999997</v>
      </c>
      <c r="U150" s="92">
        <v>53</v>
      </c>
      <c r="V150" s="93">
        <v>1.9E-3</v>
      </c>
      <c r="W150" s="93">
        <v>0.1018</v>
      </c>
      <c r="X150" s="185">
        <f t="shared" si="95"/>
        <v>4.4645052453470134E-2</v>
      </c>
      <c r="Y150" s="185">
        <f t="shared" si="96"/>
        <v>5.8483285350666907E-4</v>
      </c>
      <c r="Z150" s="185">
        <f t="shared" si="97"/>
        <v>-0.2318840579710145</v>
      </c>
      <c r="AA150" s="185">
        <f t="shared" si="98"/>
        <v>0</v>
      </c>
      <c r="AB150" s="186">
        <f t="shared" si="99"/>
        <v>2.9999999999999472E-4</v>
      </c>
      <c r="AD150" s="29"/>
    </row>
    <row r="151" spans="1:30" ht="15.6">
      <c r="A151" s="200">
        <v>134</v>
      </c>
      <c r="B151" s="84" t="s">
        <v>304</v>
      </c>
      <c r="C151" s="85" t="s">
        <v>40</v>
      </c>
      <c r="D151" s="189">
        <v>7821584.1699999999</v>
      </c>
      <c r="E151" s="96">
        <v>10741039391.126265</v>
      </c>
      <c r="F151" s="91">
        <f t="shared" si="106"/>
        <v>5.8390017817081955E-3</v>
      </c>
      <c r="G151" s="174">
        <v>10.84</v>
      </c>
      <c r="H151" s="90">
        <v>14886.07878</v>
      </c>
      <c r="I151" s="174">
        <v>10.84</v>
      </c>
      <c r="J151" s="90">
        <v>14886.07878</v>
      </c>
      <c r="K151" s="92">
        <v>193</v>
      </c>
      <c r="L151" s="93">
        <v>5.74E-2</v>
      </c>
      <c r="M151" s="93">
        <v>7.5399999999999995E-2</v>
      </c>
      <c r="N151" s="174">
        <v>7816658.4400000004</v>
      </c>
      <c r="O151" s="96">
        <f>7816658.44*C269</f>
        <v>10647948271.866812</v>
      </c>
      <c r="P151" s="91">
        <f t="shared" si="107"/>
        <v>5.8204081819612395E-3</v>
      </c>
      <c r="Q151" s="174">
        <v>10.84</v>
      </c>
      <c r="R151" s="90">
        <f>10.84*C269</f>
        <v>14766.381331999999</v>
      </c>
      <c r="S151" s="90">
        <v>10.84</v>
      </c>
      <c r="T151" s="90">
        <f>10.84*C269</f>
        <v>14766.381331999999</v>
      </c>
      <c r="U151" s="92">
        <v>162</v>
      </c>
      <c r="V151" s="93">
        <v>5.7700000000000001E-2</v>
      </c>
      <c r="W151" s="93">
        <v>7.5899999999999995E-2</v>
      </c>
      <c r="X151" s="185">
        <f t="shared" si="95"/>
        <v>-8.6668632214830406E-3</v>
      </c>
      <c r="Y151" s="185">
        <f t="shared" si="96"/>
        <v>-8.0408984641958756E-3</v>
      </c>
      <c r="Z151" s="185">
        <f t="shared" si="97"/>
        <v>-0.16062176165803108</v>
      </c>
      <c r="AA151" s="185">
        <f t="shared" si="98"/>
        <v>3.0000000000000165E-4</v>
      </c>
      <c r="AB151" s="186">
        <f t="shared" si="99"/>
        <v>5.0000000000000044E-4</v>
      </c>
      <c r="AD151" s="29"/>
    </row>
    <row r="152" spans="1:30" ht="15.6">
      <c r="A152" s="200">
        <v>135</v>
      </c>
      <c r="B152" s="85" t="s">
        <v>188</v>
      </c>
      <c r="C152" s="118" t="s">
        <v>44</v>
      </c>
      <c r="D152" s="189">
        <v>28868458.079693168</v>
      </c>
      <c r="E152" s="90">
        <v>39643739966</v>
      </c>
      <c r="F152" s="91">
        <f t="shared" si="106"/>
        <v>2.1550974711654819E-2</v>
      </c>
      <c r="G152" s="174">
        <v>1.1200000000000001</v>
      </c>
      <c r="H152" s="90">
        <v>1538.0450400000002</v>
      </c>
      <c r="I152" s="174">
        <v>1.1200000000000001</v>
      </c>
      <c r="J152" s="90">
        <v>1538.0450400000002</v>
      </c>
      <c r="K152" s="92">
        <v>620</v>
      </c>
      <c r="L152" s="93">
        <v>9.4000000000000004E-3</v>
      </c>
      <c r="M152" s="93">
        <v>7.9799999999999996E-2</v>
      </c>
      <c r="N152" s="174">
        <f>O152/C269</f>
        <v>28575398.976356331</v>
      </c>
      <c r="O152" s="90">
        <v>38925759963</v>
      </c>
      <c r="P152" s="91">
        <f t="shared" si="107"/>
        <v>2.1277696509506332E-2</v>
      </c>
      <c r="Q152" s="174">
        <v>1.1224000000000001</v>
      </c>
      <c r="R152" s="90">
        <f>Q152*C269</f>
        <v>1528.94708552</v>
      </c>
      <c r="S152" s="90">
        <v>1.1265000000000001</v>
      </c>
      <c r="T152" s="90">
        <f>S152*C269</f>
        <v>1534.5321559500001</v>
      </c>
      <c r="U152" s="92">
        <v>595</v>
      </c>
      <c r="V152" s="93">
        <v>-2.8999999999999998E-3</v>
      </c>
      <c r="W152" s="93">
        <v>7.7100000000000002E-2</v>
      </c>
      <c r="X152" s="185">
        <f t="shared" si="95"/>
        <v>-1.8110803965916619E-2</v>
      </c>
      <c r="Y152" s="185">
        <f t="shared" si="96"/>
        <v>-2.2839929642113331E-3</v>
      </c>
      <c r="Z152" s="185">
        <f t="shared" si="97"/>
        <v>-4.0322580645161289E-2</v>
      </c>
      <c r="AA152" s="185">
        <f t="shared" si="98"/>
        <v>-1.23E-2</v>
      </c>
      <c r="AB152" s="186">
        <f t="shared" si="99"/>
        <v>-2.6999999999999941E-3</v>
      </c>
      <c r="AD152" s="29"/>
    </row>
    <row r="153" spans="1:30">
      <c r="A153" s="203">
        <v>136</v>
      </c>
      <c r="B153" s="84" t="s">
        <v>189</v>
      </c>
      <c r="C153" s="85" t="s">
        <v>100</v>
      </c>
      <c r="D153" s="189">
        <v>316239.2</v>
      </c>
      <c r="E153" s="96">
        <v>434259669.44000006</v>
      </c>
      <c r="F153" s="91">
        <f t="shared" si="106"/>
        <v>2.3607054133690264E-4</v>
      </c>
      <c r="G153" s="174">
        <v>1.27</v>
      </c>
      <c r="H153" s="90">
        <v>1743.9640000000002</v>
      </c>
      <c r="I153" s="174">
        <v>1.27</v>
      </c>
      <c r="J153" s="90">
        <v>1743.9640000000002</v>
      </c>
      <c r="K153" s="92">
        <v>2</v>
      </c>
      <c r="L153" s="93">
        <v>1.1000000000000001E-3</v>
      </c>
      <c r="M153" s="93">
        <v>-0.11799999999999999</v>
      </c>
      <c r="N153" s="174">
        <v>316677.44</v>
      </c>
      <c r="O153" s="96">
        <f>N153*1362.21</f>
        <v>431381175.5424</v>
      </c>
      <c r="P153" s="91">
        <f t="shared" si="107"/>
        <v>2.3580265977671239E-4</v>
      </c>
      <c r="Q153" s="174">
        <v>1.27</v>
      </c>
      <c r="R153" s="90">
        <f>1.27*1362.21</f>
        <v>1730.0067000000001</v>
      </c>
      <c r="S153" s="90">
        <v>1.27</v>
      </c>
      <c r="T153" s="90">
        <f>1.27*1362.21</f>
        <v>1730.0067000000001</v>
      </c>
      <c r="U153" s="92">
        <v>2</v>
      </c>
      <c r="V153" s="93">
        <v>5.9999999999999995E-4</v>
      </c>
      <c r="W153" s="93">
        <v>-0.1047</v>
      </c>
      <c r="X153" s="185">
        <f t="shared" si="95"/>
        <v>-6.6285084712380017E-3</v>
      </c>
      <c r="Y153" s="185">
        <f t="shared" si="96"/>
        <v>-8.0032041945820153E-3</v>
      </c>
      <c r="Z153" s="185">
        <f t="shared" si="97"/>
        <v>0</v>
      </c>
      <c r="AA153" s="185">
        <f t="shared" ref="AA153" si="108">V153-L153</f>
        <v>-5.0000000000000012E-4</v>
      </c>
      <c r="AB153" s="186">
        <f t="shared" ref="AB153" si="109">W153-M153</f>
        <v>1.3299999999999992E-2</v>
      </c>
    </row>
    <row r="154" spans="1:30">
      <c r="A154" s="200">
        <v>137</v>
      </c>
      <c r="B154" s="84" t="s">
        <v>190</v>
      </c>
      <c r="C154" s="85" t="s">
        <v>105</v>
      </c>
      <c r="D154" s="189">
        <v>572202.04</v>
      </c>
      <c r="E154" s="96">
        <v>785779026.33918011</v>
      </c>
      <c r="F154" s="91">
        <f t="shared" si="106"/>
        <v>4.2716211790582646E-4</v>
      </c>
      <c r="G154" s="174">
        <v>1.0847</v>
      </c>
      <c r="H154" s="90">
        <v>1489.56915615</v>
      </c>
      <c r="I154" s="174">
        <v>1.0847</v>
      </c>
      <c r="J154" s="90">
        <v>1489.56915615</v>
      </c>
      <c r="K154" s="92">
        <v>16</v>
      </c>
      <c r="L154" s="93">
        <v>2.5000000000000001E-3</v>
      </c>
      <c r="M154" s="93">
        <v>3.7699999999999997E-2</v>
      </c>
      <c r="N154" s="174">
        <v>555433.29</v>
      </c>
      <c r="O154" s="96">
        <f>555433.29*C269</f>
        <v>756618059.46746695</v>
      </c>
      <c r="P154" s="91">
        <f t="shared" si="107"/>
        <v>4.1358446073404861E-4</v>
      </c>
      <c r="Q154" s="174">
        <v>1.0892999999999999</v>
      </c>
      <c r="R154" s="90">
        <f>1.0893*C269</f>
        <v>1483.8578583899998</v>
      </c>
      <c r="S154" s="90">
        <v>1.0873999999999999</v>
      </c>
      <c r="T154" s="90">
        <f>1.0874*C269</f>
        <v>1481.2696550199998</v>
      </c>
      <c r="U154" s="92">
        <v>17</v>
      </c>
      <c r="V154" s="93">
        <v>4.2299999999999997E-2</v>
      </c>
      <c r="W154" s="93">
        <v>4.19E-2</v>
      </c>
      <c r="X154" s="185">
        <f t="shared" ref="X154" si="110">((O154-E154)/E154)</f>
        <v>-3.7110900003999192E-2</v>
      </c>
      <c r="Y154" s="185">
        <f t="shared" ref="Y154" si="111">((T154-J154)/J154)</f>
        <v>-5.5717460956639323E-3</v>
      </c>
      <c r="Z154" s="185">
        <f t="shared" si="97"/>
        <v>6.25E-2</v>
      </c>
      <c r="AA154" s="185">
        <f t="shared" si="98"/>
        <v>3.9799999999999995E-2</v>
      </c>
      <c r="AB154" s="186">
        <f t="shared" si="99"/>
        <v>4.2000000000000023E-3</v>
      </c>
    </row>
    <row r="155" spans="1:30">
      <c r="A155" s="200">
        <v>138</v>
      </c>
      <c r="B155" s="84" t="s">
        <v>191</v>
      </c>
      <c r="C155" s="85" t="s">
        <v>46</v>
      </c>
      <c r="D155" s="189">
        <v>631025908.47000003</v>
      </c>
      <c r="E155" s="96">
        <v>867818380623.36755</v>
      </c>
      <c r="F155" s="91">
        <f t="shared" si="106"/>
        <v>0.47176003049064674</v>
      </c>
      <c r="G155" s="174">
        <v>1.6976</v>
      </c>
      <c r="H155" s="90">
        <v>2334.6244000000002</v>
      </c>
      <c r="I155" s="174">
        <v>1.6976</v>
      </c>
      <c r="J155" s="90">
        <v>2334.6244000000002</v>
      </c>
      <c r="K155" s="92">
        <v>13648</v>
      </c>
      <c r="L155" s="93">
        <v>8.0000000000000004E-4</v>
      </c>
      <c r="M155" s="93">
        <v>1.4800000000000001E-2</v>
      </c>
      <c r="N155" s="174">
        <v>630900580.27999997</v>
      </c>
      <c r="O155" s="96">
        <f>630900580.28*1361.56</f>
        <v>859008994086.03674</v>
      </c>
      <c r="P155" s="91">
        <f t="shared" si="107"/>
        <v>0.46955365013997141</v>
      </c>
      <c r="Q155" s="174">
        <v>1.6989000000000001</v>
      </c>
      <c r="R155" s="90">
        <f>1.6989*1361.56</f>
        <v>2313.1542840000002</v>
      </c>
      <c r="S155" s="174">
        <v>1.6989000000000001</v>
      </c>
      <c r="T155" s="90">
        <f>1.6989*1361.56</f>
        <v>2313.1542840000002</v>
      </c>
      <c r="U155" s="92">
        <v>13669</v>
      </c>
      <c r="V155" s="93">
        <v>8.0000000000000004E-4</v>
      </c>
      <c r="W155" s="93">
        <v>1.5599999999999999E-2</v>
      </c>
      <c r="X155" s="185">
        <f t="shared" si="95"/>
        <v>-1.0151186854331076E-2</v>
      </c>
      <c r="Y155" s="185">
        <f t="shared" si="96"/>
        <v>-9.1963897918654319E-3</v>
      </c>
      <c r="Z155" s="185">
        <f t="shared" si="97"/>
        <v>1.5386869871043376E-3</v>
      </c>
      <c r="AA155" s="185">
        <f t="shared" si="98"/>
        <v>0</v>
      </c>
      <c r="AB155" s="186">
        <f t="shared" si="99"/>
        <v>7.9999999999999863E-4</v>
      </c>
    </row>
    <row r="156" spans="1:30">
      <c r="A156" s="200">
        <v>139</v>
      </c>
      <c r="B156" s="84" t="s">
        <v>192</v>
      </c>
      <c r="C156" s="84" t="s">
        <v>110</v>
      </c>
      <c r="D156" s="189">
        <v>487249.83</v>
      </c>
      <c r="E156" s="96">
        <v>669118021.67173505</v>
      </c>
      <c r="F156" s="91">
        <f t="shared" si="106"/>
        <v>3.6374331928640778E-4</v>
      </c>
      <c r="G156" s="174">
        <v>116.9</v>
      </c>
      <c r="H156" s="90">
        <v>160533.45105</v>
      </c>
      <c r="I156" s="174">
        <v>116.9</v>
      </c>
      <c r="J156" s="90">
        <v>160533.45105</v>
      </c>
      <c r="K156" s="92">
        <v>32</v>
      </c>
      <c r="L156" s="93">
        <v>1.4E-3</v>
      </c>
      <c r="M156" s="93">
        <v>2.81E-2</v>
      </c>
      <c r="N156" s="174">
        <v>487837.19</v>
      </c>
      <c r="O156" s="96">
        <f>487837.19*C269</f>
        <v>664537820.61543691</v>
      </c>
      <c r="P156" s="91">
        <f t="shared" si="107"/>
        <v>3.6325132970003218E-4</v>
      </c>
      <c r="Q156" s="174">
        <v>117.04</v>
      </c>
      <c r="R156" s="90">
        <f>117.04*C269</f>
        <v>159433.32759199999</v>
      </c>
      <c r="S156" s="90">
        <v>117.04</v>
      </c>
      <c r="T156" s="90">
        <f>117.04*C269</f>
        <v>159433.32759199999</v>
      </c>
      <c r="U156" s="92">
        <v>32</v>
      </c>
      <c r="V156" s="93">
        <v>1.1999999999999999E-3</v>
      </c>
      <c r="W156" s="93">
        <v>2.93E-2</v>
      </c>
      <c r="X156" s="185">
        <f t="shared" ref="X156" si="112">((O156-E156)/E156)</f>
        <v>-6.84513181225472E-3</v>
      </c>
      <c r="Y156" s="185">
        <f t="shared" ref="Y156" si="113">((T156-J156)/J156)</f>
        <v>-6.8529234922967567E-3</v>
      </c>
      <c r="Z156" s="185">
        <f t="shared" ref="Z156" si="114">((U156-K156)/K156)</f>
        <v>0</v>
      </c>
      <c r="AA156" s="185">
        <f t="shared" ref="AA156" si="115">V156-L156</f>
        <v>-2.0000000000000009E-4</v>
      </c>
      <c r="AB156" s="186">
        <f t="shared" ref="AB156" si="116">W156-M156</f>
        <v>1.1999999999999997E-3</v>
      </c>
    </row>
    <row r="157" spans="1:30" ht="16.5" customHeight="1">
      <c r="A157" s="200">
        <v>140</v>
      </c>
      <c r="B157" s="84" t="s">
        <v>193</v>
      </c>
      <c r="C157" s="85" t="s">
        <v>49</v>
      </c>
      <c r="D157" s="189">
        <v>132765459.93000001</v>
      </c>
      <c r="E157" s="96">
        <v>182602958278.52344</v>
      </c>
      <c r="F157" s="91">
        <f t="shared" si="106"/>
        <v>9.9265905273035776E-2</v>
      </c>
      <c r="G157" s="174">
        <v>1.27559</v>
      </c>
      <c r="H157" s="90">
        <v>1754.4209742</v>
      </c>
      <c r="I157" s="174">
        <v>1.27559</v>
      </c>
      <c r="J157" s="90">
        <v>1754.4209742</v>
      </c>
      <c r="K157" s="92">
        <v>1043</v>
      </c>
      <c r="L157" s="93">
        <v>1E-3</v>
      </c>
      <c r="M157" s="93">
        <v>5.7799999999999997E-2</v>
      </c>
      <c r="N157" s="174">
        <v>132765459.93000001</v>
      </c>
      <c r="O157" s="96">
        <f>132765459.93*1375.38</f>
        <v>182602958278.52344</v>
      </c>
      <c r="P157" s="91">
        <f t="shared" si="107"/>
        <v>9.9814886894478594E-2</v>
      </c>
      <c r="Q157" s="174">
        <v>1.27559</v>
      </c>
      <c r="R157" s="90">
        <f>1.27559*1375.38</f>
        <v>1754.4209742</v>
      </c>
      <c r="S157" s="90">
        <v>1.27559</v>
      </c>
      <c r="T157" s="90">
        <f>1.27559*1375.38</f>
        <v>1754.4209742</v>
      </c>
      <c r="U157" s="92">
        <v>1043</v>
      </c>
      <c r="V157" s="93">
        <v>1E-3</v>
      </c>
      <c r="W157" s="93">
        <v>5.7799999999999997E-2</v>
      </c>
      <c r="X157" s="185">
        <f t="shared" si="95"/>
        <v>0</v>
      </c>
      <c r="Y157" s="185">
        <f t="shared" si="96"/>
        <v>0</v>
      </c>
      <c r="Z157" s="185">
        <f t="shared" si="97"/>
        <v>0</v>
      </c>
      <c r="AA157" s="185">
        <f t="shared" si="98"/>
        <v>0</v>
      </c>
      <c r="AB157" s="186">
        <f t="shared" si="99"/>
        <v>0</v>
      </c>
    </row>
    <row r="158" spans="1:30" ht="16.5" customHeight="1">
      <c r="A158" s="203">
        <v>141</v>
      </c>
      <c r="B158" s="84" t="s">
        <v>194</v>
      </c>
      <c r="C158" s="85" t="s">
        <v>107</v>
      </c>
      <c r="D158" s="189">
        <v>1526204.71</v>
      </c>
      <c r="E158" s="90">
        <v>2098913031.9200001</v>
      </c>
      <c r="F158" s="91">
        <f t="shared" si="106"/>
        <v>1.1410028849867535E-3</v>
      </c>
      <c r="G158" s="174">
        <v>116.4</v>
      </c>
      <c r="H158" s="90">
        <v>160079.1</v>
      </c>
      <c r="I158" s="174">
        <v>116.4</v>
      </c>
      <c r="J158" s="90">
        <v>160079.1</v>
      </c>
      <c r="K158" s="92">
        <v>33</v>
      </c>
      <c r="L158" s="93">
        <v>5.7999999999999996E-3</v>
      </c>
      <c r="M158" s="93">
        <v>4.1200000000000001E-2</v>
      </c>
      <c r="N158" s="174">
        <v>1577652.17</v>
      </c>
      <c r="O158" s="90">
        <v>2148068089.3000002</v>
      </c>
      <c r="P158" s="91">
        <f t="shared" si="107"/>
        <v>1.1741823648228138E-3</v>
      </c>
      <c r="Q158" s="174">
        <v>116.33</v>
      </c>
      <c r="R158" s="90">
        <v>158390.26999999999</v>
      </c>
      <c r="S158" s="174">
        <v>116.33</v>
      </c>
      <c r="T158" s="90">
        <v>158390.26999999999</v>
      </c>
      <c r="U158" s="92">
        <v>35</v>
      </c>
      <c r="V158" s="93">
        <v>-2.3999999999999998E-3</v>
      </c>
      <c r="W158" s="93">
        <v>3.8600000000000002E-2</v>
      </c>
      <c r="X158" s="185">
        <f t="shared" si="95"/>
        <v>2.3419292096650175E-2</v>
      </c>
      <c r="Y158" s="185">
        <f t="shared" si="96"/>
        <v>-1.054997185766297E-2</v>
      </c>
      <c r="Z158" s="185">
        <f t="shared" si="97"/>
        <v>6.0606060606060608E-2</v>
      </c>
      <c r="AA158" s="185">
        <f t="shared" si="98"/>
        <v>-8.199999999999999E-3</v>
      </c>
      <c r="AB158" s="186">
        <f t="shared" si="99"/>
        <v>-2.5999999999999981E-3</v>
      </c>
    </row>
    <row r="159" spans="1:30" ht="16.5" customHeight="1">
      <c r="A159" s="200">
        <v>142</v>
      </c>
      <c r="B159" s="84" t="s">
        <v>195</v>
      </c>
      <c r="C159" s="85" t="s">
        <v>117</v>
      </c>
      <c r="D159" s="189">
        <v>4381052.46</v>
      </c>
      <c r="E159" s="90">
        <v>6016300005.4310703</v>
      </c>
      <c r="F159" s="91">
        <f t="shared" si="106"/>
        <v>3.2705574546188806E-3</v>
      </c>
      <c r="G159" s="174">
        <v>1.18</v>
      </c>
      <c r="H159" s="90">
        <v>1620.44031</v>
      </c>
      <c r="I159" s="174">
        <v>1.18</v>
      </c>
      <c r="J159" s="90">
        <v>1620.44031</v>
      </c>
      <c r="K159" s="92">
        <v>59</v>
      </c>
      <c r="L159" s="93">
        <v>2.1100000000000001E-2</v>
      </c>
      <c r="M159" s="93">
        <v>2.5499999999999998E-2</v>
      </c>
      <c r="N159" s="174">
        <v>4257414.18</v>
      </c>
      <c r="O159" s="90">
        <f>N159*C269</f>
        <v>5799501962.1904135</v>
      </c>
      <c r="P159" s="91">
        <f t="shared" si="107"/>
        <v>3.1701383036598181E-3</v>
      </c>
      <c r="Q159" s="174">
        <v>1.18</v>
      </c>
      <c r="R159" s="90">
        <f>Q159*C269</f>
        <v>1607.4105139999999</v>
      </c>
      <c r="S159" s="90">
        <v>1.18</v>
      </c>
      <c r="T159" s="90">
        <f>S159*C269</f>
        <v>1607.4105139999999</v>
      </c>
      <c r="U159" s="92">
        <v>59</v>
      </c>
      <c r="V159" s="93">
        <v>2.4899999999999999E-2</v>
      </c>
      <c r="W159" s="93">
        <v>2.1700000000000001E-2</v>
      </c>
      <c r="X159" s="185">
        <f t="shared" ref="X159" si="117">((O159-E159)/E159)</f>
        <v>-3.6035111787136219E-2</v>
      </c>
      <c r="Y159" s="185">
        <f t="shared" ref="Y159" si="118">((T159-J159)/J159)</f>
        <v>-8.0408984641958409E-3</v>
      </c>
      <c r="Z159" s="185">
        <f t="shared" si="97"/>
        <v>0</v>
      </c>
      <c r="AA159" s="185">
        <f t="shared" si="98"/>
        <v>3.7999999999999978E-3</v>
      </c>
      <c r="AB159" s="186">
        <f t="shared" si="99"/>
        <v>-3.7999999999999978E-3</v>
      </c>
    </row>
    <row r="160" spans="1:30">
      <c r="A160" s="200">
        <v>143</v>
      </c>
      <c r="B160" s="84" t="s">
        <v>196</v>
      </c>
      <c r="C160" s="85" t="s">
        <v>119</v>
      </c>
      <c r="D160" s="189">
        <v>1542361.23</v>
      </c>
      <c r="E160" s="90">
        <v>2118054499.7230351</v>
      </c>
      <c r="F160" s="91">
        <f t="shared" si="106"/>
        <v>1.1514084947733417E-3</v>
      </c>
      <c r="G160" s="174">
        <v>1.53</v>
      </c>
      <c r="H160" s="90">
        <v>2101.079385</v>
      </c>
      <c r="I160" s="174">
        <v>1.53</v>
      </c>
      <c r="J160" s="90">
        <v>2101.079385</v>
      </c>
      <c r="K160" s="92">
        <v>147</v>
      </c>
      <c r="L160" s="93">
        <v>4.0000000000000002E-4</v>
      </c>
      <c r="M160" s="93">
        <v>2.87E-2</v>
      </c>
      <c r="N160" s="174">
        <v>1544184.54</v>
      </c>
      <c r="O160" s="90">
        <f>1544184.54*C269</f>
        <v>2103507173.857842</v>
      </c>
      <c r="P160" s="91">
        <f t="shared" si="107"/>
        <v>1.1498243654962685E-3</v>
      </c>
      <c r="Q160" s="174">
        <v>1.53</v>
      </c>
      <c r="R160" s="90">
        <f>1.53*C269</f>
        <v>2084.1848190000001</v>
      </c>
      <c r="S160" s="90">
        <v>1.53</v>
      </c>
      <c r="T160" s="90">
        <f>1.53*C269</f>
        <v>2084.1848190000001</v>
      </c>
      <c r="U160" s="92">
        <v>147</v>
      </c>
      <c r="V160" s="93">
        <v>6.9999999999999999E-4</v>
      </c>
      <c r="W160" s="93">
        <v>2.9399999999999999E-2</v>
      </c>
      <c r="X160" s="185">
        <f t="shared" si="95"/>
        <v>-6.8682490781494963E-3</v>
      </c>
      <c r="Y160" s="185">
        <f t="shared" si="96"/>
        <v>-8.0408984641957924E-3</v>
      </c>
      <c r="Z160" s="185">
        <f t="shared" si="97"/>
        <v>0</v>
      </c>
      <c r="AA160" s="185">
        <f t="shared" si="98"/>
        <v>2.9999999999999997E-4</v>
      </c>
      <c r="AB160" s="186">
        <f t="shared" si="99"/>
        <v>6.9999999999999923E-4</v>
      </c>
    </row>
    <row r="161" spans="1:31">
      <c r="B161" s="99"/>
      <c r="C161" s="123" t="s">
        <v>52</v>
      </c>
      <c r="D161" s="114">
        <f>SUM(D121:D160)</f>
        <v>1337869782.2869503</v>
      </c>
      <c r="E161" s="114">
        <f>SUM(E121:E160)</f>
        <v>1839533501218.4192</v>
      </c>
      <c r="F161" s="102">
        <f>(E161/$E$238)</f>
        <v>0.20398192189438813</v>
      </c>
      <c r="G161" s="174"/>
      <c r="H161" s="103"/>
      <c r="I161" s="174">
        <v>0</v>
      </c>
      <c r="J161" s="108"/>
      <c r="K161" s="105">
        <f>SUM(K121:K160)</f>
        <v>32059</v>
      </c>
      <c r="L161" s="124"/>
      <c r="M161" s="124"/>
      <c r="N161" s="114">
        <f>SUM(N121:N160)</f>
        <v>1338437986.2799387</v>
      </c>
      <c r="O161" s="114">
        <f>SUM(O121:O160)</f>
        <v>1829416071688.4446</v>
      </c>
      <c r="P161" s="102">
        <f>(O161/$O$238)</f>
        <v>0.2017927253194565</v>
      </c>
      <c r="Q161" s="179"/>
      <c r="R161" s="103"/>
      <c r="S161" s="103"/>
      <c r="T161" s="108"/>
      <c r="U161" s="105">
        <f>SUM(U121:U160)</f>
        <v>32196</v>
      </c>
      <c r="V161" s="124"/>
      <c r="W161" s="124"/>
      <c r="X161" s="185">
        <f t="shared" si="95"/>
        <v>-5.4999974304753389E-3</v>
      </c>
      <c r="Y161" s="185" t="e">
        <f t="shared" si="96"/>
        <v>#DIV/0!</v>
      </c>
      <c r="Z161" s="185">
        <f t="shared" si="97"/>
        <v>4.2733709722698777E-3</v>
      </c>
      <c r="AA161" s="185">
        <f t="shared" si="98"/>
        <v>0</v>
      </c>
      <c r="AB161" s="186">
        <f t="shared" si="99"/>
        <v>0</v>
      </c>
    </row>
    <row r="162" spans="1:31" ht="6" customHeight="1"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  <c r="T162" s="213"/>
      <c r="U162" s="213"/>
      <c r="V162" s="213"/>
      <c r="W162" s="213"/>
      <c r="X162" s="213"/>
      <c r="Y162" s="213"/>
      <c r="Z162" s="213"/>
      <c r="AA162" s="213"/>
      <c r="AB162" s="213"/>
    </row>
    <row r="163" spans="1:31">
      <c r="A163" s="191"/>
      <c r="B163" s="215" t="s">
        <v>337</v>
      </c>
      <c r="C163" s="215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</row>
    <row r="164" spans="1:31">
      <c r="A164" s="200">
        <v>144</v>
      </c>
      <c r="B164" s="84" t="s">
        <v>197</v>
      </c>
      <c r="C164" s="85" t="s">
        <v>198</v>
      </c>
      <c r="D164" s="171" t="s">
        <v>330</v>
      </c>
      <c r="E164" s="125">
        <v>2545749997.1399999</v>
      </c>
      <c r="F164" s="91">
        <f>(E164/$E$170)</f>
        <v>5.0099104312097062E-3</v>
      </c>
      <c r="G164" s="171" t="s">
        <v>330</v>
      </c>
      <c r="H164" s="116">
        <v>119.97</v>
      </c>
      <c r="I164" s="171" t="s">
        <v>330</v>
      </c>
      <c r="J164" s="116">
        <v>119.97</v>
      </c>
      <c r="K164" s="92">
        <v>8</v>
      </c>
      <c r="L164" s="93">
        <v>5.3E-3</v>
      </c>
      <c r="M164" s="93">
        <v>0.14119999999999999</v>
      </c>
      <c r="N164" s="171" t="s">
        <v>330</v>
      </c>
      <c r="O164" s="125">
        <v>2559242472.1300001</v>
      </c>
      <c r="P164" s="91">
        <f>(O164/$O$170)</f>
        <v>5.0235423946289317E-3</v>
      </c>
      <c r="Q164" s="171" t="s">
        <v>330</v>
      </c>
      <c r="R164" s="116">
        <v>120.61</v>
      </c>
      <c r="S164" s="171" t="s">
        <v>330</v>
      </c>
      <c r="T164" s="116">
        <v>120.61</v>
      </c>
      <c r="U164" s="92">
        <v>8</v>
      </c>
      <c r="V164" s="93">
        <v>5.3E-3</v>
      </c>
      <c r="W164" s="93">
        <v>0.1472</v>
      </c>
      <c r="X164" s="185">
        <f t="shared" ref="X164:X170" si="119">((O164-E164)/E164)</f>
        <v>5.3000000020262195E-3</v>
      </c>
      <c r="Y164" s="185">
        <f>((T164-J164)/J164)</f>
        <v>5.3346670000833591E-3</v>
      </c>
      <c r="Z164" s="185">
        <f>((U164-K164)/K164)</f>
        <v>0</v>
      </c>
      <c r="AA164" s="185">
        <f>V164-L164</f>
        <v>0</v>
      </c>
      <c r="AB164" s="186">
        <f>W164-M164</f>
        <v>6.0000000000000053E-3</v>
      </c>
    </row>
    <row r="165" spans="1:31">
      <c r="A165" s="200">
        <v>145</v>
      </c>
      <c r="B165" s="84" t="s">
        <v>199</v>
      </c>
      <c r="C165" s="85" t="s">
        <v>23</v>
      </c>
      <c r="D165" s="171" t="s">
        <v>330</v>
      </c>
      <c r="E165" s="125">
        <v>263941811256.5</v>
      </c>
      <c r="F165" s="91">
        <v>0</v>
      </c>
      <c r="G165" s="171" t="s">
        <v>330</v>
      </c>
      <c r="H165" s="116">
        <v>105.5767</v>
      </c>
      <c r="I165" s="171" t="s">
        <v>330</v>
      </c>
      <c r="J165" s="116">
        <v>105.5767</v>
      </c>
      <c r="K165" s="92">
        <v>45</v>
      </c>
      <c r="L165" s="93">
        <v>7.0499999999999993E-2</v>
      </c>
      <c r="M165" s="93">
        <v>0.11</v>
      </c>
      <c r="N165" s="171" t="s">
        <v>330</v>
      </c>
      <c r="O165" s="125">
        <v>264902196552.29999</v>
      </c>
      <c r="P165" s="91">
        <f t="shared" ref="P165:P169" si="120">(O165/$O$170)</f>
        <v>0.51997707497533596</v>
      </c>
      <c r="Q165" s="171" t="s">
        <v>330</v>
      </c>
      <c r="R165" s="116">
        <v>105.9609</v>
      </c>
      <c r="S165" s="171" t="s">
        <v>330</v>
      </c>
      <c r="T165" s="116">
        <v>105.9609</v>
      </c>
      <c r="U165" s="92">
        <v>45</v>
      </c>
      <c r="V165" s="93">
        <v>0.1898</v>
      </c>
      <c r="W165" s="93">
        <v>0.1139</v>
      </c>
      <c r="X165" s="185">
        <f t="shared" ref="X165" si="121">((O165-E165)/E165)</f>
        <v>3.6386250864463474E-3</v>
      </c>
      <c r="Y165" s="185">
        <f t="shared" ref="Y165" si="122">((T165-J165)/J165)</f>
        <v>3.6390605124046573E-3</v>
      </c>
      <c r="Z165" s="185">
        <f t="shared" ref="Z165" si="123">((U165-K165)/K165)</f>
        <v>0</v>
      </c>
      <c r="AA165" s="185">
        <f t="shared" ref="AA165" si="124">V165-L165</f>
        <v>0.1193</v>
      </c>
      <c r="AB165" s="186">
        <f t="shared" ref="AB165" si="125">W165-M165</f>
        <v>3.9000000000000007E-3</v>
      </c>
    </row>
    <row r="166" spans="1:31">
      <c r="A166" s="200">
        <v>146</v>
      </c>
      <c r="B166" s="84" t="s">
        <v>200</v>
      </c>
      <c r="C166" s="85" t="s">
        <v>44</v>
      </c>
      <c r="D166" s="171" t="s">
        <v>330</v>
      </c>
      <c r="E166" s="96">
        <v>170647847866</v>
      </c>
      <c r="F166" s="91">
        <f>(E166/$E$170)</f>
        <v>0.33582654779449056</v>
      </c>
      <c r="G166" s="171" t="s">
        <v>330</v>
      </c>
      <c r="H166" s="116">
        <v>103</v>
      </c>
      <c r="I166" s="171" t="s">
        <v>330</v>
      </c>
      <c r="J166" s="116">
        <v>103</v>
      </c>
      <c r="K166" s="92">
        <v>1452</v>
      </c>
      <c r="L166" s="93">
        <v>0</v>
      </c>
      <c r="M166" s="93">
        <v>0</v>
      </c>
      <c r="N166" s="171" t="s">
        <v>330</v>
      </c>
      <c r="O166" s="96">
        <v>170647847866</v>
      </c>
      <c r="P166" s="91">
        <f t="shared" si="120"/>
        <v>0.33496501704801884</v>
      </c>
      <c r="Q166" s="171" t="s">
        <v>330</v>
      </c>
      <c r="R166" s="116">
        <v>103</v>
      </c>
      <c r="S166" s="171" t="s">
        <v>330</v>
      </c>
      <c r="T166" s="116">
        <v>103</v>
      </c>
      <c r="U166" s="92">
        <v>1361</v>
      </c>
      <c r="V166" s="93">
        <v>0</v>
      </c>
      <c r="W166" s="93">
        <v>0</v>
      </c>
      <c r="X166" s="185">
        <f t="shared" si="119"/>
        <v>0</v>
      </c>
      <c r="Y166" s="185">
        <f t="shared" ref="Y166:Z170" si="126">((T166-J166)/J166)</f>
        <v>0</v>
      </c>
      <c r="Z166" s="185">
        <f t="shared" si="126"/>
        <v>-6.267217630853994E-2</v>
      </c>
      <c r="AA166" s="185">
        <f t="shared" ref="AA166:AB170" si="127">V166-L166</f>
        <v>0</v>
      </c>
      <c r="AB166" s="186">
        <f t="shared" si="127"/>
        <v>0</v>
      </c>
    </row>
    <row r="167" spans="1:31" ht="15.75" customHeight="1">
      <c r="A167" s="200">
        <v>147</v>
      </c>
      <c r="B167" s="84" t="s">
        <v>202</v>
      </c>
      <c r="C167" s="85" t="s">
        <v>152</v>
      </c>
      <c r="D167" s="171" t="s">
        <v>330</v>
      </c>
      <c r="E167" s="96">
        <v>6101262792.0299997</v>
      </c>
      <c r="F167" s="91">
        <f>(E167/$E$170)</f>
        <v>1.2006984244204155E-2</v>
      </c>
      <c r="G167" s="171" t="s">
        <v>330</v>
      </c>
      <c r="H167" s="116">
        <v>418.75</v>
      </c>
      <c r="I167" s="171" t="s">
        <v>330</v>
      </c>
      <c r="J167" s="116">
        <v>418.75</v>
      </c>
      <c r="K167" s="92">
        <v>5533</v>
      </c>
      <c r="L167" s="93">
        <v>0.31109999999999999</v>
      </c>
      <c r="M167" s="93">
        <v>1.8100000000000002E-2</v>
      </c>
      <c r="N167" s="171" t="s">
        <v>330</v>
      </c>
      <c r="O167" s="96">
        <v>6101478942.0600004</v>
      </c>
      <c r="P167" s="91">
        <f t="shared" si="120"/>
        <v>1.1976605760947662E-2</v>
      </c>
      <c r="Q167" s="171" t="s">
        <v>330</v>
      </c>
      <c r="R167" s="116">
        <v>418.75</v>
      </c>
      <c r="S167" s="171" t="s">
        <v>330</v>
      </c>
      <c r="T167" s="116">
        <v>418.75</v>
      </c>
      <c r="U167" s="92">
        <v>5533</v>
      </c>
      <c r="V167" s="93">
        <v>2.3999999999999998E-3</v>
      </c>
      <c r="W167" s="93">
        <v>1.7299999999999999E-2</v>
      </c>
      <c r="X167" s="185">
        <f t="shared" si="119"/>
        <v>3.542709720404776E-5</v>
      </c>
      <c r="Y167" s="185">
        <f t="shared" si="126"/>
        <v>0</v>
      </c>
      <c r="Z167" s="185">
        <f t="shared" si="126"/>
        <v>0</v>
      </c>
      <c r="AA167" s="185">
        <f t="shared" si="127"/>
        <v>-0.30869999999999997</v>
      </c>
      <c r="AB167" s="186">
        <f t="shared" si="127"/>
        <v>-8.000000000000021E-4</v>
      </c>
    </row>
    <row r="168" spans="1:31">
      <c r="A168" s="200">
        <v>148</v>
      </c>
      <c r="B168" s="84" t="s">
        <v>201</v>
      </c>
      <c r="C168" s="85" t="s">
        <v>152</v>
      </c>
      <c r="D168" s="171" t="s">
        <v>330</v>
      </c>
      <c r="E168" s="96">
        <v>28413187605.43</v>
      </c>
      <c r="F168" s="91">
        <f>(E168/$E$170)</f>
        <v>5.5915751793491564E-2</v>
      </c>
      <c r="G168" s="171" t="s">
        <v>330</v>
      </c>
      <c r="H168" s="116">
        <v>84.7</v>
      </c>
      <c r="I168" s="171" t="s">
        <v>330</v>
      </c>
      <c r="J168" s="116">
        <v>84.7</v>
      </c>
      <c r="K168" s="92">
        <v>8119</v>
      </c>
      <c r="L168" s="93">
        <v>5.3499999999999999E-2</v>
      </c>
      <c r="M168" s="93">
        <v>5.6099999999999997E-2</v>
      </c>
      <c r="N168" s="171" t="s">
        <v>330</v>
      </c>
      <c r="O168" s="96">
        <v>28423103564.91</v>
      </c>
      <c r="P168" s="91">
        <f t="shared" si="120"/>
        <v>5.579176936150862E-2</v>
      </c>
      <c r="Q168" s="171" t="s">
        <v>330</v>
      </c>
      <c r="R168" s="116">
        <v>84.7</v>
      </c>
      <c r="S168" s="171" t="s">
        <v>330</v>
      </c>
      <c r="T168" s="116">
        <v>84.7</v>
      </c>
      <c r="U168" s="92">
        <v>8119</v>
      </c>
      <c r="V168" s="93">
        <v>1.67E-2</v>
      </c>
      <c r="W168" s="93">
        <v>5.45E-2</v>
      </c>
      <c r="X168" s="185">
        <f t="shared" si="119"/>
        <v>3.4899144783405147E-4</v>
      </c>
      <c r="Y168" s="185">
        <f t="shared" si="126"/>
        <v>0</v>
      </c>
      <c r="Z168" s="185">
        <f t="shared" si="126"/>
        <v>0</v>
      </c>
      <c r="AA168" s="185">
        <f t="shared" si="127"/>
        <v>-3.6799999999999999E-2</v>
      </c>
      <c r="AB168" s="186">
        <f t="shared" si="127"/>
        <v>-1.5999999999999973E-3</v>
      </c>
    </row>
    <row r="169" spans="1:31">
      <c r="A169" s="200">
        <v>149</v>
      </c>
      <c r="B169" s="84" t="s">
        <v>300</v>
      </c>
      <c r="C169" s="85" t="s">
        <v>152</v>
      </c>
      <c r="D169" s="171" t="s">
        <v>330</v>
      </c>
      <c r="E169" s="96">
        <v>36492957025.290001</v>
      </c>
      <c r="F169" s="91">
        <f>(E169/$E$170)</f>
        <v>7.1816339496055245E-2</v>
      </c>
      <c r="G169" s="171" t="s">
        <v>330</v>
      </c>
      <c r="H169" s="116">
        <v>10.85</v>
      </c>
      <c r="I169" s="171" t="s">
        <v>330</v>
      </c>
      <c r="J169" s="116">
        <v>10.85</v>
      </c>
      <c r="K169" s="92">
        <v>215231</v>
      </c>
      <c r="L169" s="93">
        <v>0</v>
      </c>
      <c r="M169" s="93">
        <v>0</v>
      </c>
      <c r="N169" s="171" t="s">
        <v>330</v>
      </c>
      <c r="O169" s="96">
        <v>36815891565.360001</v>
      </c>
      <c r="P169" s="91">
        <f t="shared" si="120"/>
        <v>7.2265990459560128E-2</v>
      </c>
      <c r="Q169" s="171" t="s">
        <v>330</v>
      </c>
      <c r="R169" s="116">
        <v>10.1</v>
      </c>
      <c r="S169" s="171" t="s">
        <v>330</v>
      </c>
      <c r="T169" s="116">
        <v>10.1</v>
      </c>
      <c r="U169" s="92">
        <v>215231</v>
      </c>
      <c r="V169" s="93">
        <v>0</v>
      </c>
      <c r="W169" s="93">
        <v>0</v>
      </c>
      <c r="X169" s="185">
        <f t="shared" si="119"/>
        <v>8.8492291771862363E-3</v>
      </c>
      <c r="Y169" s="185">
        <f t="shared" si="126"/>
        <v>-6.9124423963133647E-2</v>
      </c>
      <c r="Z169" s="185">
        <f t="shared" si="126"/>
        <v>0</v>
      </c>
      <c r="AA169" s="185">
        <f t="shared" si="127"/>
        <v>0</v>
      </c>
      <c r="AB169" s="186">
        <f t="shared" si="127"/>
        <v>0</v>
      </c>
    </row>
    <row r="170" spans="1:31">
      <c r="B170" s="126"/>
      <c r="C170" s="100" t="s">
        <v>52</v>
      </c>
      <c r="D170" s="145" t="s">
        <v>330</v>
      </c>
      <c r="E170" s="101">
        <f>SUM(E164:E169)</f>
        <v>508142816542.39001</v>
      </c>
      <c r="F170" s="102">
        <f>(E170/$E$238)</f>
        <v>5.6346866336758797E-2</v>
      </c>
      <c r="G170" s="171"/>
      <c r="H170" s="103"/>
      <c r="I170" s="103"/>
      <c r="J170" s="127"/>
      <c r="K170" s="105">
        <f>SUM(K164:K169)</f>
        <v>230388</v>
      </c>
      <c r="L170" s="128"/>
      <c r="M170" s="128"/>
      <c r="N170" s="171"/>
      <c r="O170" s="101">
        <f>SUM(O164:O169)</f>
        <v>509449760962.75995</v>
      </c>
      <c r="P170" s="102">
        <f>(O170/$O$238)</f>
        <v>5.6194573377252324E-2</v>
      </c>
      <c r="Q170" s="173"/>
      <c r="R170" s="103"/>
      <c r="S170" s="103"/>
      <c r="T170" s="127"/>
      <c r="U170" s="105">
        <f>SUM(U164:U169)</f>
        <v>230297</v>
      </c>
      <c r="V170" s="128"/>
      <c r="W170" s="128"/>
      <c r="X170" s="185">
        <f t="shared" si="119"/>
        <v>2.5720021573126125E-3</v>
      </c>
      <c r="Y170" s="185" t="e">
        <f t="shared" si="126"/>
        <v>#DIV/0!</v>
      </c>
      <c r="Z170" s="185">
        <f t="shared" si="126"/>
        <v>-3.9498584995746307E-4</v>
      </c>
      <c r="AA170" s="185">
        <f t="shared" si="127"/>
        <v>0</v>
      </c>
      <c r="AB170" s="186">
        <f t="shared" si="127"/>
        <v>0</v>
      </c>
    </row>
    <row r="171" spans="1:31" ht="5.25" customHeight="1"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  <c r="R171" s="213"/>
      <c r="S171" s="213"/>
      <c r="T171" s="213"/>
      <c r="U171" s="213"/>
      <c r="V171" s="213"/>
      <c r="W171" s="213"/>
      <c r="X171" s="213"/>
      <c r="Y171" s="213"/>
      <c r="Z171" s="213"/>
      <c r="AA171" s="213"/>
      <c r="AB171" s="213"/>
    </row>
    <row r="172" spans="1:31" ht="15" customHeight="1">
      <c r="A172" s="191"/>
      <c r="B172" s="215" t="s">
        <v>203</v>
      </c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</row>
    <row r="173" spans="1:31" ht="13.8" customHeight="1">
      <c r="A173" s="200">
        <v>150</v>
      </c>
      <c r="B173" s="84" t="s">
        <v>204</v>
      </c>
      <c r="C173" s="85" t="s">
        <v>56</v>
      </c>
      <c r="D173" s="171" t="s">
        <v>330</v>
      </c>
      <c r="E173" s="90">
        <v>980068362.38</v>
      </c>
      <c r="F173" s="91">
        <f t="shared" ref="F173:F192" si="128">(E173/$E$203)</f>
        <v>6.1671311335228718E-3</v>
      </c>
      <c r="G173" s="171" t="s">
        <v>330</v>
      </c>
      <c r="H173" s="90">
        <v>9.76</v>
      </c>
      <c r="I173" s="171" t="s">
        <v>330</v>
      </c>
      <c r="J173" s="90">
        <v>9.94</v>
      </c>
      <c r="K173" s="88">
        <v>11994</v>
      </c>
      <c r="L173" s="89">
        <v>-4.6420000000000003E-3</v>
      </c>
      <c r="M173" s="89">
        <v>0.24457599999999999</v>
      </c>
      <c r="N173" s="171" t="s">
        <v>330</v>
      </c>
      <c r="O173" s="90">
        <v>1027315683.15</v>
      </c>
      <c r="P173" s="113">
        <f t="shared" ref="P173:P202" si="129">(O173/$O$203)</f>
        <v>6.5104614021479126E-3</v>
      </c>
      <c r="Q173" s="171" t="s">
        <v>330</v>
      </c>
      <c r="R173" s="90">
        <v>9.65</v>
      </c>
      <c r="S173" s="171" t="s">
        <v>330</v>
      </c>
      <c r="T173" s="90">
        <v>9.83</v>
      </c>
      <c r="U173" s="88">
        <v>12000</v>
      </c>
      <c r="V173" s="89">
        <v>-1.3937E-2</v>
      </c>
      <c r="W173" s="89">
        <v>0.23063900000000001</v>
      </c>
      <c r="X173" s="185">
        <f>((O173-E173)/E173)</f>
        <v>4.8208188921907952E-2</v>
      </c>
      <c r="Y173" s="185">
        <f t="shared" ref="Y173:Z177" si="130">((T173-J173)/J173)</f>
        <v>-1.1066398390341996E-2</v>
      </c>
      <c r="Z173" s="185">
        <f t="shared" si="130"/>
        <v>5.0025012506253123E-4</v>
      </c>
      <c r="AA173" s="185">
        <f t="shared" ref="AA173:AB177" si="131">V173-L173</f>
        <v>-9.2949999999999994E-3</v>
      </c>
      <c r="AB173" s="186">
        <f t="shared" si="131"/>
        <v>-1.3936999999999977E-2</v>
      </c>
      <c r="AD173" s="41"/>
    </row>
    <row r="174" spans="1:31" ht="14.4" customHeight="1">
      <c r="A174" s="200">
        <v>151</v>
      </c>
      <c r="B174" s="84" t="s">
        <v>205</v>
      </c>
      <c r="C174" s="84" t="s">
        <v>206</v>
      </c>
      <c r="D174" s="171" t="s">
        <v>330</v>
      </c>
      <c r="E174" s="90">
        <v>3193200458.8800001</v>
      </c>
      <c r="F174" s="91">
        <f t="shared" si="128"/>
        <v>2.0093379932922355E-2</v>
      </c>
      <c r="G174" s="171" t="s">
        <v>330</v>
      </c>
      <c r="H174" s="90">
        <v>3073.53</v>
      </c>
      <c r="I174" s="171" t="s">
        <v>330</v>
      </c>
      <c r="J174" s="90">
        <v>3095.07</v>
      </c>
      <c r="K174" s="88">
        <v>242</v>
      </c>
      <c r="L174" s="89">
        <v>6.0000000000000001E-3</v>
      </c>
      <c r="M174" s="89">
        <v>0.3992</v>
      </c>
      <c r="N174" s="171" t="s">
        <v>330</v>
      </c>
      <c r="O174" s="90">
        <v>3124907983.4099998</v>
      </c>
      <c r="P174" s="113">
        <f t="shared" si="129"/>
        <v>1.9803642779864121E-2</v>
      </c>
      <c r="Q174" s="171" t="s">
        <v>330</v>
      </c>
      <c r="R174" s="90">
        <v>3033.24</v>
      </c>
      <c r="S174" s="171" t="s">
        <v>330</v>
      </c>
      <c r="T174" s="90">
        <v>3053.81</v>
      </c>
      <c r="U174" s="88">
        <v>249</v>
      </c>
      <c r="V174" s="89">
        <v>-7.3000000000000001E-3</v>
      </c>
      <c r="W174" s="89">
        <v>0.38059999999999999</v>
      </c>
      <c r="X174" s="185">
        <f>((O174-E174)/E174)</f>
        <v>-2.1386842557937477E-2</v>
      </c>
      <c r="Y174" s="185">
        <f t="shared" si="130"/>
        <v>-1.3330877815364505E-2</v>
      </c>
      <c r="Z174" s="185">
        <f t="shared" si="130"/>
        <v>2.8925619834710745E-2</v>
      </c>
      <c r="AA174" s="185">
        <f t="shared" si="131"/>
        <v>-1.3299999999999999E-2</v>
      </c>
      <c r="AB174" s="186">
        <f t="shared" si="131"/>
        <v>-1.8600000000000005E-2</v>
      </c>
      <c r="AD174" s="50"/>
      <c r="AE174" s="50"/>
    </row>
    <row r="175" spans="1:31" ht="14.4" customHeight="1">
      <c r="A175" s="200">
        <v>152</v>
      </c>
      <c r="B175" s="84" t="s">
        <v>207</v>
      </c>
      <c r="C175" s="85" t="s">
        <v>23</v>
      </c>
      <c r="D175" s="171" t="s">
        <v>330</v>
      </c>
      <c r="E175" s="90">
        <v>16261953406.02</v>
      </c>
      <c r="F175" s="91">
        <f t="shared" si="128"/>
        <v>0.10232918742384539</v>
      </c>
      <c r="G175" s="171" t="s">
        <v>330</v>
      </c>
      <c r="H175" s="90">
        <v>1423.9241999999999</v>
      </c>
      <c r="I175" s="171" t="s">
        <v>330</v>
      </c>
      <c r="J175" s="90">
        <v>1466.8566000000001</v>
      </c>
      <c r="K175" s="88">
        <v>23360</v>
      </c>
      <c r="L175" s="89">
        <v>8.7499999999999994E-2</v>
      </c>
      <c r="M175" s="89">
        <v>0.85629999999999995</v>
      </c>
      <c r="N175" s="171" t="s">
        <v>330</v>
      </c>
      <c r="O175" s="90">
        <v>16141255768.639999</v>
      </c>
      <c r="P175" s="113">
        <f t="shared" si="129"/>
        <v>0.1022928242871808</v>
      </c>
      <c r="Q175" s="171" t="s">
        <v>330</v>
      </c>
      <c r="R175" s="90">
        <v>1402.7714000000001</v>
      </c>
      <c r="S175" s="171" t="s">
        <v>330</v>
      </c>
      <c r="T175" s="90">
        <v>1445.066</v>
      </c>
      <c r="U175" s="88">
        <v>23445</v>
      </c>
      <c r="V175" s="89">
        <v>-0.77459999999999996</v>
      </c>
      <c r="W175" s="89">
        <v>0.77100000000000002</v>
      </c>
      <c r="X175" s="185">
        <f t="shared" ref="X175:X202" si="132">((O175-E175)/E175)</f>
        <v>-7.4220872712204488E-3</v>
      </c>
      <c r="Y175" s="185">
        <f t="shared" si="130"/>
        <v>-1.4855303510922634E-2</v>
      </c>
      <c r="Z175" s="185">
        <f t="shared" si="130"/>
        <v>3.6386986301369861E-3</v>
      </c>
      <c r="AA175" s="185">
        <f t="shared" si="131"/>
        <v>-0.86209999999999998</v>
      </c>
      <c r="AB175" s="186">
        <f t="shared" si="131"/>
        <v>-8.5299999999999931E-2</v>
      </c>
      <c r="AD175" s="41"/>
      <c r="AE175" s="41"/>
    </row>
    <row r="176" spans="1:31" ht="15.6" customHeight="1">
      <c r="A176" s="200">
        <v>153</v>
      </c>
      <c r="B176" s="84" t="s">
        <v>208</v>
      </c>
      <c r="C176" s="85" t="s">
        <v>121</v>
      </c>
      <c r="D176" s="171" t="s">
        <v>330</v>
      </c>
      <c r="E176" s="90">
        <v>8131035155.9700003</v>
      </c>
      <c r="F176" s="91">
        <f t="shared" si="128"/>
        <v>5.1164961530213035E-2</v>
      </c>
      <c r="G176" s="171" t="s">
        <v>330</v>
      </c>
      <c r="H176" s="90">
        <v>47.011099999999999</v>
      </c>
      <c r="I176" s="171" t="s">
        <v>330</v>
      </c>
      <c r="J176" s="90">
        <v>47.6023</v>
      </c>
      <c r="K176" s="92">
        <v>6322</v>
      </c>
      <c r="L176" s="93">
        <v>-9.4000000000000004E-3</v>
      </c>
      <c r="M176" s="93">
        <v>0.38590000000000002</v>
      </c>
      <c r="N176" s="171" t="s">
        <v>330</v>
      </c>
      <c r="O176" s="90">
        <v>8077169543.8299999</v>
      </c>
      <c r="P176" s="113">
        <f t="shared" si="129"/>
        <v>5.1187868944498241E-2</v>
      </c>
      <c r="Q176" s="171" t="s">
        <v>330</v>
      </c>
      <c r="R176" s="90">
        <v>46.684399999999997</v>
      </c>
      <c r="S176" s="171" t="s">
        <v>330</v>
      </c>
      <c r="T176" s="90">
        <v>47.2667</v>
      </c>
      <c r="U176" s="92">
        <v>6329</v>
      </c>
      <c r="V176" s="93">
        <v>-8.0000000000000004E-4</v>
      </c>
      <c r="W176" s="93">
        <v>0.37619999999999998</v>
      </c>
      <c r="X176" s="185">
        <f t="shared" si="132"/>
        <v>-6.6246930565108829E-3</v>
      </c>
      <c r="Y176" s="185">
        <f t="shared" si="130"/>
        <v>-7.0500795129646984E-3</v>
      </c>
      <c r="Z176" s="185">
        <f t="shared" si="130"/>
        <v>1.1072445428661815E-3</v>
      </c>
      <c r="AA176" s="185">
        <f t="shared" si="131"/>
        <v>8.6E-3</v>
      </c>
      <c r="AB176" s="186">
        <f t="shared" si="131"/>
        <v>-9.7000000000000419E-3</v>
      </c>
      <c r="AD176" s="50"/>
      <c r="AE176" s="50"/>
    </row>
    <row r="177" spans="1:33" ht="16.2" customHeight="1">
      <c r="A177" s="203">
        <v>154</v>
      </c>
      <c r="B177" s="84" t="s">
        <v>209</v>
      </c>
      <c r="C177" s="85" t="s">
        <v>128</v>
      </c>
      <c r="D177" s="171" t="s">
        <v>330</v>
      </c>
      <c r="E177" s="96">
        <v>3823556723.27</v>
      </c>
      <c r="F177" s="91">
        <f t="shared" si="128"/>
        <v>2.4059929504924003E-2</v>
      </c>
      <c r="G177" s="171" t="s">
        <v>330</v>
      </c>
      <c r="H177" s="90">
        <v>9.0634999999999994</v>
      </c>
      <c r="I177" s="171" t="s">
        <v>330</v>
      </c>
      <c r="J177" s="90">
        <v>9.3036999999999992</v>
      </c>
      <c r="K177" s="92">
        <v>2737</v>
      </c>
      <c r="L177" s="93">
        <v>2.9899999999999999E-2</v>
      </c>
      <c r="M177" s="93">
        <v>0.5323</v>
      </c>
      <c r="N177" s="171" t="s">
        <v>330</v>
      </c>
      <c r="O177" s="96">
        <v>3774727047.46</v>
      </c>
      <c r="P177" s="113">
        <f t="shared" si="129"/>
        <v>2.3921775116659848E-2</v>
      </c>
      <c r="Q177" s="171" t="s">
        <v>330</v>
      </c>
      <c r="R177" s="90">
        <v>9.0540000000000003</v>
      </c>
      <c r="S177" s="171" t="s">
        <v>330</v>
      </c>
      <c r="T177" s="90">
        <v>9.1710999999999991</v>
      </c>
      <c r="U177" s="92">
        <v>2737</v>
      </c>
      <c r="V177" s="93">
        <v>2.9899999999999999E-2</v>
      </c>
      <c r="W177" s="93">
        <v>0.5323</v>
      </c>
      <c r="X177" s="185">
        <f t="shared" si="132"/>
        <v>-1.2770747067206996E-2</v>
      </c>
      <c r="Y177" s="185">
        <f t="shared" si="130"/>
        <v>-1.4252394208755664E-2</v>
      </c>
      <c r="Z177" s="185">
        <f t="shared" si="130"/>
        <v>0</v>
      </c>
      <c r="AA177" s="185">
        <f t="shared" si="131"/>
        <v>0</v>
      </c>
      <c r="AB177" s="186">
        <f t="shared" si="131"/>
        <v>0</v>
      </c>
      <c r="AC177" s="41"/>
      <c r="AD177" s="41"/>
      <c r="AE177" s="41"/>
      <c r="AG177" s="50"/>
    </row>
    <row r="178" spans="1:33" ht="15.6" customHeight="1">
      <c r="A178" s="200">
        <v>155</v>
      </c>
      <c r="B178" s="84" t="s">
        <v>210</v>
      </c>
      <c r="C178" s="85" t="s">
        <v>27</v>
      </c>
      <c r="D178" s="171" t="s">
        <v>330</v>
      </c>
      <c r="E178" s="96">
        <v>3858375446.5500002</v>
      </c>
      <c r="F178" s="91">
        <f t="shared" si="128"/>
        <v>2.4279028131726069E-2</v>
      </c>
      <c r="G178" s="171" t="s">
        <v>330</v>
      </c>
      <c r="H178" s="90">
        <v>1.8080000000000001</v>
      </c>
      <c r="I178" s="171" t="s">
        <v>330</v>
      </c>
      <c r="J178" s="90">
        <v>1.8211999999999999</v>
      </c>
      <c r="K178" s="92">
        <v>683</v>
      </c>
      <c r="L178" s="93">
        <v>7.1999999999999998E-3</v>
      </c>
      <c r="M178" s="93">
        <v>0.45379999999999998</v>
      </c>
      <c r="N178" s="171" t="s">
        <v>330</v>
      </c>
      <c r="O178" s="96">
        <v>3805020749.8200002</v>
      </c>
      <c r="P178" s="113">
        <f t="shared" si="129"/>
        <v>2.4113756980830552E-2</v>
      </c>
      <c r="Q178" s="171" t="s">
        <v>330</v>
      </c>
      <c r="R178" s="90">
        <v>1.7830999999999999</v>
      </c>
      <c r="S178" s="171" t="s">
        <v>330</v>
      </c>
      <c r="T178" s="90">
        <v>1.7961</v>
      </c>
      <c r="U178" s="92">
        <v>703</v>
      </c>
      <c r="V178" s="93">
        <v>-1.3899999999999999E-2</v>
      </c>
      <c r="W178" s="93">
        <v>0.4335</v>
      </c>
      <c r="X178" s="185">
        <f t="shared" ref="X178" si="133">((O178-E178)/E178)</f>
        <v>-1.3828280184010496E-2</v>
      </c>
      <c r="Y178" s="185">
        <f t="shared" ref="Y178" si="134">((T178-J178)/J178)</f>
        <v>-1.3782121678014441E-2</v>
      </c>
      <c r="Z178" s="185">
        <f t="shared" ref="Z178" si="135">((U178-K178)/K178)</f>
        <v>2.9282576866764276E-2</v>
      </c>
      <c r="AA178" s="185">
        <f t="shared" ref="AA178" si="136">V178-L178</f>
        <v>-2.1100000000000001E-2</v>
      </c>
      <c r="AB178" s="186">
        <f t="shared" ref="AB178" si="137">W178-M178</f>
        <v>-2.0299999999999985E-2</v>
      </c>
      <c r="AD178" s="50"/>
      <c r="AE178" s="50"/>
    </row>
    <row r="179" spans="1:33" ht="16.2" customHeight="1">
      <c r="A179" s="200">
        <v>156</v>
      </c>
      <c r="B179" s="84" t="s">
        <v>211</v>
      </c>
      <c r="C179" s="85" t="s">
        <v>67</v>
      </c>
      <c r="D179" s="171" t="s">
        <v>330</v>
      </c>
      <c r="E179" s="90">
        <v>11781038282.379999</v>
      </c>
      <c r="F179" s="91">
        <f t="shared" si="128"/>
        <v>7.4132796002163007E-2</v>
      </c>
      <c r="G179" s="171" t="s">
        <v>330</v>
      </c>
      <c r="H179" s="90">
        <v>14730.68</v>
      </c>
      <c r="I179" s="171" t="s">
        <v>330</v>
      </c>
      <c r="J179" s="90">
        <v>14830.77</v>
      </c>
      <c r="K179" s="92">
        <v>1681</v>
      </c>
      <c r="L179" s="93">
        <v>-0.1173</v>
      </c>
      <c r="M179" s="93">
        <v>0.78141091374003901</v>
      </c>
      <c r="N179" s="171" t="s">
        <v>330</v>
      </c>
      <c r="O179" s="90">
        <v>11820855505.01</v>
      </c>
      <c r="P179" s="113">
        <f t="shared" si="129"/>
        <v>7.4912925761786833E-2</v>
      </c>
      <c r="Q179" s="171" t="s">
        <v>330</v>
      </c>
      <c r="R179" s="90">
        <v>14619.36</v>
      </c>
      <c r="S179" s="171" t="s">
        <v>330</v>
      </c>
      <c r="T179" s="90">
        <v>14720.06</v>
      </c>
      <c r="U179" s="92">
        <v>1682</v>
      </c>
      <c r="V179" s="93">
        <v>-0.39410000000000001</v>
      </c>
      <c r="W179" s="93">
        <v>0.72299999999999998</v>
      </c>
      <c r="X179" s="185">
        <f t="shared" si="132"/>
        <v>3.3797719416252684E-3</v>
      </c>
      <c r="Y179" s="185">
        <f t="shared" ref="Y179:Y191" si="138">((T179-J179)/J179)</f>
        <v>-7.4648855049333877E-3</v>
      </c>
      <c r="Z179" s="185">
        <f t="shared" ref="Z179:Z191" si="139">((U179-K179)/K179)</f>
        <v>5.9488399762046404E-4</v>
      </c>
      <c r="AA179" s="185">
        <f t="shared" ref="AA179:AA191" si="140">V179-L179</f>
        <v>-0.27679999999999999</v>
      </c>
      <c r="AB179" s="186">
        <f t="shared" ref="AB179:AB191" si="141">W179-M179</f>
        <v>-5.8410913740039039E-2</v>
      </c>
      <c r="AD179" s="41"/>
      <c r="AE179" s="41"/>
      <c r="AG179" s="50"/>
    </row>
    <row r="180" spans="1:33" ht="16.2" customHeight="1">
      <c r="A180" s="200">
        <v>157</v>
      </c>
      <c r="B180" s="84" t="s">
        <v>212</v>
      </c>
      <c r="C180" s="85" t="s">
        <v>69</v>
      </c>
      <c r="D180" s="171" t="s">
        <v>330</v>
      </c>
      <c r="E180" s="90">
        <v>2927370242.0300002</v>
      </c>
      <c r="F180" s="91">
        <f t="shared" si="128"/>
        <v>1.8420629470306031E-2</v>
      </c>
      <c r="G180" s="171" t="s">
        <v>330</v>
      </c>
      <c r="H180" s="90">
        <v>302.19</v>
      </c>
      <c r="I180" s="171" t="s">
        <v>330</v>
      </c>
      <c r="J180" s="90">
        <v>303.93</v>
      </c>
      <c r="K180" s="92">
        <v>508</v>
      </c>
      <c r="L180" s="93">
        <v>-3.8999999999999998E-3</v>
      </c>
      <c r="M180" s="93">
        <v>0.34870000000000001</v>
      </c>
      <c r="N180" s="171" t="s">
        <v>330</v>
      </c>
      <c r="O180" s="90">
        <v>2838172901.5</v>
      </c>
      <c r="P180" s="113">
        <f t="shared" si="129"/>
        <v>1.798650155050726E-2</v>
      </c>
      <c r="Q180" s="171" t="s">
        <v>330</v>
      </c>
      <c r="R180" s="90">
        <v>299.18</v>
      </c>
      <c r="S180" s="171" t="s">
        <v>330</v>
      </c>
      <c r="T180" s="90">
        <v>301.33999999999997</v>
      </c>
      <c r="U180" s="92">
        <v>508</v>
      </c>
      <c r="V180" s="93">
        <v>-9.1999999999999998E-3</v>
      </c>
      <c r="W180" s="93">
        <v>0.33660000000000001</v>
      </c>
      <c r="X180" s="185">
        <f t="shared" si="132"/>
        <v>-3.0470126138928653E-2</v>
      </c>
      <c r="Y180" s="185">
        <f t="shared" si="138"/>
        <v>-8.5216990754451091E-3</v>
      </c>
      <c r="Z180" s="185">
        <f t="shared" si="139"/>
        <v>0</v>
      </c>
      <c r="AA180" s="185">
        <f t="shared" si="140"/>
        <v>-5.3E-3</v>
      </c>
      <c r="AB180" s="186">
        <f t="shared" si="141"/>
        <v>-1.21E-2</v>
      </c>
    </row>
    <row r="181" spans="1:33" ht="14.4" customHeight="1">
      <c r="A181" s="200">
        <v>158</v>
      </c>
      <c r="B181" s="84" t="s">
        <v>213</v>
      </c>
      <c r="C181" s="85" t="s">
        <v>214</v>
      </c>
      <c r="D181" s="171" t="s">
        <v>330</v>
      </c>
      <c r="E181" s="90">
        <v>6224806109.9799995</v>
      </c>
      <c r="F181" s="91">
        <f t="shared" si="128"/>
        <v>3.9169916135009857E-2</v>
      </c>
      <c r="G181" s="171" t="s">
        <v>330</v>
      </c>
      <c r="H181" s="90">
        <v>2.7364999999999999</v>
      </c>
      <c r="I181" s="171" t="s">
        <v>330</v>
      </c>
      <c r="J181" s="90">
        <v>2.7584</v>
      </c>
      <c r="K181" s="92">
        <v>5418</v>
      </c>
      <c r="L181" s="93">
        <v>-4.0129874867744775E-4</v>
      </c>
      <c r="M181" s="93">
        <v>0.38869274584569058</v>
      </c>
      <c r="N181" s="171" t="s">
        <v>330</v>
      </c>
      <c r="O181" s="90">
        <v>6460135242.5100002</v>
      </c>
      <c r="P181" s="113">
        <f t="shared" si="129"/>
        <v>4.094015290417384E-2</v>
      </c>
      <c r="Q181" s="171" t="s">
        <v>330</v>
      </c>
      <c r="R181" s="90">
        <v>2.7088000000000001</v>
      </c>
      <c r="S181" s="171" t="s">
        <v>330</v>
      </c>
      <c r="T181" s="90">
        <v>2.7523</v>
      </c>
      <c r="U181" s="92">
        <v>5569</v>
      </c>
      <c r="V181" s="93">
        <v>-1.01E-2</v>
      </c>
      <c r="W181" s="93">
        <v>0.374</v>
      </c>
      <c r="X181" s="185">
        <f t="shared" si="132"/>
        <v>3.7805054225336636E-2</v>
      </c>
      <c r="Y181" s="185">
        <f t="shared" si="138"/>
        <v>-2.2114269141531302E-3</v>
      </c>
      <c r="Z181" s="185">
        <f t="shared" si="139"/>
        <v>2.7870062753783682E-2</v>
      </c>
      <c r="AA181" s="185">
        <f t="shared" si="140"/>
        <v>-9.6987012513225519E-3</v>
      </c>
      <c r="AB181" s="186">
        <f t="shared" si="141"/>
        <v>-1.469274584569058E-2</v>
      </c>
    </row>
    <row r="182" spans="1:33" ht="15.6" customHeight="1">
      <c r="A182" s="200">
        <v>159</v>
      </c>
      <c r="B182" s="84" t="s">
        <v>215</v>
      </c>
      <c r="C182" s="85" t="s">
        <v>29</v>
      </c>
      <c r="D182" s="171" t="s">
        <v>330</v>
      </c>
      <c r="E182" s="107">
        <v>1465473430.45</v>
      </c>
      <c r="F182" s="91">
        <f t="shared" si="128"/>
        <v>9.2215677652642807E-3</v>
      </c>
      <c r="G182" s="171" t="s">
        <v>330</v>
      </c>
      <c r="H182" s="90">
        <v>346.36320000000001</v>
      </c>
      <c r="I182" s="171" t="s">
        <v>330</v>
      </c>
      <c r="J182" s="90">
        <v>349.0813</v>
      </c>
      <c r="K182" s="92">
        <v>215</v>
      </c>
      <c r="L182" s="93">
        <v>1.4009999999999999E-3</v>
      </c>
      <c r="M182" s="93">
        <v>0.61770000000000003</v>
      </c>
      <c r="N182" s="171" t="s">
        <v>330</v>
      </c>
      <c r="O182" s="107">
        <v>1478815988.26</v>
      </c>
      <c r="P182" s="113">
        <f t="shared" si="129"/>
        <v>9.371777896863066E-3</v>
      </c>
      <c r="Q182" s="171" t="s">
        <v>330</v>
      </c>
      <c r="R182" s="90">
        <v>296.91860000000003</v>
      </c>
      <c r="S182" s="171" t="s">
        <v>330</v>
      </c>
      <c r="T182" s="90">
        <v>298.43209999999999</v>
      </c>
      <c r="U182" s="92">
        <v>214</v>
      </c>
      <c r="V182" s="93">
        <v>-2.3180000000000002E-3</v>
      </c>
      <c r="W182" s="93">
        <v>0.40679999999999999</v>
      </c>
      <c r="X182" s="185">
        <f t="shared" si="132"/>
        <v>9.1046057422568688E-3</v>
      </c>
      <c r="Y182" s="185">
        <f t="shared" si="138"/>
        <v>-0.14509284799844624</v>
      </c>
      <c r="Z182" s="185">
        <f t="shared" si="139"/>
        <v>-4.6511627906976744E-3</v>
      </c>
      <c r="AA182" s="185">
        <f t="shared" si="140"/>
        <v>-3.7190000000000001E-3</v>
      </c>
      <c r="AB182" s="186">
        <f t="shared" si="141"/>
        <v>-0.21090000000000003</v>
      </c>
    </row>
    <row r="183" spans="1:33" ht="13.8" customHeight="1">
      <c r="A183" s="200">
        <v>160</v>
      </c>
      <c r="B183" s="84" t="s">
        <v>216</v>
      </c>
      <c r="C183" s="85" t="s">
        <v>75</v>
      </c>
      <c r="D183" s="171" t="s">
        <v>330</v>
      </c>
      <c r="E183" s="107">
        <v>2793135844.0300002</v>
      </c>
      <c r="F183" s="91">
        <f t="shared" si="128"/>
        <v>1.7575952540744535E-2</v>
      </c>
      <c r="G183" s="171" t="s">
        <v>330</v>
      </c>
      <c r="H183" s="90">
        <v>219.84</v>
      </c>
      <c r="I183" s="171" t="s">
        <v>330</v>
      </c>
      <c r="J183" s="90">
        <v>220.48</v>
      </c>
      <c r="K183" s="92">
        <v>137</v>
      </c>
      <c r="L183" s="93">
        <v>5.7999999999999996E-3</v>
      </c>
      <c r="M183" s="93">
        <v>0.29599999999999999</v>
      </c>
      <c r="N183" s="171" t="s">
        <v>330</v>
      </c>
      <c r="O183" s="107">
        <v>2902366369.4699998</v>
      </c>
      <c r="P183" s="113">
        <f t="shared" si="129"/>
        <v>1.8393318172061433E-2</v>
      </c>
      <c r="Q183" s="171" t="s">
        <v>330</v>
      </c>
      <c r="R183" s="90">
        <v>215.22</v>
      </c>
      <c r="S183" s="171" t="s">
        <v>330</v>
      </c>
      <c r="T183" s="90">
        <v>215.9</v>
      </c>
      <c r="U183" s="92">
        <v>137</v>
      </c>
      <c r="V183" s="93">
        <v>-2.7099999999999999E-2</v>
      </c>
      <c r="W183" s="93">
        <v>0.26889999999999997</v>
      </c>
      <c r="X183" s="185">
        <f t="shared" si="132"/>
        <v>3.910677157842752E-2</v>
      </c>
      <c r="Y183" s="185">
        <f t="shared" si="138"/>
        <v>-2.0772859216255372E-2</v>
      </c>
      <c r="Z183" s="185">
        <f t="shared" si="139"/>
        <v>0</v>
      </c>
      <c r="AA183" s="185">
        <f t="shared" si="140"/>
        <v>-3.2899999999999999E-2</v>
      </c>
      <c r="AB183" s="186">
        <f t="shared" si="141"/>
        <v>-2.7100000000000013E-2</v>
      </c>
    </row>
    <row r="184" spans="1:33" ht="15.75" customHeight="1">
      <c r="A184" s="200">
        <v>161</v>
      </c>
      <c r="B184" s="84" t="s">
        <v>217</v>
      </c>
      <c r="C184" s="85" t="s">
        <v>78</v>
      </c>
      <c r="D184" s="171" t="s">
        <v>330</v>
      </c>
      <c r="E184" s="96">
        <v>1206827082.6900001</v>
      </c>
      <c r="F184" s="91">
        <f t="shared" si="128"/>
        <v>7.5940221724557127E-3</v>
      </c>
      <c r="G184" s="171" t="s">
        <v>330</v>
      </c>
      <c r="H184" s="90">
        <v>2.34</v>
      </c>
      <c r="I184" s="171" t="s">
        <v>330</v>
      </c>
      <c r="J184" s="90">
        <v>2.36</v>
      </c>
      <c r="K184" s="92">
        <v>195</v>
      </c>
      <c r="L184" s="93">
        <v>1.61E-2</v>
      </c>
      <c r="M184" s="93">
        <v>0.45500000000000002</v>
      </c>
      <c r="N184" s="171" t="s">
        <v>330</v>
      </c>
      <c r="O184" s="96">
        <v>1184237346.3199999</v>
      </c>
      <c r="P184" s="113">
        <f t="shared" si="129"/>
        <v>7.5049292643502756E-3</v>
      </c>
      <c r="Q184" s="171" t="s">
        <v>330</v>
      </c>
      <c r="R184" s="90">
        <v>2.2855099999999999</v>
      </c>
      <c r="S184" s="171" t="s">
        <v>330</v>
      </c>
      <c r="T184" s="90">
        <v>2.3088700000000002</v>
      </c>
      <c r="U184" s="92">
        <v>210</v>
      </c>
      <c r="V184" s="93">
        <v>-2.3E-2</v>
      </c>
      <c r="W184" s="93">
        <v>0.44529999999999997</v>
      </c>
      <c r="X184" s="185">
        <f t="shared" si="132"/>
        <v>-1.8718287560839229E-2</v>
      </c>
      <c r="Y184" s="185">
        <f t="shared" si="138"/>
        <v>-2.1665254237288E-2</v>
      </c>
      <c r="Z184" s="185">
        <f t="shared" si="139"/>
        <v>7.6923076923076927E-2</v>
      </c>
      <c r="AA184" s="185">
        <f t="shared" si="140"/>
        <v>-3.9099999999999996E-2</v>
      </c>
      <c r="AB184" s="186">
        <f t="shared" si="141"/>
        <v>-9.7000000000000419E-3</v>
      </c>
      <c r="AD184" s="41"/>
    </row>
    <row r="185" spans="1:33" ht="16.8" customHeight="1">
      <c r="A185" s="200">
        <v>162</v>
      </c>
      <c r="B185" s="84" t="s">
        <v>326</v>
      </c>
      <c r="C185" s="85" t="s">
        <v>79</v>
      </c>
      <c r="D185" s="171" t="s">
        <v>330</v>
      </c>
      <c r="E185" s="90">
        <v>21611941638.529999</v>
      </c>
      <c r="F185" s="91">
        <f t="shared" si="128"/>
        <v>0.13599426657462066</v>
      </c>
      <c r="G185" s="171" t="s">
        <v>330</v>
      </c>
      <c r="H185" s="90">
        <v>619.80999999999995</v>
      </c>
      <c r="I185" s="171" t="s">
        <v>330</v>
      </c>
      <c r="J185" s="90">
        <v>625.45000000000005</v>
      </c>
      <c r="K185" s="92">
        <v>5734</v>
      </c>
      <c r="L185" s="93">
        <v>-6.9999999999999999E-4</v>
      </c>
      <c r="M185" s="93">
        <v>0.4471</v>
      </c>
      <c r="N185" s="171" t="s">
        <v>330</v>
      </c>
      <c r="O185" s="90">
        <v>21384051849.549999</v>
      </c>
      <c r="P185" s="113">
        <f t="shared" si="129"/>
        <v>0.13551827006197589</v>
      </c>
      <c r="Q185" s="171" t="s">
        <v>330</v>
      </c>
      <c r="R185" s="90">
        <v>612.39</v>
      </c>
      <c r="S185" s="171" t="s">
        <v>330</v>
      </c>
      <c r="T185" s="90">
        <v>617.95000000000005</v>
      </c>
      <c r="U185" s="92">
        <v>5744</v>
      </c>
      <c r="V185" s="93">
        <v>-1.2E-2</v>
      </c>
      <c r="W185" s="93">
        <v>0.42980000000000002</v>
      </c>
      <c r="X185" s="185">
        <f t="shared" si="132"/>
        <v>-1.0544623560046784E-2</v>
      </c>
      <c r="Y185" s="185">
        <f t="shared" si="138"/>
        <v>-1.1991366216324245E-2</v>
      </c>
      <c r="Z185" s="185">
        <f t="shared" si="139"/>
        <v>1.7439832577607255E-3</v>
      </c>
      <c r="AA185" s="185">
        <f t="shared" si="140"/>
        <v>-1.1300000000000001E-2</v>
      </c>
      <c r="AB185" s="186">
        <f t="shared" si="141"/>
        <v>-1.7299999999999982E-2</v>
      </c>
    </row>
    <row r="186" spans="1:33" ht="13.8" customHeight="1">
      <c r="A186" s="200">
        <v>163</v>
      </c>
      <c r="B186" s="84" t="s">
        <v>218</v>
      </c>
      <c r="C186" s="85" t="s">
        <v>87</v>
      </c>
      <c r="D186" s="171" t="s">
        <v>330</v>
      </c>
      <c r="E186" s="90">
        <v>6834855993.3100004</v>
      </c>
      <c r="F186" s="91">
        <f t="shared" si="128"/>
        <v>4.300868674826603E-2</v>
      </c>
      <c r="G186" s="171" t="s">
        <v>330</v>
      </c>
      <c r="H186" s="90">
        <v>3.9792999999999998</v>
      </c>
      <c r="I186" s="171" t="s">
        <v>330</v>
      </c>
      <c r="J186" s="90">
        <v>4.0589000000000004</v>
      </c>
      <c r="K186" s="92">
        <v>10199</v>
      </c>
      <c r="L186" s="93">
        <v>-1.8E-3</v>
      </c>
      <c r="M186" s="93">
        <v>0.30049999999999999</v>
      </c>
      <c r="N186" s="171" t="s">
        <v>330</v>
      </c>
      <c r="O186" s="90">
        <v>6742282977.46</v>
      </c>
      <c r="P186" s="113">
        <f t="shared" si="129"/>
        <v>4.2728222499746463E-2</v>
      </c>
      <c r="Q186" s="171" t="s">
        <v>330</v>
      </c>
      <c r="R186" s="90">
        <v>3.9239999999999999</v>
      </c>
      <c r="S186" s="171" t="s">
        <v>330</v>
      </c>
      <c r="T186" s="90">
        <v>4.0010000000000003</v>
      </c>
      <c r="U186" s="92">
        <v>10199</v>
      </c>
      <c r="V186" s="93">
        <v>-1.41E-2</v>
      </c>
      <c r="W186" s="93">
        <v>0.28210000000000002</v>
      </c>
      <c r="X186" s="185">
        <f t="shared" si="132"/>
        <v>-1.3544252569565682E-2</v>
      </c>
      <c r="Y186" s="185">
        <f t="shared" si="138"/>
        <v>-1.426494863140261E-2</v>
      </c>
      <c r="Z186" s="185">
        <f t="shared" si="139"/>
        <v>0</v>
      </c>
      <c r="AA186" s="185">
        <f t="shared" si="140"/>
        <v>-1.23E-2</v>
      </c>
      <c r="AB186" s="186">
        <f t="shared" si="141"/>
        <v>-1.8399999999999972E-2</v>
      </c>
    </row>
    <row r="187" spans="1:33" ht="16.2" customHeight="1">
      <c r="A187" s="200">
        <v>164</v>
      </c>
      <c r="B187" s="84" t="s">
        <v>219</v>
      </c>
      <c r="C187" s="85" t="s">
        <v>89</v>
      </c>
      <c r="D187" s="171" t="s">
        <v>330</v>
      </c>
      <c r="E187" s="90">
        <v>405995746.50999999</v>
      </c>
      <c r="F187" s="91">
        <f t="shared" si="128"/>
        <v>2.5547493465653531E-3</v>
      </c>
      <c r="G187" s="171" t="s">
        <v>330</v>
      </c>
      <c r="H187" s="90">
        <v>374.45</v>
      </c>
      <c r="I187" s="171" t="s">
        <v>330</v>
      </c>
      <c r="J187" s="90">
        <v>374.45</v>
      </c>
      <c r="K187" s="92">
        <v>37</v>
      </c>
      <c r="L187" s="93">
        <v>-2.8E-3</v>
      </c>
      <c r="M187" s="93">
        <v>0.5756</v>
      </c>
      <c r="N187" s="171" t="s">
        <v>330</v>
      </c>
      <c r="O187" s="90">
        <v>397423114.27999997</v>
      </c>
      <c r="P187" s="113">
        <f t="shared" si="129"/>
        <v>2.5186102853095131E-3</v>
      </c>
      <c r="Q187" s="171" t="s">
        <v>330</v>
      </c>
      <c r="R187" s="90">
        <v>366.58</v>
      </c>
      <c r="S187" s="171" t="s">
        <v>330</v>
      </c>
      <c r="T187" s="90">
        <v>366.58</v>
      </c>
      <c r="U187" s="92">
        <v>37</v>
      </c>
      <c r="V187" s="93">
        <v>-2.1000000000000001E-2</v>
      </c>
      <c r="W187" s="93">
        <v>0.4703</v>
      </c>
      <c r="X187" s="185">
        <f t="shared" si="132"/>
        <v>-2.1115078923096227E-2</v>
      </c>
      <c r="Y187" s="185">
        <f t="shared" si="138"/>
        <v>-2.1017492322072385E-2</v>
      </c>
      <c r="Z187" s="185">
        <f t="shared" si="139"/>
        <v>0</v>
      </c>
      <c r="AA187" s="185">
        <f t="shared" si="140"/>
        <v>-1.8200000000000001E-2</v>
      </c>
      <c r="AB187" s="186">
        <f t="shared" si="141"/>
        <v>-0.1053</v>
      </c>
    </row>
    <row r="188" spans="1:33" ht="13.8" customHeight="1">
      <c r="A188" s="200">
        <v>165</v>
      </c>
      <c r="B188" s="84" t="s">
        <v>220</v>
      </c>
      <c r="C188" s="84" t="s">
        <v>91</v>
      </c>
      <c r="D188" s="171" t="s">
        <v>330</v>
      </c>
      <c r="E188" s="112">
        <v>91081586.870000005</v>
      </c>
      <c r="F188" s="91">
        <f t="shared" si="128"/>
        <v>5.7313562159335731E-4</v>
      </c>
      <c r="G188" s="171" t="s">
        <v>330</v>
      </c>
      <c r="H188" s="90">
        <v>1.7569999999999999</v>
      </c>
      <c r="I188" s="171" t="s">
        <v>330</v>
      </c>
      <c r="J188" s="90">
        <v>1.7569999999999999</v>
      </c>
      <c r="K188" s="92">
        <v>30</v>
      </c>
      <c r="L188" s="93">
        <v>1.4400000000000001E-3</v>
      </c>
      <c r="M188" s="93">
        <v>0.22620000000000001</v>
      </c>
      <c r="N188" s="171" t="s">
        <v>330</v>
      </c>
      <c r="O188" s="112">
        <v>81957910.359999999</v>
      </c>
      <c r="P188" s="113">
        <f t="shared" si="129"/>
        <v>5.1939615130120538E-4</v>
      </c>
      <c r="Q188" s="171" t="s">
        <v>330</v>
      </c>
      <c r="R188" s="90">
        <v>1.58</v>
      </c>
      <c r="S188" s="171" t="s">
        <v>330</v>
      </c>
      <c r="T188" s="90">
        <v>1.58</v>
      </c>
      <c r="U188" s="92">
        <v>30</v>
      </c>
      <c r="V188" s="93">
        <v>-0.1003</v>
      </c>
      <c r="W188" s="93">
        <v>0.1033</v>
      </c>
      <c r="X188" s="185">
        <f t="shared" si="132"/>
        <v>-0.10017037277822304</v>
      </c>
      <c r="Y188" s="185">
        <f t="shared" si="138"/>
        <v>-0.10073989755264647</v>
      </c>
      <c r="Z188" s="185">
        <f t="shared" si="139"/>
        <v>0</v>
      </c>
      <c r="AA188" s="185">
        <f t="shared" si="140"/>
        <v>-0.10174</v>
      </c>
      <c r="AB188" s="186">
        <f t="shared" si="141"/>
        <v>-0.12290000000000001</v>
      </c>
    </row>
    <row r="189" spans="1:33" ht="13.5" customHeight="1">
      <c r="A189" s="200">
        <v>166</v>
      </c>
      <c r="B189" s="84" t="s">
        <v>221</v>
      </c>
      <c r="C189" s="85" t="s">
        <v>35</v>
      </c>
      <c r="D189" s="171" t="s">
        <v>330</v>
      </c>
      <c r="E189" s="96">
        <v>14987805632.6</v>
      </c>
      <c r="F189" s="91">
        <f t="shared" si="128"/>
        <v>9.4311546304316402E-2</v>
      </c>
      <c r="G189" s="171" t="s">
        <v>330</v>
      </c>
      <c r="H189" s="90">
        <v>8.2022999999999993</v>
      </c>
      <c r="I189" s="171" t="s">
        <v>330</v>
      </c>
      <c r="J189" s="90">
        <v>8.3142999999999994</v>
      </c>
      <c r="K189" s="92">
        <v>11913</v>
      </c>
      <c r="L189" s="93">
        <v>4.1999999999999997E-3</v>
      </c>
      <c r="M189" s="93">
        <v>0.32090000000000002</v>
      </c>
      <c r="N189" s="171" t="s">
        <v>330</v>
      </c>
      <c r="O189" s="96">
        <v>14855668365.57</v>
      </c>
      <c r="P189" s="113">
        <f t="shared" si="129"/>
        <v>9.4145604008102554E-2</v>
      </c>
      <c r="Q189" s="171" t="s">
        <v>330</v>
      </c>
      <c r="R189" s="90">
        <v>8.0977999999999994</v>
      </c>
      <c r="S189" s="171" t="s">
        <v>330</v>
      </c>
      <c r="T189" s="90">
        <v>8.2134</v>
      </c>
      <c r="U189" s="92">
        <v>11913</v>
      </c>
      <c r="V189" s="93">
        <v>-1.2699999999999999E-2</v>
      </c>
      <c r="W189" s="93">
        <v>0.30399999999999999</v>
      </c>
      <c r="X189" s="185">
        <f t="shared" si="132"/>
        <v>-8.8163184304037613E-3</v>
      </c>
      <c r="Y189" s="185">
        <f t="shared" si="138"/>
        <v>-1.2135717979865934E-2</v>
      </c>
      <c r="Z189" s="185">
        <f t="shared" si="139"/>
        <v>0</v>
      </c>
      <c r="AA189" s="185">
        <f t="shared" si="140"/>
        <v>-1.6899999999999998E-2</v>
      </c>
      <c r="AB189" s="186">
        <f t="shared" si="141"/>
        <v>-1.6900000000000026E-2</v>
      </c>
      <c r="AD189" s="41"/>
    </row>
    <row r="190" spans="1:33" ht="13.5" customHeight="1">
      <c r="A190" s="200">
        <v>167</v>
      </c>
      <c r="B190" s="84" t="s">
        <v>222</v>
      </c>
      <c r="C190" s="85" t="s">
        <v>223</v>
      </c>
      <c r="D190" s="171" t="s">
        <v>330</v>
      </c>
      <c r="E190" s="96">
        <v>171561120.44</v>
      </c>
      <c r="F190" s="91">
        <f t="shared" si="128"/>
        <v>1.0795572714930261E-3</v>
      </c>
      <c r="G190" s="171" t="s">
        <v>330</v>
      </c>
      <c r="H190" s="90">
        <v>3.4062999999999999</v>
      </c>
      <c r="I190" s="171" t="s">
        <v>330</v>
      </c>
      <c r="J190" s="90">
        <v>3.4304000000000001</v>
      </c>
      <c r="K190" s="92">
        <v>131</v>
      </c>
      <c r="L190" s="93">
        <v>1.1999999999999999E-3</v>
      </c>
      <c r="M190" s="93">
        <v>0.22309999999999999</v>
      </c>
      <c r="N190" s="171" t="s">
        <v>330</v>
      </c>
      <c r="O190" s="96">
        <v>173713487.41</v>
      </c>
      <c r="P190" s="113">
        <f t="shared" si="129"/>
        <v>1.1008835680844753E-3</v>
      </c>
      <c r="Q190" s="171" t="s">
        <v>330</v>
      </c>
      <c r="R190" s="90">
        <v>3.3805000000000001</v>
      </c>
      <c r="S190" s="171" t="s">
        <v>330</v>
      </c>
      <c r="T190" s="90">
        <v>3.4037000000000002</v>
      </c>
      <c r="U190" s="92">
        <v>138</v>
      </c>
      <c r="V190" s="93">
        <v>-7.7000000000000002E-3</v>
      </c>
      <c r="W190" s="93">
        <v>0.2137</v>
      </c>
      <c r="X190" s="185">
        <f t="shared" si="132"/>
        <v>1.2545773567343571E-2</v>
      </c>
      <c r="Y190" s="185">
        <f t="shared" si="138"/>
        <v>-7.7833488805969988E-3</v>
      </c>
      <c r="Z190" s="185">
        <f t="shared" si="139"/>
        <v>5.3435114503816793E-2</v>
      </c>
      <c r="AA190" s="185">
        <f t="shared" si="140"/>
        <v>-8.8999999999999999E-3</v>
      </c>
      <c r="AB190" s="186">
        <f t="shared" si="141"/>
        <v>-9.3999999999999917E-3</v>
      </c>
    </row>
    <row r="191" spans="1:33" ht="15" customHeight="1">
      <c r="A191" s="200">
        <v>168</v>
      </c>
      <c r="B191" s="84" t="s">
        <v>224</v>
      </c>
      <c r="C191" s="85" t="s">
        <v>143</v>
      </c>
      <c r="D191" s="171" t="s">
        <v>330</v>
      </c>
      <c r="E191" s="96">
        <v>2081265686.97</v>
      </c>
      <c r="F191" s="91">
        <f t="shared" si="128"/>
        <v>1.3096472560420121E-2</v>
      </c>
      <c r="G191" s="171" t="s">
        <v>330</v>
      </c>
      <c r="H191" s="90">
        <v>494.58</v>
      </c>
      <c r="I191" s="171" t="s">
        <v>330</v>
      </c>
      <c r="J191" s="90">
        <v>499.61</v>
      </c>
      <c r="K191" s="92">
        <v>310</v>
      </c>
      <c r="L191" s="93">
        <v>1.37E-2</v>
      </c>
      <c r="M191" s="93">
        <v>0.38979999999999998</v>
      </c>
      <c r="N191" s="171" t="s">
        <v>330</v>
      </c>
      <c r="O191" s="96">
        <v>2175154763.71</v>
      </c>
      <c r="P191" s="113">
        <f t="shared" si="129"/>
        <v>1.3784722033455427E-2</v>
      </c>
      <c r="Q191" s="171" t="s">
        <v>330</v>
      </c>
      <c r="R191" s="90">
        <v>496.08</v>
      </c>
      <c r="S191" s="171" t="s">
        <v>330</v>
      </c>
      <c r="T191" s="90">
        <v>501.16</v>
      </c>
      <c r="U191" s="92">
        <v>158</v>
      </c>
      <c r="V191" s="93">
        <v>1.37E-2</v>
      </c>
      <c r="W191" s="93">
        <v>0.39400000000000002</v>
      </c>
      <c r="X191" s="185">
        <f t="shared" si="132"/>
        <v>4.5111528685550926E-2</v>
      </c>
      <c r="Y191" s="185">
        <f t="shared" si="138"/>
        <v>3.1024198875122823E-3</v>
      </c>
      <c r="Z191" s="185">
        <f t="shared" si="139"/>
        <v>-0.49032258064516127</v>
      </c>
      <c r="AA191" s="185">
        <f t="shared" si="140"/>
        <v>0</v>
      </c>
      <c r="AB191" s="186">
        <f t="shared" si="141"/>
        <v>4.200000000000037E-3</v>
      </c>
    </row>
    <row r="192" spans="1:33" ht="15.6" customHeight="1">
      <c r="A192" s="200">
        <v>169</v>
      </c>
      <c r="B192" s="84" t="s">
        <v>314</v>
      </c>
      <c r="C192" s="85" t="s">
        <v>313</v>
      </c>
      <c r="D192" s="171" t="s">
        <v>330</v>
      </c>
      <c r="E192" s="90">
        <v>50387884.140000001</v>
      </c>
      <c r="F192" s="91">
        <f t="shared" si="128"/>
        <v>3.170683811050839E-4</v>
      </c>
      <c r="G192" s="171" t="s">
        <v>330</v>
      </c>
      <c r="H192" s="90">
        <v>1.0069999999999999</v>
      </c>
      <c r="I192" s="171" t="s">
        <v>330</v>
      </c>
      <c r="J192" s="90">
        <v>1.0309999999999999</v>
      </c>
      <c r="K192" s="92">
        <v>3</v>
      </c>
      <c r="L192" s="93">
        <v>1.5208000000000001E-3</v>
      </c>
      <c r="M192" s="93">
        <v>0</v>
      </c>
      <c r="N192" s="171" t="s">
        <v>330</v>
      </c>
      <c r="O192" s="90">
        <v>51838553.460000001</v>
      </c>
      <c r="P192" s="113">
        <f t="shared" si="129"/>
        <v>3.2851917573152952E-4</v>
      </c>
      <c r="Q192" s="171" t="s">
        <v>330</v>
      </c>
      <c r="R192" s="90">
        <v>1</v>
      </c>
      <c r="S192" s="171" t="s">
        <v>330</v>
      </c>
      <c r="T192" s="90">
        <v>1</v>
      </c>
      <c r="U192" s="92">
        <v>5</v>
      </c>
      <c r="V192" s="93">
        <v>2.879E-2</v>
      </c>
      <c r="W192" s="93">
        <v>0</v>
      </c>
      <c r="X192" s="185">
        <f t="shared" ref="X192" si="142">((O192-E192)/E192)</f>
        <v>2.8790042383391102E-2</v>
      </c>
      <c r="Y192" s="185">
        <f t="shared" ref="Y192" si="143">((T192-J192)/J192)</f>
        <v>-3.0067895247332607E-2</v>
      </c>
      <c r="Z192" s="185">
        <f t="shared" ref="Z192" si="144">((U192-K192)/K192)</f>
        <v>0.66666666666666663</v>
      </c>
      <c r="AA192" s="185">
        <f t="shared" ref="AA192" si="145">V192-L192</f>
        <v>2.72692E-2</v>
      </c>
      <c r="AB192" s="186">
        <f t="shared" ref="AB192" si="146">W192-M192</f>
        <v>0</v>
      </c>
    </row>
    <row r="193" spans="1:31" ht="16.8" customHeight="1">
      <c r="A193" s="200">
        <v>170</v>
      </c>
      <c r="B193" s="84" t="s">
        <v>225</v>
      </c>
      <c r="C193" s="85" t="s">
        <v>31</v>
      </c>
      <c r="D193" s="171" t="s">
        <v>330</v>
      </c>
      <c r="E193" s="96">
        <v>3168547226.3299999</v>
      </c>
      <c r="F193" s="91">
        <f t="shared" ref="F193:F202" si="147">(E193/$E$203)</f>
        <v>1.9938248185141137E-2</v>
      </c>
      <c r="G193" s="171" t="s">
        <v>330</v>
      </c>
      <c r="H193" s="90">
        <v>552.22</v>
      </c>
      <c r="I193" s="171" t="s">
        <v>330</v>
      </c>
      <c r="J193" s="90">
        <v>552.22</v>
      </c>
      <c r="K193" s="92">
        <v>823</v>
      </c>
      <c r="L193" s="93">
        <v>1.2699999999999999E-2</v>
      </c>
      <c r="M193" s="93">
        <v>0.47077000000000002</v>
      </c>
      <c r="N193" s="171" t="s">
        <v>330</v>
      </c>
      <c r="O193" s="96">
        <v>3051852857.8600001</v>
      </c>
      <c r="P193" s="113">
        <f t="shared" si="129"/>
        <v>1.9340666712309142E-2</v>
      </c>
      <c r="Q193" s="171" t="s">
        <v>330</v>
      </c>
      <c r="R193" s="90">
        <v>552.22</v>
      </c>
      <c r="S193" s="171" t="s">
        <v>330</v>
      </c>
      <c r="T193" s="90">
        <v>552.22</v>
      </c>
      <c r="U193" s="92">
        <v>823</v>
      </c>
      <c r="V193" s="93">
        <v>1.2699999999999999E-2</v>
      </c>
      <c r="W193" s="93">
        <v>0.47077000000000002</v>
      </c>
      <c r="X193" s="185">
        <f t="shared" si="132"/>
        <v>-3.6828981907005426E-2</v>
      </c>
      <c r="Y193" s="185">
        <f t="shared" ref="Y193:Z195" si="148">((T193-J193)/J193)</f>
        <v>0</v>
      </c>
      <c r="Z193" s="185">
        <f t="shared" si="148"/>
        <v>0</v>
      </c>
      <c r="AA193" s="185">
        <f t="shared" ref="AA193:AB195" si="149">V193-L193</f>
        <v>0</v>
      </c>
      <c r="AB193" s="186">
        <f t="shared" si="149"/>
        <v>0</v>
      </c>
    </row>
    <row r="194" spans="1:31" ht="16.2" customHeight="1">
      <c r="A194" s="200">
        <v>171</v>
      </c>
      <c r="B194" s="84" t="s">
        <v>226</v>
      </c>
      <c r="C194" s="85" t="s">
        <v>100</v>
      </c>
      <c r="D194" s="171" t="s">
        <v>330</v>
      </c>
      <c r="E194" s="90">
        <v>68606407.810000002</v>
      </c>
      <c r="F194" s="91">
        <f t="shared" si="147"/>
        <v>4.3170938865606204E-4</v>
      </c>
      <c r="G194" s="171" t="s">
        <v>330</v>
      </c>
      <c r="H194" s="90">
        <v>3.7</v>
      </c>
      <c r="I194" s="171" t="s">
        <v>330</v>
      </c>
      <c r="J194" s="90">
        <v>3.7</v>
      </c>
      <c r="K194" s="92">
        <v>11</v>
      </c>
      <c r="L194" s="93">
        <v>-1.4800000000000001E-2</v>
      </c>
      <c r="M194" s="93">
        <v>0.40860000000000002</v>
      </c>
      <c r="N194" s="171" t="s">
        <v>330</v>
      </c>
      <c r="O194" s="90">
        <v>66600723.840000004</v>
      </c>
      <c r="P194" s="113">
        <f t="shared" si="129"/>
        <v>4.2207225006621601E-4</v>
      </c>
      <c r="Q194" s="171" t="s">
        <v>330</v>
      </c>
      <c r="R194" s="90">
        <v>3.58</v>
      </c>
      <c r="S194" s="171" t="s">
        <v>330</v>
      </c>
      <c r="T194" s="90">
        <v>3.58</v>
      </c>
      <c r="U194" s="92">
        <v>10</v>
      </c>
      <c r="V194" s="93">
        <v>-2.9899999999999999E-2</v>
      </c>
      <c r="W194" s="93">
        <v>0.36430000000000001</v>
      </c>
      <c r="X194" s="185">
        <f t="shared" si="132"/>
        <v>-2.9234644897231484E-2</v>
      </c>
      <c r="Y194" s="185">
        <f t="shared" si="148"/>
        <v>-3.2432432432432462E-2</v>
      </c>
      <c r="Z194" s="185">
        <f t="shared" si="148"/>
        <v>-9.0909090909090912E-2</v>
      </c>
      <c r="AA194" s="185">
        <f t="shared" si="149"/>
        <v>-1.5099999999999999E-2</v>
      </c>
      <c r="AB194" s="186">
        <f t="shared" si="149"/>
        <v>-4.4300000000000006E-2</v>
      </c>
      <c r="AE194" s="50"/>
    </row>
    <row r="195" spans="1:31" ht="15.6" customHeight="1">
      <c r="A195" s="200">
        <v>172</v>
      </c>
      <c r="B195" s="84" t="s">
        <v>227</v>
      </c>
      <c r="C195" s="85" t="s">
        <v>42</v>
      </c>
      <c r="D195" s="171" t="s">
        <v>330</v>
      </c>
      <c r="E195" s="90">
        <v>749726264.46000004</v>
      </c>
      <c r="F195" s="91">
        <f t="shared" si="147"/>
        <v>4.7176915046445965E-3</v>
      </c>
      <c r="G195" s="171" t="s">
        <v>330</v>
      </c>
      <c r="H195" s="90">
        <v>4.88</v>
      </c>
      <c r="I195" s="171" t="s">
        <v>330</v>
      </c>
      <c r="J195" s="90">
        <v>4.91</v>
      </c>
      <c r="K195" s="92">
        <v>140</v>
      </c>
      <c r="L195" s="93">
        <v>-4.0567951318457559E-3</v>
      </c>
      <c r="M195" s="93">
        <v>0.42732558139534887</v>
      </c>
      <c r="N195" s="171" t="s">
        <v>330</v>
      </c>
      <c r="O195" s="90">
        <v>743365701.69000006</v>
      </c>
      <c r="P195" s="113">
        <f t="shared" si="129"/>
        <v>4.7109703355192514E-3</v>
      </c>
      <c r="Q195" s="171" t="s">
        <v>330</v>
      </c>
      <c r="R195" s="90">
        <v>4.82</v>
      </c>
      <c r="S195" s="171" t="s">
        <v>330</v>
      </c>
      <c r="T195" s="90">
        <v>4.87</v>
      </c>
      <c r="U195" s="92">
        <v>140</v>
      </c>
      <c r="V195" s="93">
        <v>-8.1466395112016355E-3</v>
      </c>
      <c r="W195" s="93">
        <v>0.44510385756676557</v>
      </c>
      <c r="X195" s="185">
        <f t="shared" si="132"/>
        <v>-8.4838468005135961E-3</v>
      </c>
      <c r="Y195" s="185">
        <f t="shared" si="148"/>
        <v>-8.1466395112016355E-3</v>
      </c>
      <c r="Z195" s="185">
        <f t="shared" si="148"/>
        <v>0</v>
      </c>
      <c r="AA195" s="185">
        <f t="shared" si="149"/>
        <v>-4.0898443793558796E-3</v>
      </c>
      <c r="AB195" s="186">
        <f t="shared" si="149"/>
        <v>1.7778276171416696E-2</v>
      </c>
      <c r="AD195" s="41"/>
      <c r="AE195" s="41"/>
    </row>
    <row r="196" spans="1:31" ht="13.8" customHeight="1">
      <c r="A196" s="200">
        <v>173</v>
      </c>
      <c r="B196" s="84" t="s">
        <v>301</v>
      </c>
      <c r="C196" s="85" t="s">
        <v>302</v>
      </c>
      <c r="D196" s="171" t="s">
        <v>330</v>
      </c>
      <c r="E196" s="90">
        <v>296672617.49000001</v>
      </c>
      <c r="F196" s="91">
        <f t="shared" si="147"/>
        <v>1.866827872438664E-3</v>
      </c>
      <c r="G196" s="171" t="s">
        <v>330</v>
      </c>
      <c r="H196" s="90">
        <v>144.34</v>
      </c>
      <c r="I196" s="171" t="s">
        <v>330</v>
      </c>
      <c r="J196" s="90">
        <v>145.19999999999999</v>
      </c>
      <c r="K196" s="92">
        <v>117</v>
      </c>
      <c r="L196" s="93">
        <v>-2.3999999999999998E-3</v>
      </c>
      <c r="M196" s="93">
        <v>0.25219999999999998</v>
      </c>
      <c r="N196" s="171" t="s">
        <v>330</v>
      </c>
      <c r="O196" s="90">
        <v>296672617.49000001</v>
      </c>
      <c r="P196" s="91">
        <f t="shared" si="129"/>
        <v>1.8801188932699464E-3</v>
      </c>
      <c r="Q196" s="171" t="s">
        <v>330</v>
      </c>
      <c r="R196" s="90">
        <v>142.94</v>
      </c>
      <c r="S196" s="171" t="s">
        <v>330</v>
      </c>
      <c r="T196" s="90">
        <v>143.78</v>
      </c>
      <c r="U196" s="92">
        <v>117</v>
      </c>
      <c r="V196" s="93">
        <v>-9.7000000000000003E-3</v>
      </c>
      <c r="W196" s="93">
        <v>0.24049999999999999</v>
      </c>
      <c r="X196" s="185">
        <f t="shared" ref="X196" si="150">((O196-E196)/E196)</f>
        <v>0</v>
      </c>
      <c r="Y196" s="185">
        <f t="shared" ref="Y196" si="151">((T196-J196)/J196)</f>
        <v>-9.7796143250687851E-3</v>
      </c>
      <c r="Z196" s="185">
        <f t="shared" ref="Z196" si="152">((U196-K196)/K196)</f>
        <v>0</v>
      </c>
      <c r="AA196" s="185">
        <f t="shared" ref="AA196" si="153">V196-L196</f>
        <v>-7.3000000000000009E-3</v>
      </c>
      <c r="AB196" s="186">
        <f t="shared" ref="AB196" si="154">W196-M196</f>
        <v>-1.1699999999999988E-2</v>
      </c>
    </row>
    <row r="197" spans="1:31" ht="14.4" customHeight="1">
      <c r="A197" s="200">
        <v>174</v>
      </c>
      <c r="B197" s="84" t="s">
        <v>228</v>
      </c>
      <c r="C197" s="85" t="s">
        <v>46</v>
      </c>
      <c r="D197" s="171" t="s">
        <v>330</v>
      </c>
      <c r="E197" s="96">
        <v>16117038158.85</v>
      </c>
      <c r="F197" s="91">
        <f t="shared" si="147"/>
        <v>0.10141730069548087</v>
      </c>
      <c r="G197" s="171" t="s">
        <v>330</v>
      </c>
      <c r="H197" s="90">
        <v>13835.7</v>
      </c>
      <c r="I197" s="171" t="s">
        <v>330</v>
      </c>
      <c r="J197" s="90">
        <v>13965.8</v>
      </c>
      <c r="K197" s="92">
        <v>7882</v>
      </c>
      <c r="L197" s="93">
        <v>3.8999999999999998E-3</v>
      </c>
      <c r="M197" s="93">
        <v>0.43509999999999999</v>
      </c>
      <c r="N197" s="171" t="s">
        <v>330</v>
      </c>
      <c r="O197" s="96">
        <v>15746667841.49</v>
      </c>
      <c r="P197" s="91">
        <f t="shared" si="129"/>
        <v>9.9792181581535924E-2</v>
      </c>
      <c r="Q197" s="171" t="s">
        <v>330</v>
      </c>
      <c r="R197" s="90">
        <v>13581.74</v>
      </c>
      <c r="S197" s="171" t="s">
        <v>330</v>
      </c>
      <c r="T197" s="90">
        <v>13707.61</v>
      </c>
      <c r="U197" s="92">
        <v>8053</v>
      </c>
      <c r="V197" s="93">
        <v>-1.8499999999999999E-2</v>
      </c>
      <c r="W197" s="93">
        <v>0.40860000000000002</v>
      </c>
      <c r="X197" s="185">
        <f t="shared" si="132"/>
        <v>-2.2980048425127488E-2</v>
      </c>
      <c r="Y197" s="185">
        <f t="shared" ref="Y197:Z202" si="155">((T197-J197)/J197)</f>
        <v>-1.8487304701484963E-2</v>
      </c>
      <c r="Z197" s="185">
        <f t="shared" si="155"/>
        <v>2.1695001268713526E-2</v>
      </c>
      <c r="AA197" s="185">
        <f t="shared" ref="AA197:AB202" si="156">V197-L197</f>
        <v>-2.24E-2</v>
      </c>
      <c r="AB197" s="186">
        <f t="shared" si="156"/>
        <v>-2.6499999999999968E-2</v>
      </c>
    </row>
    <row r="198" spans="1:31" ht="13.2" customHeight="1">
      <c r="A198" s="200">
        <v>175</v>
      </c>
      <c r="B198" s="84" t="s">
        <v>229</v>
      </c>
      <c r="C198" s="84" t="s">
        <v>110</v>
      </c>
      <c r="D198" s="171" t="s">
        <v>330</v>
      </c>
      <c r="E198" s="96">
        <v>281034634.49000001</v>
      </c>
      <c r="F198" s="91">
        <f t="shared" si="147"/>
        <v>1.7684250512409645E-3</v>
      </c>
      <c r="G198" s="171" t="s">
        <v>330</v>
      </c>
      <c r="H198" s="90">
        <v>1875.61</v>
      </c>
      <c r="I198" s="171" t="s">
        <v>330</v>
      </c>
      <c r="J198" s="90">
        <v>1903.46</v>
      </c>
      <c r="K198" s="92">
        <v>149</v>
      </c>
      <c r="L198" s="93">
        <v>2.7000000000000001E-3</v>
      </c>
      <c r="M198" s="93">
        <v>0.2883</v>
      </c>
      <c r="N198" s="171" t="s">
        <v>330</v>
      </c>
      <c r="O198" s="96">
        <v>275272201.95999998</v>
      </c>
      <c r="P198" s="91">
        <f t="shared" si="129"/>
        <v>1.7444969208001181E-3</v>
      </c>
      <c r="Q198" s="171" t="s">
        <v>330</v>
      </c>
      <c r="R198" s="90">
        <v>1862.86</v>
      </c>
      <c r="S198" s="171" t="s">
        <v>330</v>
      </c>
      <c r="T198" s="90">
        <v>1890.46</v>
      </c>
      <c r="U198" s="92">
        <v>156</v>
      </c>
      <c r="V198" s="93">
        <v>-6.7999999999999996E-3</v>
      </c>
      <c r="W198" s="93">
        <v>0.27300000000000002</v>
      </c>
      <c r="X198" s="185">
        <f t="shared" si="132"/>
        <v>-2.0504350079331858E-2</v>
      </c>
      <c r="Y198" s="185">
        <f t="shared" si="155"/>
        <v>-6.8296680781314029E-3</v>
      </c>
      <c r="Z198" s="185">
        <f t="shared" si="155"/>
        <v>4.6979865771812082E-2</v>
      </c>
      <c r="AA198" s="185">
        <f t="shared" si="156"/>
        <v>-9.4999999999999998E-3</v>
      </c>
      <c r="AB198" s="186">
        <f t="shared" si="156"/>
        <v>-1.529999999999998E-2</v>
      </c>
    </row>
    <row r="199" spans="1:31" ht="15" customHeight="1">
      <c r="A199" s="200">
        <v>176</v>
      </c>
      <c r="B199" s="84" t="s">
        <v>230</v>
      </c>
      <c r="C199" s="84" t="s">
        <v>91</v>
      </c>
      <c r="D199" s="171" t="s">
        <v>330</v>
      </c>
      <c r="E199" s="96">
        <v>854479732.61000001</v>
      </c>
      <c r="F199" s="91">
        <f t="shared" si="147"/>
        <v>5.3768581501258822E-3</v>
      </c>
      <c r="G199" s="171" t="s">
        <v>330</v>
      </c>
      <c r="H199" s="90">
        <v>1.619</v>
      </c>
      <c r="I199" s="171" t="s">
        <v>330</v>
      </c>
      <c r="J199" s="90">
        <v>1.619</v>
      </c>
      <c r="K199" s="92">
        <v>44</v>
      </c>
      <c r="L199" s="93">
        <v>2E-3</v>
      </c>
      <c r="M199" s="93">
        <v>6.2300000000000001E-2</v>
      </c>
      <c r="N199" s="171" t="s">
        <v>330</v>
      </c>
      <c r="O199" s="96">
        <v>856967025.76999998</v>
      </c>
      <c r="P199" s="91">
        <f t="shared" si="129"/>
        <v>5.4309019473758437E-3</v>
      </c>
      <c r="Q199" s="171" t="s">
        <v>330</v>
      </c>
      <c r="R199" s="90">
        <v>1.63</v>
      </c>
      <c r="S199" s="171" t="s">
        <v>330</v>
      </c>
      <c r="T199" s="90">
        <v>1.63</v>
      </c>
      <c r="U199" s="92">
        <v>44</v>
      </c>
      <c r="V199" s="93">
        <v>2.0999999999999999E-3</v>
      </c>
      <c r="W199" s="93">
        <v>6.5500000000000003E-2</v>
      </c>
      <c r="X199" s="185">
        <f t="shared" si="132"/>
        <v>2.9108860808231855E-3</v>
      </c>
      <c r="Y199" s="185">
        <f t="shared" si="155"/>
        <v>6.7943174799258181E-3</v>
      </c>
      <c r="Z199" s="185">
        <f t="shared" si="155"/>
        <v>0</v>
      </c>
      <c r="AA199" s="185">
        <f t="shared" si="156"/>
        <v>9.9999999999999829E-5</v>
      </c>
      <c r="AB199" s="186">
        <f t="shared" si="156"/>
        <v>3.2000000000000015E-3</v>
      </c>
    </row>
    <row r="200" spans="1:31" ht="15" customHeight="1">
      <c r="A200" s="200">
        <v>177</v>
      </c>
      <c r="B200" s="84" t="s">
        <v>231</v>
      </c>
      <c r="C200" s="85" t="s">
        <v>49</v>
      </c>
      <c r="D200" s="171" t="s">
        <v>330</v>
      </c>
      <c r="E200" s="96">
        <v>8899860991.8299999</v>
      </c>
      <c r="F200" s="91">
        <f t="shared" si="147"/>
        <v>5.6002838081063835E-2</v>
      </c>
      <c r="G200" s="171" t="s">
        <v>330</v>
      </c>
      <c r="H200" s="90">
        <v>3.0479699999999998</v>
      </c>
      <c r="I200" s="171" t="s">
        <v>330</v>
      </c>
      <c r="J200" s="90">
        <v>3.06663</v>
      </c>
      <c r="K200" s="92">
        <v>3490</v>
      </c>
      <c r="L200" s="93">
        <v>5.4000000000000003E-3</v>
      </c>
      <c r="M200" s="93">
        <v>0.37230000000000002</v>
      </c>
      <c r="N200" s="171" t="s">
        <v>330</v>
      </c>
      <c r="O200" s="96">
        <v>8899860991.8299999</v>
      </c>
      <c r="P200" s="113">
        <f t="shared" si="129"/>
        <v>5.6401554480436003E-2</v>
      </c>
      <c r="Q200" s="171" t="s">
        <v>330</v>
      </c>
      <c r="R200" s="90">
        <v>3.0479699999999998</v>
      </c>
      <c r="S200" s="171" t="s">
        <v>330</v>
      </c>
      <c r="T200" s="90">
        <v>3.06663</v>
      </c>
      <c r="U200" s="92">
        <v>3490</v>
      </c>
      <c r="V200" s="93">
        <v>5.4000000000000003E-3</v>
      </c>
      <c r="W200" s="93">
        <v>0.37230000000000002</v>
      </c>
      <c r="X200" s="185">
        <f t="shared" si="132"/>
        <v>0</v>
      </c>
      <c r="Y200" s="185">
        <f t="shared" si="155"/>
        <v>0</v>
      </c>
      <c r="Z200" s="185">
        <f t="shared" si="155"/>
        <v>0</v>
      </c>
      <c r="AA200" s="185">
        <f t="shared" si="156"/>
        <v>0</v>
      </c>
      <c r="AB200" s="186">
        <f t="shared" si="156"/>
        <v>0</v>
      </c>
    </row>
    <row r="201" spans="1:31" ht="14.4" customHeight="1">
      <c r="A201" s="200">
        <v>178</v>
      </c>
      <c r="B201" s="84" t="s">
        <v>232</v>
      </c>
      <c r="C201" s="85" t="s">
        <v>49</v>
      </c>
      <c r="D201" s="171" t="s">
        <v>330</v>
      </c>
      <c r="E201" s="96">
        <v>5207474331.0600004</v>
      </c>
      <c r="F201" s="91">
        <f t="shared" si="147"/>
        <v>3.2768303015223099E-2</v>
      </c>
      <c r="G201" s="171" t="s">
        <v>330</v>
      </c>
      <c r="H201" s="90">
        <v>2.49878</v>
      </c>
      <c r="I201" s="171" t="s">
        <v>330</v>
      </c>
      <c r="J201" s="90">
        <v>2.5183200000000001</v>
      </c>
      <c r="K201" s="92">
        <v>2131</v>
      </c>
      <c r="L201" s="93">
        <v>8.9999999999999998E-4</v>
      </c>
      <c r="M201" s="93">
        <v>0.39779999999999999</v>
      </c>
      <c r="N201" s="171" t="s">
        <v>330</v>
      </c>
      <c r="O201" s="96">
        <v>5207474331.0600004</v>
      </c>
      <c r="P201" s="113">
        <f t="shared" si="129"/>
        <v>3.3001599402325013E-2</v>
      </c>
      <c r="Q201" s="171" t="s">
        <v>330</v>
      </c>
      <c r="R201" s="90">
        <v>2.49878</v>
      </c>
      <c r="S201" s="171" t="s">
        <v>330</v>
      </c>
      <c r="T201" s="90">
        <v>2.5183200000000001</v>
      </c>
      <c r="U201" s="92">
        <v>2131</v>
      </c>
      <c r="V201" s="93">
        <v>8.9999999999999998E-4</v>
      </c>
      <c r="W201" s="93">
        <v>0.39779999999999999</v>
      </c>
      <c r="X201" s="185">
        <f t="shared" si="132"/>
        <v>0</v>
      </c>
      <c r="Y201" s="185">
        <f t="shared" si="155"/>
        <v>0</v>
      </c>
      <c r="Z201" s="185">
        <f t="shared" si="155"/>
        <v>0</v>
      </c>
      <c r="AA201" s="185">
        <f t="shared" si="156"/>
        <v>0</v>
      </c>
      <c r="AB201" s="186">
        <f t="shared" si="156"/>
        <v>0</v>
      </c>
    </row>
    <row r="202" spans="1:31" ht="17.399999999999999" customHeight="1">
      <c r="A202" s="200">
        <v>179</v>
      </c>
      <c r="B202" s="84" t="s">
        <v>233</v>
      </c>
      <c r="C202" s="85" t="s">
        <v>115</v>
      </c>
      <c r="D202" s="171" t="s">
        <v>330</v>
      </c>
      <c r="E202" s="117">
        <v>14392858971.85</v>
      </c>
      <c r="F202" s="91">
        <f t="shared" si="147"/>
        <v>9.056781350450771E-2</v>
      </c>
      <c r="G202" s="171" t="s">
        <v>330</v>
      </c>
      <c r="H202" s="90">
        <v>909.6</v>
      </c>
      <c r="I202" s="171" t="s">
        <v>330</v>
      </c>
      <c r="J202" s="90">
        <v>921.08</v>
      </c>
      <c r="K202" s="92">
        <v>42</v>
      </c>
      <c r="L202" s="93">
        <v>-5.9999999999999995E-4</v>
      </c>
      <c r="M202" s="93">
        <v>0.3241</v>
      </c>
      <c r="N202" s="171" t="s">
        <v>330</v>
      </c>
      <c r="O202" s="117">
        <v>14152799222.57</v>
      </c>
      <c r="P202" s="113">
        <f t="shared" si="129"/>
        <v>8.9691274631730974E-2</v>
      </c>
      <c r="Q202" s="171" t="s">
        <v>330</v>
      </c>
      <c r="R202" s="90">
        <v>894.86</v>
      </c>
      <c r="S202" s="171" t="s">
        <v>330</v>
      </c>
      <c r="T202" s="90">
        <v>905.02</v>
      </c>
      <c r="U202" s="92">
        <v>43</v>
      </c>
      <c r="V202" s="93">
        <v>-1.7000000000000001E-2</v>
      </c>
      <c r="W202" s="93">
        <v>0.30159999999999998</v>
      </c>
      <c r="X202" s="185">
        <f t="shared" si="132"/>
        <v>-1.6679087160481249E-2</v>
      </c>
      <c r="Y202" s="185">
        <f t="shared" si="155"/>
        <v>-1.7436053328701153E-2</v>
      </c>
      <c r="Z202" s="185">
        <f t="shared" si="155"/>
        <v>2.3809523809523808E-2</v>
      </c>
      <c r="AA202" s="185">
        <f t="shared" si="156"/>
        <v>-1.6400000000000001E-2</v>
      </c>
      <c r="AB202" s="186">
        <f t="shared" si="156"/>
        <v>-2.250000000000002E-2</v>
      </c>
    </row>
    <row r="203" spans="1:31">
      <c r="B203" s="99"/>
      <c r="C203" s="100" t="s">
        <v>52</v>
      </c>
      <c r="D203" s="145" t="s">
        <v>330</v>
      </c>
      <c r="E203" s="129">
        <f>SUM(E173:E202)</f>
        <v>158918035170.78</v>
      </c>
      <c r="F203" s="102">
        <f>(E203/$E$238)</f>
        <v>1.7622079845974314E-2</v>
      </c>
      <c r="G203" s="171"/>
      <c r="H203" s="103"/>
      <c r="I203" s="171" t="s">
        <v>330</v>
      </c>
      <c r="J203" s="130"/>
      <c r="K203" s="105">
        <f>SUM(K173:K202)</f>
        <v>96678</v>
      </c>
      <c r="L203" s="131"/>
      <c r="M203" s="131"/>
      <c r="N203" s="171" t="s">
        <v>330</v>
      </c>
      <c r="O203" s="129">
        <f>SUM(O173:O202)</f>
        <v>157794604666.74005</v>
      </c>
      <c r="P203" s="102">
        <f>(O203/$O$238)</f>
        <v>1.7405446365746407E-2</v>
      </c>
      <c r="Q203" s="171" t="s">
        <v>330</v>
      </c>
      <c r="R203" s="103"/>
      <c r="S203" s="171" t="s">
        <v>330</v>
      </c>
      <c r="T203" s="130"/>
      <c r="U203" s="105">
        <f>SUM(U173:U202)</f>
        <v>97014</v>
      </c>
      <c r="V203" s="131"/>
      <c r="W203" s="131"/>
      <c r="X203" s="185">
        <f t="shared" ref="X203" si="157">((O203-E203)/E203)</f>
        <v>-7.0692448647043859E-3</v>
      </c>
      <c r="Y203" s="185" t="e">
        <f t="shared" ref="Y203" si="158">((T203-J203)/J203)</f>
        <v>#DIV/0!</v>
      </c>
      <c r="Z203" s="185">
        <f t="shared" ref="Z203" si="159">((U203-K203)/K203)</f>
        <v>3.4754546018742629E-3</v>
      </c>
      <c r="AA203" s="185">
        <f t="shared" ref="AA203" si="160">V203-L203</f>
        <v>0</v>
      </c>
      <c r="AB203" s="186">
        <f t="shared" ref="AB203" si="161">W203-M203</f>
        <v>0</v>
      </c>
    </row>
    <row r="204" spans="1:31" ht="5.25" customHeight="1"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</row>
    <row r="205" spans="1:31" ht="15" customHeight="1">
      <c r="A205" s="191"/>
      <c r="B205" s="215" t="s">
        <v>234</v>
      </c>
      <c r="C205" s="215"/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</row>
    <row r="206" spans="1:31" ht="15" customHeight="1">
      <c r="A206" s="200">
        <v>180</v>
      </c>
      <c r="B206" s="84" t="s">
        <v>306</v>
      </c>
      <c r="C206" s="85" t="s">
        <v>130</v>
      </c>
      <c r="D206" s="171" t="s">
        <v>330</v>
      </c>
      <c r="E206" s="132">
        <v>612995615.79999995</v>
      </c>
      <c r="F206" s="91">
        <v>0</v>
      </c>
      <c r="G206" s="171" t="s">
        <v>330</v>
      </c>
      <c r="H206" s="133">
        <v>1055.28</v>
      </c>
      <c r="I206" s="171" t="s">
        <v>330</v>
      </c>
      <c r="J206" s="133">
        <v>1055.28</v>
      </c>
      <c r="K206" s="92">
        <v>34</v>
      </c>
      <c r="L206" s="93">
        <v>1.89E-3</v>
      </c>
      <c r="M206" s="93">
        <v>5.4140000000000001E-2</v>
      </c>
      <c r="N206" s="171" t="s">
        <v>330</v>
      </c>
      <c r="O206" s="132">
        <v>614668571.78999996</v>
      </c>
      <c r="P206" s="113">
        <f>(O206/$O$209)</f>
        <v>2.8884331106229073E-2</v>
      </c>
      <c r="Q206" s="171" t="s">
        <v>330</v>
      </c>
      <c r="R206" s="133">
        <v>1058.19</v>
      </c>
      <c r="S206" s="171" t="s">
        <v>330</v>
      </c>
      <c r="T206" s="133">
        <v>1058.19</v>
      </c>
      <c r="U206" s="92">
        <v>34</v>
      </c>
      <c r="V206" s="93">
        <v>1.97E-3</v>
      </c>
      <c r="W206" s="93">
        <v>5.706E-2</v>
      </c>
      <c r="X206" s="185">
        <f>((O206-E206)/E206)</f>
        <v>2.7291483770511002E-3</v>
      </c>
      <c r="Y206" s="185">
        <f t="shared" ref="Y206" si="162">((T206-J206)/J206)</f>
        <v>2.7575619740733094E-3</v>
      </c>
      <c r="Z206" s="185">
        <f t="shared" ref="Z206" si="163">((U206-K206)/K206)</f>
        <v>0</v>
      </c>
      <c r="AA206" s="185">
        <f t="shared" ref="AA206" si="164">V206-L206</f>
        <v>7.9999999999999993E-5</v>
      </c>
      <c r="AB206" s="186">
        <f t="shared" ref="AB206" si="165">W206-M206</f>
        <v>2.919999999999999E-3</v>
      </c>
    </row>
    <row r="207" spans="1:31">
      <c r="A207" s="200">
        <v>181</v>
      </c>
      <c r="B207" s="84" t="s">
        <v>235</v>
      </c>
      <c r="C207" s="85" t="s">
        <v>236</v>
      </c>
      <c r="D207" s="171" t="s">
        <v>330</v>
      </c>
      <c r="E207" s="132">
        <v>1972148490.1800001</v>
      </c>
      <c r="F207" s="91">
        <f>(E207/$E$209)</f>
        <v>9.049606388951062E-2</v>
      </c>
      <c r="G207" s="171" t="s">
        <v>330</v>
      </c>
      <c r="H207" s="133">
        <v>53.965400000000002</v>
      </c>
      <c r="I207" s="171" t="s">
        <v>330</v>
      </c>
      <c r="J207" s="133">
        <v>54.514699999999998</v>
      </c>
      <c r="K207" s="92">
        <v>1555</v>
      </c>
      <c r="L207" s="93">
        <v>-0.4249</v>
      </c>
      <c r="M207" s="93">
        <v>0.35</v>
      </c>
      <c r="N207" s="171" t="s">
        <v>330</v>
      </c>
      <c r="O207" s="132">
        <v>1960085125.1099999</v>
      </c>
      <c r="P207" s="113">
        <f>(O207/$O$209)</f>
        <v>9.2107764002312312E-2</v>
      </c>
      <c r="Q207" s="171" t="s">
        <v>330</v>
      </c>
      <c r="R207" s="133">
        <v>53.684899999999999</v>
      </c>
      <c r="S207" s="171" t="s">
        <v>330</v>
      </c>
      <c r="T207" s="133">
        <v>54.227499999999999</v>
      </c>
      <c r="U207" s="92">
        <v>1552</v>
      </c>
      <c r="V207" s="93">
        <v>-0.4249</v>
      </c>
      <c r="W207" s="93">
        <v>0.34289999999999998</v>
      </c>
      <c r="X207" s="185">
        <f>((O207-E207)/E207)</f>
        <v>-6.1168644907154714E-3</v>
      </c>
      <c r="Y207" s="185">
        <f t="shared" ref="Y207:Z209" si="166">((T207-J207)/J207)</f>
        <v>-5.268303778613816E-3</v>
      </c>
      <c r="Z207" s="185">
        <f t="shared" si="166"/>
        <v>-1.9292604501607716E-3</v>
      </c>
      <c r="AA207" s="185">
        <f t="shared" ref="AA207:AB209" si="167">V207-L207</f>
        <v>0</v>
      </c>
      <c r="AB207" s="186">
        <f t="shared" si="167"/>
        <v>-7.0999999999999952E-3</v>
      </c>
    </row>
    <row r="208" spans="1:31">
      <c r="A208" s="200">
        <v>182</v>
      </c>
      <c r="B208" s="84" t="s">
        <v>237</v>
      </c>
      <c r="C208" s="85" t="s">
        <v>46</v>
      </c>
      <c r="D208" s="171" t="s">
        <v>330</v>
      </c>
      <c r="E208" s="107">
        <v>19207499744.119999</v>
      </c>
      <c r="F208" s="91">
        <f>(E208/$E$209)</f>
        <v>0.881375379519721</v>
      </c>
      <c r="G208" s="171" t="s">
        <v>330</v>
      </c>
      <c r="H208" s="133">
        <v>7.23</v>
      </c>
      <c r="I208" s="171" t="s">
        <v>330</v>
      </c>
      <c r="J208" s="133">
        <v>7.34</v>
      </c>
      <c r="K208" s="92">
        <v>16440</v>
      </c>
      <c r="L208" s="93">
        <v>-2.7100271002709398E-3</v>
      </c>
      <c r="M208" s="93">
        <v>0.62029999999999996</v>
      </c>
      <c r="N208" s="171" t="s">
        <v>330</v>
      </c>
      <c r="O208" s="107">
        <v>18705592714.080002</v>
      </c>
      <c r="P208" s="113">
        <f>(O208/$O$209)</f>
        <v>0.87900790489145852</v>
      </c>
      <c r="Q208" s="171" t="s">
        <v>330</v>
      </c>
      <c r="R208" s="133">
        <v>7.03</v>
      </c>
      <c r="S208" s="171" t="s">
        <v>330</v>
      </c>
      <c r="T208" s="133">
        <v>7.14</v>
      </c>
      <c r="U208" s="92">
        <v>16645</v>
      </c>
      <c r="V208" s="93">
        <v>-2.7199999999999998E-2</v>
      </c>
      <c r="W208" s="93">
        <v>0.57620000000000005</v>
      </c>
      <c r="X208" s="185">
        <f>((O208-E208)/E208)</f>
        <v>-2.6130784158601702E-2</v>
      </c>
      <c r="Y208" s="185">
        <f t="shared" si="166"/>
        <v>-2.7247956403269779E-2</v>
      </c>
      <c r="Z208" s="185">
        <f t="shared" si="166"/>
        <v>1.2469586374695864E-2</v>
      </c>
      <c r="AA208" s="185">
        <f t="shared" si="167"/>
        <v>-2.4489972899729057E-2</v>
      </c>
      <c r="AB208" s="186">
        <f t="shared" si="167"/>
        <v>-4.4099999999999917E-2</v>
      </c>
    </row>
    <row r="209" spans="1:30">
      <c r="B209" s="99"/>
      <c r="C209" s="123" t="s">
        <v>52</v>
      </c>
      <c r="D209" s="123"/>
      <c r="E209" s="129">
        <f>SUM(E206:E208)</f>
        <v>21792643850.099998</v>
      </c>
      <c r="F209" s="102">
        <f>(E209/$E$238)</f>
        <v>2.4165395045857864E-3</v>
      </c>
      <c r="G209" s="145"/>
      <c r="H209" s="103"/>
      <c r="I209" s="103"/>
      <c r="J209" s="130"/>
      <c r="K209" s="105">
        <f>SUM(K206:K208)</f>
        <v>18029</v>
      </c>
      <c r="L209" s="131"/>
      <c r="M209" s="131"/>
      <c r="N209" s="171" t="s">
        <v>330</v>
      </c>
      <c r="O209" s="129">
        <f>SUM(O206:O208)</f>
        <v>21280346410.980003</v>
      </c>
      <c r="P209" s="102">
        <f>(O209/$O$238)</f>
        <v>2.3473168102488874E-3</v>
      </c>
      <c r="Q209" s="171" t="s">
        <v>330</v>
      </c>
      <c r="R209" s="103"/>
      <c r="S209" s="171" t="s">
        <v>330</v>
      </c>
      <c r="T209" s="130"/>
      <c r="U209" s="105">
        <f>SUM(U206:U208)</f>
        <v>18231</v>
      </c>
      <c r="V209" s="131"/>
      <c r="W209" s="131"/>
      <c r="X209" s="185">
        <f>((O209-E209)/E209)</f>
        <v>-2.3507814960122168E-2</v>
      </c>
      <c r="Y209" s="185" t="e">
        <f t="shared" si="166"/>
        <v>#DIV/0!</v>
      </c>
      <c r="Z209" s="185">
        <f t="shared" si="166"/>
        <v>1.1204171057740308E-2</v>
      </c>
      <c r="AA209" s="185">
        <f t="shared" si="167"/>
        <v>0</v>
      </c>
      <c r="AB209" s="186">
        <f t="shared" si="167"/>
        <v>0</v>
      </c>
    </row>
    <row r="210" spans="1:30" ht="6" customHeight="1">
      <c r="B210" s="213"/>
      <c r="C210" s="213"/>
      <c r="D210" s="213"/>
      <c r="E210" s="213"/>
      <c r="F210" s="213"/>
      <c r="G210" s="213"/>
      <c r="H210" s="213"/>
      <c r="I210" s="213"/>
      <c r="J210" s="213"/>
      <c r="K210" s="213"/>
      <c r="L210" s="213"/>
      <c r="M210" s="213"/>
      <c r="N210" s="213"/>
      <c r="O210" s="213"/>
      <c r="P210" s="213"/>
      <c r="Q210" s="213"/>
      <c r="R210" s="213"/>
      <c r="S210" s="213"/>
      <c r="T210" s="213"/>
      <c r="U210" s="213"/>
      <c r="V210" s="213"/>
      <c r="W210" s="213"/>
      <c r="X210" s="213"/>
      <c r="Y210" s="213"/>
      <c r="Z210" s="213"/>
      <c r="AA210" s="213"/>
      <c r="AB210" s="213"/>
    </row>
    <row r="211" spans="1:30" ht="15" customHeight="1">
      <c r="A211" s="191"/>
      <c r="B211" s="216" t="s">
        <v>336</v>
      </c>
      <c r="C211" s="216"/>
      <c r="D211" s="216"/>
      <c r="E211" s="216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</row>
    <row r="212" spans="1:30">
      <c r="A212" s="195"/>
      <c r="B212" s="217" t="s">
        <v>335</v>
      </c>
      <c r="C212" s="217"/>
      <c r="D212" s="217"/>
      <c r="E212" s="217"/>
      <c r="F212" s="217"/>
      <c r="G212" s="217"/>
      <c r="H212" s="217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7"/>
      <c r="T212" s="217"/>
      <c r="U212" s="217"/>
      <c r="V212" s="217"/>
      <c r="W212" s="217"/>
      <c r="X212" s="217"/>
      <c r="Y212" s="217"/>
      <c r="Z212" s="217"/>
      <c r="AA212" s="217"/>
      <c r="AB212" s="217"/>
    </row>
    <row r="213" spans="1:30">
      <c r="A213" s="200">
        <v>183</v>
      </c>
      <c r="B213" s="84" t="s">
        <v>238</v>
      </c>
      <c r="C213" s="85" t="s">
        <v>239</v>
      </c>
      <c r="D213" s="171" t="s">
        <v>330</v>
      </c>
      <c r="E213" s="109">
        <v>17437256402.459999</v>
      </c>
      <c r="F213" s="91">
        <f>(E213/$E$237)</f>
        <v>0.1175564676466751</v>
      </c>
      <c r="G213" s="171" t="s">
        <v>330</v>
      </c>
      <c r="H213" s="134">
        <v>4</v>
      </c>
      <c r="I213" s="171" t="s">
        <v>330</v>
      </c>
      <c r="J213" s="134">
        <v>4.07</v>
      </c>
      <c r="K213" s="110">
        <v>16459</v>
      </c>
      <c r="L213" s="111">
        <v>5.4999999999999997E-3</v>
      </c>
      <c r="M213" s="111">
        <v>0.441</v>
      </c>
      <c r="N213" s="171" t="s">
        <v>330</v>
      </c>
      <c r="O213" s="109">
        <v>17335066723.59</v>
      </c>
      <c r="P213" s="91">
        <f>(O213/$O$237)</f>
        <v>0.11695261822229498</v>
      </c>
      <c r="Q213" s="171" t="s">
        <v>330</v>
      </c>
      <c r="R213" s="134">
        <v>3.93</v>
      </c>
      <c r="S213" s="171" t="s">
        <v>330</v>
      </c>
      <c r="T213" s="134">
        <v>4</v>
      </c>
      <c r="U213" s="110">
        <v>16798</v>
      </c>
      <c r="V213" s="111">
        <v>-1.7600000000000001E-2</v>
      </c>
      <c r="W213" s="111">
        <v>0.41710000000000003</v>
      </c>
      <c r="X213" s="187">
        <f>((O213-E213)/E213)</f>
        <v>-5.8604218755183473E-3</v>
      </c>
      <c r="Y213" s="187">
        <f>((T213-J213)/J213)</f>
        <v>-1.7199017199017268E-2</v>
      </c>
      <c r="Z213" s="187">
        <f>((U213-K213)/K213)</f>
        <v>2.0596634060392489E-2</v>
      </c>
      <c r="AA213" s="187">
        <f>V213-L213</f>
        <v>-2.3100000000000002E-2</v>
      </c>
      <c r="AB213" s="188">
        <f>W213-M213</f>
        <v>-2.3899999999999977E-2</v>
      </c>
    </row>
    <row r="214" spans="1:30">
      <c r="A214" s="200">
        <v>184</v>
      </c>
      <c r="B214" s="84" t="s">
        <v>240</v>
      </c>
      <c r="C214" s="85" t="s">
        <v>46</v>
      </c>
      <c r="D214" s="171" t="s">
        <v>330</v>
      </c>
      <c r="E214" s="109">
        <v>42480755583.050003</v>
      </c>
      <c r="F214" s="91">
        <f>(E214/$E$237)</f>
        <v>0.28639181841706512</v>
      </c>
      <c r="G214" s="171" t="s">
        <v>330</v>
      </c>
      <c r="H214" s="134">
        <v>1584.23</v>
      </c>
      <c r="I214" s="171" t="s">
        <v>330</v>
      </c>
      <c r="J214" s="134">
        <v>1605.3</v>
      </c>
      <c r="K214" s="110">
        <v>9127</v>
      </c>
      <c r="L214" s="111">
        <v>6.3E-3</v>
      </c>
      <c r="M214" s="111">
        <v>0.68840000000000001</v>
      </c>
      <c r="N214" s="171" t="s">
        <v>330</v>
      </c>
      <c r="O214" s="109">
        <v>41670587365.900002</v>
      </c>
      <c r="P214" s="91">
        <f>(O214/$O$237)</f>
        <v>0.28113444113087432</v>
      </c>
      <c r="Q214" s="171" t="s">
        <v>330</v>
      </c>
      <c r="R214" s="134">
        <v>1546.93</v>
      </c>
      <c r="S214" s="171" t="s">
        <v>330</v>
      </c>
      <c r="T214" s="134">
        <v>1567.22</v>
      </c>
      <c r="U214" s="110">
        <v>9453</v>
      </c>
      <c r="V214" s="111">
        <v>-2.3699999999999999E-2</v>
      </c>
      <c r="W214" s="111">
        <v>0.64829999999999999</v>
      </c>
      <c r="X214" s="187">
        <f>((O214-E214)/E214)</f>
        <v>-1.9071417304857497E-2</v>
      </c>
      <c r="Y214" s="187">
        <f>((T214-J214)/J214)</f>
        <v>-2.3721422787017957E-2</v>
      </c>
      <c r="Z214" s="187">
        <f>((U214-K214)/K214)</f>
        <v>3.5718198750958691E-2</v>
      </c>
      <c r="AA214" s="187">
        <f>V214-L214</f>
        <v>-0.03</v>
      </c>
      <c r="AB214" s="188">
        <f>W214-M214</f>
        <v>-4.0100000000000025E-2</v>
      </c>
    </row>
    <row r="215" spans="1:30" ht="6" customHeight="1"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3"/>
      <c r="M215" s="213"/>
      <c r="N215" s="213"/>
      <c r="O215" s="213"/>
      <c r="P215" s="213"/>
      <c r="Q215" s="213"/>
      <c r="R215" s="213"/>
      <c r="S215" s="213"/>
      <c r="T215" s="213"/>
      <c r="U215" s="213"/>
      <c r="V215" s="213"/>
      <c r="W215" s="213"/>
      <c r="X215" s="213"/>
      <c r="Y215" s="213"/>
      <c r="Z215" s="213"/>
      <c r="AA215" s="213"/>
      <c r="AB215" s="213"/>
    </row>
    <row r="216" spans="1:30" ht="15" customHeight="1">
      <c r="A216" s="195"/>
      <c r="B216" s="217" t="s">
        <v>333</v>
      </c>
      <c r="C216" s="217"/>
      <c r="D216" s="217"/>
      <c r="E216" s="217"/>
      <c r="F216" s="217"/>
      <c r="G216" s="217"/>
      <c r="H216" s="217"/>
      <c r="I216" s="217"/>
      <c r="J216" s="217"/>
      <c r="K216" s="217"/>
      <c r="L216" s="217"/>
      <c r="M216" s="217"/>
      <c r="N216" s="217"/>
      <c r="O216" s="217"/>
      <c r="P216" s="217"/>
      <c r="Q216" s="217"/>
      <c r="R216" s="217"/>
      <c r="S216" s="217"/>
      <c r="T216" s="217"/>
      <c r="U216" s="217"/>
      <c r="V216" s="217"/>
      <c r="W216" s="217"/>
      <c r="X216" s="217"/>
      <c r="Y216" s="217"/>
      <c r="Z216" s="217"/>
      <c r="AA216" s="217"/>
      <c r="AB216" s="217"/>
    </row>
    <row r="217" spans="1:30">
      <c r="A217" s="200">
        <v>185</v>
      </c>
      <c r="B217" s="84" t="s">
        <v>241</v>
      </c>
      <c r="C217" s="85" t="s">
        <v>23</v>
      </c>
      <c r="D217" s="171" t="s">
        <v>330</v>
      </c>
      <c r="E217" s="96">
        <v>1508590593.8599999</v>
      </c>
      <c r="F217" s="91">
        <f>(E217/$E$237)</f>
        <v>1.0170440649950079E-2</v>
      </c>
      <c r="G217" s="171" t="s">
        <v>330</v>
      </c>
      <c r="H217" s="133">
        <v>1.1894</v>
      </c>
      <c r="I217" s="171" t="s">
        <v>330</v>
      </c>
      <c r="J217" s="133">
        <v>1.1894</v>
      </c>
      <c r="K217" s="92">
        <v>898</v>
      </c>
      <c r="L217" s="93">
        <v>0.13189999999999999</v>
      </c>
      <c r="M217" s="93">
        <v>0.1181</v>
      </c>
      <c r="N217" s="171" t="s">
        <v>330</v>
      </c>
      <c r="O217" s="96">
        <v>1518008135.6099999</v>
      </c>
      <c r="P217" s="91">
        <f t="shared" ref="P217:P230" si="168">(O217/$O$237)</f>
        <v>1.024138117107677E-2</v>
      </c>
      <c r="Q217" s="171" t="s">
        <v>330</v>
      </c>
      <c r="R217" s="133">
        <v>1.1924999999999999</v>
      </c>
      <c r="S217" s="171" t="s">
        <v>330</v>
      </c>
      <c r="T217" s="133">
        <v>1.1924999999999999</v>
      </c>
      <c r="U217" s="92">
        <v>903</v>
      </c>
      <c r="V217" s="93">
        <v>0.13589999999999999</v>
      </c>
      <c r="W217" s="93">
        <v>0.1192</v>
      </c>
      <c r="X217" s="185">
        <f>((O217-E217)/E217)</f>
        <v>6.2426093522852536E-3</v>
      </c>
      <c r="Y217" s="185">
        <f>((T217-J217)/J217)</f>
        <v>2.606356145955844E-3</v>
      </c>
      <c r="Z217" s="185">
        <f>((U217-K217)/K217)</f>
        <v>5.5679287305122494E-3</v>
      </c>
      <c r="AA217" s="185">
        <f>V217-L217</f>
        <v>4.0000000000000036E-3</v>
      </c>
      <c r="AB217" s="186">
        <f>W217-M217</f>
        <v>1.1000000000000038E-3</v>
      </c>
      <c r="AD217" s="31"/>
    </row>
    <row r="218" spans="1:30" ht="15" customHeight="1">
      <c r="A218" s="200">
        <v>186</v>
      </c>
      <c r="B218" s="84" t="s">
        <v>242</v>
      </c>
      <c r="C218" s="85" t="s">
        <v>243</v>
      </c>
      <c r="D218" s="171" t="s">
        <v>330</v>
      </c>
      <c r="E218" s="96">
        <v>326412656.20999998</v>
      </c>
      <c r="F218" s="91">
        <f>(E218/$E$237)</f>
        <v>2.2005708910607488E-3</v>
      </c>
      <c r="G218" s="171" t="s">
        <v>330</v>
      </c>
      <c r="H218" s="133">
        <v>1150.32</v>
      </c>
      <c r="I218" s="171" t="s">
        <v>330</v>
      </c>
      <c r="J218" s="133">
        <v>1150.32</v>
      </c>
      <c r="K218" s="92">
        <v>19</v>
      </c>
      <c r="L218" s="93">
        <v>2.0999999999999999E-3</v>
      </c>
      <c r="M218" s="93">
        <v>5.6300000000000003E-2</v>
      </c>
      <c r="N218" s="171" t="s">
        <v>330</v>
      </c>
      <c r="O218" s="96">
        <v>326617539.39999998</v>
      </c>
      <c r="P218" s="91">
        <f t="shared" si="168"/>
        <v>2.203555198214018E-3</v>
      </c>
      <c r="Q218" s="171" t="s">
        <v>330</v>
      </c>
      <c r="R218" s="133">
        <v>1151.05</v>
      </c>
      <c r="S218" s="171" t="s">
        <v>330</v>
      </c>
      <c r="T218" s="133">
        <v>1151.05</v>
      </c>
      <c r="U218" s="92">
        <v>19</v>
      </c>
      <c r="V218" s="93">
        <v>1.8E-3</v>
      </c>
      <c r="W218" s="93">
        <v>5.7700000000000001E-2</v>
      </c>
      <c r="X218" s="185">
        <f>((O218-E218)/E218)</f>
        <v>6.2768151326884978E-4</v>
      </c>
      <c r="Y218" s="185">
        <f>((T218-J218)/J218)</f>
        <v>6.3460602267196805E-4</v>
      </c>
      <c r="Z218" s="185">
        <f>((U218-K218)/K218)</f>
        <v>0</v>
      </c>
      <c r="AA218" s="185">
        <f>V218-L218</f>
        <v>-2.9999999999999992E-4</v>
      </c>
      <c r="AB218" s="186">
        <f>W218-M218</f>
        <v>1.3999999999999985E-3</v>
      </c>
      <c r="AD218" s="31"/>
    </row>
    <row r="219" spans="1:30">
      <c r="A219" s="200">
        <v>187</v>
      </c>
      <c r="B219" s="84" t="s">
        <v>244</v>
      </c>
      <c r="C219" s="85" t="s">
        <v>69</v>
      </c>
      <c r="D219" s="171" t="s">
        <v>330</v>
      </c>
      <c r="E219" s="96">
        <v>367076776.77999997</v>
      </c>
      <c r="F219" s="91">
        <f>(E219/$E$237)</f>
        <v>2.4747155307813244E-3</v>
      </c>
      <c r="G219" s="171" t="s">
        <v>330</v>
      </c>
      <c r="H219" s="133">
        <v>124.91</v>
      </c>
      <c r="I219" s="171" t="s">
        <v>330</v>
      </c>
      <c r="J219" s="133">
        <v>124.91</v>
      </c>
      <c r="K219" s="92">
        <v>84</v>
      </c>
      <c r="L219" s="93">
        <v>2.8E-3</v>
      </c>
      <c r="M219" s="93">
        <v>0.15770000000000001</v>
      </c>
      <c r="N219" s="171" t="s">
        <v>330</v>
      </c>
      <c r="O219" s="96">
        <v>369096064.16000003</v>
      </c>
      <c r="P219" s="91">
        <f t="shared" si="168"/>
        <v>2.4901404631061364E-3</v>
      </c>
      <c r="Q219" s="171" t="s">
        <v>330</v>
      </c>
      <c r="R219" s="133">
        <v>125.27</v>
      </c>
      <c r="S219" s="171" t="s">
        <v>330</v>
      </c>
      <c r="T219" s="133">
        <v>125.27</v>
      </c>
      <c r="U219" s="92">
        <v>85</v>
      </c>
      <c r="V219" s="93">
        <v>2.8999999999999998E-3</v>
      </c>
      <c r="W219" s="93">
        <v>0.15609999999999999</v>
      </c>
      <c r="X219" s="185">
        <f t="shared" ref="X219:X238" si="169">((O219-E219)/E219)</f>
        <v>5.5009946358177643E-3</v>
      </c>
      <c r="Y219" s="185">
        <f t="shared" ref="Y219:Y237" si="170">((T219-J219)/J219)</f>
        <v>2.8820750940677241E-3</v>
      </c>
      <c r="Z219" s="185">
        <f t="shared" ref="Z219:Z237" si="171">((U219-K219)/K219)</f>
        <v>1.1904761904761904E-2</v>
      </c>
      <c r="AA219" s="185">
        <f t="shared" ref="AA219:AA237" si="172">V219-L219</f>
        <v>9.9999999999999829E-5</v>
      </c>
      <c r="AB219" s="186">
        <f t="shared" ref="AB219:AB237" si="173">W219-M219</f>
        <v>-1.6000000000000181E-3</v>
      </c>
    </row>
    <row r="220" spans="1:30">
      <c r="A220" s="200">
        <v>188</v>
      </c>
      <c r="B220" s="204" t="s">
        <v>245</v>
      </c>
      <c r="C220" s="85" t="s">
        <v>246</v>
      </c>
      <c r="D220" s="171" t="s">
        <v>330</v>
      </c>
      <c r="E220" s="96">
        <v>54292516.955452852</v>
      </c>
      <c r="F220" s="91">
        <v>0</v>
      </c>
      <c r="G220" s="171" t="s">
        <v>330</v>
      </c>
      <c r="H220" s="133">
        <v>106.1673901034695</v>
      </c>
      <c r="I220" s="171" t="s">
        <v>330</v>
      </c>
      <c r="J220" s="133">
        <v>106.1673901034695</v>
      </c>
      <c r="K220" s="92">
        <v>14</v>
      </c>
      <c r="L220" s="93">
        <v>3.0000000000000001E-3</v>
      </c>
      <c r="M220" s="93">
        <v>6.1699999999999998E-2</v>
      </c>
      <c r="N220" s="171" t="s">
        <v>330</v>
      </c>
      <c r="O220" s="96">
        <v>54636797.460000001</v>
      </c>
      <c r="P220" s="91">
        <f t="shared" si="168"/>
        <v>3.6861216723975312E-4</v>
      </c>
      <c r="Q220" s="171" t="s">
        <v>330</v>
      </c>
      <c r="R220" s="133">
        <v>106.84</v>
      </c>
      <c r="S220" s="171" t="s">
        <v>330</v>
      </c>
      <c r="T220" s="133">
        <v>106.84</v>
      </c>
      <c r="U220" s="92">
        <v>14</v>
      </c>
      <c r="V220" s="93">
        <v>3.3999999999999998E-3</v>
      </c>
      <c r="W220" s="93">
        <v>6.8400000000000002E-2</v>
      </c>
      <c r="X220" s="185">
        <f t="shared" si="169"/>
        <v>6.3412146618590549E-3</v>
      </c>
      <c r="Y220" s="185">
        <f t="shared" si="170"/>
        <v>6.335371867717432E-3</v>
      </c>
      <c r="Z220" s="185">
        <f t="shared" si="171"/>
        <v>0</v>
      </c>
      <c r="AA220" s="185">
        <f t="shared" si="172"/>
        <v>3.9999999999999975E-4</v>
      </c>
      <c r="AB220" s="186">
        <f t="shared" si="173"/>
        <v>6.7000000000000046E-3</v>
      </c>
    </row>
    <row r="221" spans="1:30">
      <c r="A221" s="200">
        <v>189</v>
      </c>
      <c r="B221" s="204" t="s">
        <v>247</v>
      </c>
      <c r="C221" s="85" t="s">
        <v>75</v>
      </c>
      <c r="D221" s="171" t="s">
        <v>330</v>
      </c>
      <c r="E221" s="107">
        <v>99545040.950000003</v>
      </c>
      <c r="F221" s="91">
        <f>(E221/$E$237)</f>
        <v>6.7110118218911526E-4</v>
      </c>
      <c r="G221" s="171" t="s">
        <v>330</v>
      </c>
      <c r="H221" s="133">
        <v>115.06</v>
      </c>
      <c r="I221" s="171" t="s">
        <v>330</v>
      </c>
      <c r="J221" s="133">
        <v>115.06</v>
      </c>
      <c r="K221" s="92">
        <v>20</v>
      </c>
      <c r="L221" s="93">
        <v>-6.9999999999999999E-4</v>
      </c>
      <c r="M221" s="93">
        <v>0.16589999999999999</v>
      </c>
      <c r="N221" s="171" t="s">
        <v>330</v>
      </c>
      <c r="O221" s="107">
        <v>119439263.23999999</v>
      </c>
      <c r="P221" s="91">
        <f t="shared" si="168"/>
        <v>8.0580794854691275E-4</v>
      </c>
      <c r="Q221" s="171" t="s">
        <v>330</v>
      </c>
      <c r="R221" s="133">
        <v>114.04</v>
      </c>
      <c r="S221" s="171" t="s">
        <v>330</v>
      </c>
      <c r="T221" s="133">
        <v>114.04</v>
      </c>
      <c r="U221" s="92">
        <v>20</v>
      </c>
      <c r="V221" s="93">
        <v>-1.03E-2</v>
      </c>
      <c r="W221" s="93">
        <v>0.15559999999999999</v>
      </c>
      <c r="X221" s="185">
        <f t="shared" si="169"/>
        <v>0.19985146522761052</v>
      </c>
      <c r="Y221" s="185">
        <f t="shared" si="170"/>
        <v>-8.8649400312879895E-3</v>
      </c>
      <c r="Z221" s="185">
        <f t="shared" si="171"/>
        <v>0</v>
      </c>
      <c r="AA221" s="185">
        <f t="shared" si="172"/>
        <v>-9.6000000000000009E-3</v>
      </c>
      <c r="AB221" s="186">
        <f t="shared" si="173"/>
        <v>-1.0300000000000004E-2</v>
      </c>
    </row>
    <row r="222" spans="1:30">
      <c r="A222" s="200">
        <v>190</v>
      </c>
      <c r="B222" s="84" t="s">
        <v>248</v>
      </c>
      <c r="C222" s="85" t="s">
        <v>78</v>
      </c>
      <c r="D222" s="171" t="s">
        <v>330</v>
      </c>
      <c r="E222" s="107">
        <v>335071023.54000002</v>
      </c>
      <c r="F222" s="91">
        <v>0</v>
      </c>
      <c r="G222" s="171" t="s">
        <v>330</v>
      </c>
      <c r="H222" s="133">
        <v>1.23</v>
      </c>
      <c r="I222" s="171" t="s">
        <v>330</v>
      </c>
      <c r="J222" s="133">
        <v>1.23</v>
      </c>
      <c r="K222" s="92">
        <v>58</v>
      </c>
      <c r="L222" s="93">
        <v>1.6000000000000001E-3</v>
      </c>
      <c r="M222" s="93">
        <v>0.15720000000000001</v>
      </c>
      <c r="N222" s="171" t="s">
        <v>330</v>
      </c>
      <c r="O222" s="107">
        <v>333592653.55000001</v>
      </c>
      <c r="P222" s="91">
        <f t="shared" si="168"/>
        <v>2.2506134458255933E-3</v>
      </c>
      <c r="Q222" s="171" t="s">
        <v>330</v>
      </c>
      <c r="R222" s="133">
        <v>1.22</v>
      </c>
      <c r="S222" s="171" t="s">
        <v>330</v>
      </c>
      <c r="T222" s="133">
        <v>1.22</v>
      </c>
      <c r="U222" s="92">
        <v>58</v>
      </c>
      <c r="V222" s="93">
        <v>-6.0000000000000001E-3</v>
      </c>
      <c r="W222" s="93">
        <v>0.1353</v>
      </c>
      <c r="X222" s="185">
        <f t="shared" ref="X222:X223" si="174">((O222-E222)/E222)</f>
        <v>-4.4121093324667182E-3</v>
      </c>
      <c r="Y222" s="185">
        <f t="shared" ref="Y222:Y223" si="175">((T222-J222)/J222)</f>
        <v>-8.1300813008130159E-3</v>
      </c>
      <c r="Z222" s="185">
        <f t="shared" ref="Z222" si="176">((U222-K222)/K222)</f>
        <v>0</v>
      </c>
      <c r="AA222" s="185">
        <f t="shared" ref="AA222" si="177">V222-L222</f>
        <v>-7.6E-3</v>
      </c>
      <c r="AB222" s="186">
        <f t="shared" ref="AB222" si="178">W222-M222</f>
        <v>-2.1900000000000003E-2</v>
      </c>
    </row>
    <row r="223" spans="1:30">
      <c r="A223" s="200">
        <v>191</v>
      </c>
      <c r="B223" s="84" t="s">
        <v>327</v>
      </c>
      <c r="C223" s="85" t="s">
        <v>79</v>
      </c>
      <c r="D223" s="171" t="s">
        <v>330</v>
      </c>
      <c r="E223" s="96">
        <v>5703541050.4099998</v>
      </c>
      <c r="F223" s="91">
        <f t="shared" ref="F223:F230" si="179">(E223/$E$237)</f>
        <v>3.8451469857919612E-2</v>
      </c>
      <c r="G223" s="171" t="s">
        <v>330</v>
      </c>
      <c r="H223" s="133">
        <v>150.27000000000001</v>
      </c>
      <c r="I223" s="171" t="s">
        <v>330</v>
      </c>
      <c r="J223" s="133">
        <v>150.27000000000001</v>
      </c>
      <c r="K223" s="92">
        <v>945</v>
      </c>
      <c r="L223" s="93">
        <v>2.3E-3</v>
      </c>
      <c r="M223" s="93">
        <v>5.6099999999999997E-2</v>
      </c>
      <c r="N223" s="171" t="s">
        <v>330</v>
      </c>
      <c r="O223" s="96">
        <v>5755931838.2200003</v>
      </c>
      <c r="P223" s="91">
        <f t="shared" si="168"/>
        <v>3.8832922279602632E-2</v>
      </c>
      <c r="Q223" s="171" t="s">
        <v>330</v>
      </c>
      <c r="R223" s="133">
        <v>150.66999999999999</v>
      </c>
      <c r="S223" s="171" t="s">
        <v>330</v>
      </c>
      <c r="T223" s="133">
        <v>150.66999999999999</v>
      </c>
      <c r="U223" s="92">
        <v>957</v>
      </c>
      <c r="V223" s="93">
        <v>2.7000000000000001E-3</v>
      </c>
      <c r="W223" s="93">
        <v>5.8900000000000001E-2</v>
      </c>
      <c r="X223" s="185">
        <f t="shared" si="174"/>
        <v>9.1856598115015401E-3</v>
      </c>
      <c r="Y223" s="185">
        <f t="shared" si="175"/>
        <v>2.6618752911424584E-3</v>
      </c>
      <c r="Z223" s="185">
        <f t="shared" si="171"/>
        <v>1.2698412698412698E-2</v>
      </c>
      <c r="AA223" s="185">
        <f t="shared" si="172"/>
        <v>4.0000000000000018E-4</v>
      </c>
      <c r="AB223" s="186">
        <f t="shared" si="173"/>
        <v>2.8000000000000039E-3</v>
      </c>
    </row>
    <row r="224" spans="1:30">
      <c r="A224" s="200">
        <v>192</v>
      </c>
      <c r="B224" s="84" t="s">
        <v>249</v>
      </c>
      <c r="C224" s="85" t="s">
        <v>67</v>
      </c>
      <c r="D224" s="171" t="s">
        <v>330</v>
      </c>
      <c r="E224" s="96">
        <v>994181802.22000003</v>
      </c>
      <c r="F224" s="91">
        <f t="shared" si="179"/>
        <v>6.702459272841829E-3</v>
      </c>
      <c r="G224" s="171" t="s">
        <v>330</v>
      </c>
      <c r="H224" s="95">
        <v>1391.12</v>
      </c>
      <c r="I224" s="171" t="s">
        <v>330</v>
      </c>
      <c r="J224" s="95">
        <v>1391.12</v>
      </c>
      <c r="K224" s="92">
        <v>341</v>
      </c>
      <c r="L224" s="93">
        <v>0.1293</v>
      </c>
      <c r="M224" s="93">
        <v>0.1225</v>
      </c>
      <c r="N224" s="171" t="s">
        <v>330</v>
      </c>
      <c r="O224" s="96">
        <v>988309659.35000002</v>
      </c>
      <c r="P224" s="91">
        <f t="shared" si="168"/>
        <v>6.6677217987327038E-3</v>
      </c>
      <c r="Q224" s="171" t="s">
        <v>330</v>
      </c>
      <c r="R224" s="95">
        <v>1394.92</v>
      </c>
      <c r="S224" s="171" t="s">
        <v>330</v>
      </c>
      <c r="T224" s="95">
        <v>1394.92</v>
      </c>
      <c r="U224" s="92">
        <v>341</v>
      </c>
      <c r="V224" s="93">
        <v>0.14269999999999999</v>
      </c>
      <c r="W224" s="93">
        <v>0.1237</v>
      </c>
      <c r="X224" s="185">
        <f t="shared" si="169"/>
        <v>-5.9065081023285245E-3</v>
      </c>
      <c r="Y224" s="185">
        <f t="shared" si="170"/>
        <v>2.7316119385819931E-3</v>
      </c>
      <c r="Z224" s="185">
        <f t="shared" si="171"/>
        <v>0</v>
      </c>
      <c r="AA224" s="185">
        <f t="shared" si="172"/>
        <v>1.3399999999999995E-2</v>
      </c>
      <c r="AB224" s="186">
        <f t="shared" si="173"/>
        <v>1.2000000000000066E-3</v>
      </c>
    </row>
    <row r="225" spans="1:32">
      <c r="A225" s="200">
        <v>193</v>
      </c>
      <c r="B225" s="84" t="s">
        <v>250</v>
      </c>
      <c r="C225" s="85" t="s">
        <v>239</v>
      </c>
      <c r="D225" s="171" t="s">
        <v>330</v>
      </c>
      <c r="E225" s="96">
        <v>45590717720.910004</v>
      </c>
      <c r="F225" s="91">
        <f t="shared" si="179"/>
        <v>0.30735819953824578</v>
      </c>
      <c r="G225" s="171" t="s">
        <v>330</v>
      </c>
      <c r="H225" s="95">
        <v>1301.3399999999999</v>
      </c>
      <c r="I225" s="171" t="s">
        <v>330</v>
      </c>
      <c r="J225" s="95">
        <v>1301.3399999999999</v>
      </c>
      <c r="K225" s="92">
        <v>13116</v>
      </c>
      <c r="L225" s="93">
        <v>2.8E-3</v>
      </c>
      <c r="M225" s="93">
        <v>6.2199999999999998E-2</v>
      </c>
      <c r="N225" s="171" t="s">
        <v>330</v>
      </c>
      <c r="O225" s="96">
        <v>46374494615.160004</v>
      </c>
      <c r="P225" s="91">
        <f t="shared" si="168"/>
        <v>0.31286978299299445</v>
      </c>
      <c r="Q225" s="171" t="s">
        <v>330</v>
      </c>
      <c r="R225" s="95">
        <v>1306.07</v>
      </c>
      <c r="S225" s="171" t="s">
        <v>330</v>
      </c>
      <c r="T225" s="95">
        <v>1306.07</v>
      </c>
      <c r="U225" s="92">
        <v>13530</v>
      </c>
      <c r="V225" s="93">
        <v>3.5999999999999999E-3</v>
      </c>
      <c r="W225" s="93">
        <v>6.59E-2</v>
      </c>
      <c r="X225" s="185">
        <f t="shared" si="169"/>
        <v>1.7191589284643434E-2</v>
      </c>
      <c r="Y225" s="185">
        <f t="shared" si="170"/>
        <v>3.634714986091274E-3</v>
      </c>
      <c r="Z225" s="185">
        <f t="shared" si="171"/>
        <v>3.1564501372369623E-2</v>
      </c>
      <c r="AA225" s="185">
        <f t="shared" si="172"/>
        <v>7.9999999999999993E-4</v>
      </c>
      <c r="AB225" s="186">
        <f t="shared" si="173"/>
        <v>3.7000000000000019E-3</v>
      </c>
    </row>
    <row r="226" spans="1:32">
      <c r="A226" s="200">
        <v>194</v>
      </c>
      <c r="B226" s="84" t="s">
        <v>251</v>
      </c>
      <c r="C226" s="85" t="s">
        <v>252</v>
      </c>
      <c r="D226" s="171" t="s">
        <v>330</v>
      </c>
      <c r="E226" s="96">
        <v>575169149.59000003</v>
      </c>
      <c r="F226" s="91">
        <f t="shared" si="179"/>
        <v>3.8776084932491766E-3</v>
      </c>
      <c r="G226" s="171" t="s">
        <v>330</v>
      </c>
      <c r="H226" s="134">
        <v>141.52000000000001</v>
      </c>
      <c r="I226" s="171" t="s">
        <v>330</v>
      </c>
      <c r="J226" s="134">
        <v>142</v>
      </c>
      <c r="K226" s="110">
        <v>145</v>
      </c>
      <c r="L226" s="93">
        <v>1.1999999999999999E-3</v>
      </c>
      <c r="M226" s="93">
        <v>0.16400000000000001</v>
      </c>
      <c r="N226" s="171" t="s">
        <v>330</v>
      </c>
      <c r="O226" s="96">
        <v>593359750.41999996</v>
      </c>
      <c r="P226" s="91">
        <f t="shared" si="168"/>
        <v>4.00315599967735E-3</v>
      </c>
      <c r="Q226" s="171" t="s">
        <v>330</v>
      </c>
      <c r="R226" s="134">
        <v>141.85</v>
      </c>
      <c r="S226" s="171" t="s">
        <v>330</v>
      </c>
      <c r="T226" s="134">
        <v>142.31</v>
      </c>
      <c r="U226" s="110">
        <v>145</v>
      </c>
      <c r="V226" s="93">
        <v>2.2000000000000001E-3</v>
      </c>
      <c r="W226" s="93">
        <v>0.1663</v>
      </c>
      <c r="X226" s="185">
        <f>((O226-E226)/E226)</f>
        <v>3.1626523854707433E-2</v>
      </c>
      <c r="Y226" s="185">
        <f t="shared" si="170"/>
        <v>2.1830985915493118E-3</v>
      </c>
      <c r="Z226" s="185">
        <f t="shared" si="171"/>
        <v>0</v>
      </c>
      <c r="AA226" s="185">
        <f t="shared" si="172"/>
        <v>1.0000000000000002E-3</v>
      </c>
      <c r="AB226" s="186">
        <f t="shared" si="173"/>
        <v>2.2999999999999965E-3</v>
      </c>
    </row>
    <row r="227" spans="1:32">
      <c r="A227" s="200">
        <v>195</v>
      </c>
      <c r="B227" s="84" t="s">
        <v>253</v>
      </c>
      <c r="C227" s="85" t="s">
        <v>252</v>
      </c>
      <c r="D227" s="171" t="s">
        <v>330</v>
      </c>
      <c r="E227" s="96">
        <v>1000304797.92</v>
      </c>
      <c r="F227" s="91">
        <f t="shared" si="179"/>
        <v>6.7437385732830512E-3</v>
      </c>
      <c r="G227" s="171" t="s">
        <v>330</v>
      </c>
      <c r="H227" s="134">
        <v>147.35</v>
      </c>
      <c r="I227" s="171" t="s">
        <v>330</v>
      </c>
      <c r="J227" s="134">
        <v>147.35</v>
      </c>
      <c r="K227" s="110">
        <v>139</v>
      </c>
      <c r="L227" s="93">
        <v>4.7999999999999996E-3</v>
      </c>
      <c r="M227" s="93">
        <v>8.6499999999999994E-2</v>
      </c>
      <c r="N227" s="171" t="s">
        <v>330</v>
      </c>
      <c r="O227" s="96">
        <v>1029913825.0700001</v>
      </c>
      <c r="P227" s="91">
        <f t="shared" si="168"/>
        <v>6.9484081201350249E-3</v>
      </c>
      <c r="Q227" s="171" t="s">
        <v>330</v>
      </c>
      <c r="R227" s="134">
        <v>148.25</v>
      </c>
      <c r="S227" s="171" t="s">
        <v>330</v>
      </c>
      <c r="T227" s="134">
        <v>148.25</v>
      </c>
      <c r="U227" s="110">
        <v>140</v>
      </c>
      <c r="V227" s="93">
        <v>6.1000000000000004E-3</v>
      </c>
      <c r="W227" s="93">
        <v>9.2399999999999996E-2</v>
      </c>
      <c r="X227" s="185">
        <f t="shared" si="169"/>
        <v>2.9600005130004482E-2</v>
      </c>
      <c r="Y227" s="185">
        <f t="shared" si="170"/>
        <v>6.1079063454360753E-3</v>
      </c>
      <c r="Z227" s="185">
        <f t="shared" si="171"/>
        <v>7.1942446043165471E-3</v>
      </c>
      <c r="AA227" s="185">
        <f t="shared" si="172"/>
        <v>1.3000000000000008E-3</v>
      </c>
      <c r="AB227" s="186">
        <f t="shared" si="173"/>
        <v>5.9000000000000025E-3</v>
      </c>
    </row>
    <row r="228" spans="1:32" ht="13.5" customHeight="1">
      <c r="A228" s="200">
        <v>196</v>
      </c>
      <c r="B228" s="84" t="s">
        <v>254</v>
      </c>
      <c r="C228" s="85" t="s">
        <v>98</v>
      </c>
      <c r="D228" s="171" t="s">
        <v>330</v>
      </c>
      <c r="E228" s="96">
        <v>3365864041</v>
      </c>
      <c r="F228" s="91">
        <f t="shared" si="179"/>
        <v>2.2691590816035848E-2</v>
      </c>
      <c r="G228" s="171" t="s">
        <v>330</v>
      </c>
      <c r="H228" s="116">
        <v>107.75</v>
      </c>
      <c r="I228" s="171" t="s">
        <v>330</v>
      </c>
      <c r="J228" s="116">
        <v>107.75</v>
      </c>
      <c r="K228" s="92">
        <v>923</v>
      </c>
      <c r="L228" s="93">
        <v>3.5000000000000001E-3</v>
      </c>
      <c r="M228" s="93">
        <v>0.1847</v>
      </c>
      <c r="N228" s="171" t="s">
        <v>330</v>
      </c>
      <c r="O228" s="96">
        <v>3261738453</v>
      </c>
      <c r="P228" s="91">
        <f t="shared" si="168"/>
        <v>2.2005617752574067E-2</v>
      </c>
      <c r="Q228" s="171" t="s">
        <v>330</v>
      </c>
      <c r="R228" s="116">
        <v>108.13</v>
      </c>
      <c r="S228" s="171" t="s">
        <v>330</v>
      </c>
      <c r="T228" s="116">
        <v>108.13</v>
      </c>
      <c r="U228" s="92">
        <v>936</v>
      </c>
      <c r="V228" s="93">
        <v>3.5000000000000001E-3</v>
      </c>
      <c r="W228" s="93">
        <v>0.185</v>
      </c>
      <c r="X228" s="185">
        <f t="shared" si="169"/>
        <v>-3.0935767675590434E-2</v>
      </c>
      <c r="Y228" s="185">
        <f t="shared" si="170"/>
        <v>3.5266821345707237E-3</v>
      </c>
      <c r="Z228" s="185">
        <f t="shared" si="171"/>
        <v>1.4084507042253521E-2</v>
      </c>
      <c r="AA228" s="185">
        <f t="shared" si="172"/>
        <v>0</v>
      </c>
      <c r="AB228" s="186">
        <f t="shared" si="173"/>
        <v>2.9999999999999472E-4</v>
      </c>
    </row>
    <row r="229" spans="1:32" ht="15.75" customHeight="1">
      <c r="A229" s="200">
        <v>197</v>
      </c>
      <c r="B229" s="84" t="s">
        <v>255</v>
      </c>
      <c r="C229" s="85" t="s">
        <v>46</v>
      </c>
      <c r="D229" s="171" t="s">
        <v>330</v>
      </c>
      <c r="E229" s="96">
        <v>2577862763.3899999</v>
      </c>
      <c r="F229" s="91">
        <f t="shared" si="179"/>
        <v>1.7379135429772791E-2</v>
      </c>
      <c r="G229" s="171" t="s">
        <v>330</v>
      </c>
      <c r="H229" s="116">
        <v>153.59</v>
      </c>
      <c r="I229" s="171" t="s">
        <v>330</v>
      </c>
      <c r="J229" s="116">
        <v>153.59</v>
      </c>
      <c r="K229" s="92">
        <v>3056</v>
      </c>
      <c r="L229" s="93">
        <v>1.8E-3</v>
      </c>
      <c r="M229" s="93">
        <v>0.1555</v>
      </c>
      <c r="N229" s="171" t="s">
        <v>330</v>
      </c>
      <c r="O229" s="96">
        <v>2583619889.0900002</v>
      </c>
      <c r="P229" s="91">
        <f t="shared" si="168"/>
        <v>1.7430628640677938E-2</v>
      </c>
      <c r="Q229" s="171" t="s">
        <v>330</v>
      </c>
      <c r="R229" s="116">
        <v>153.97</v>
      </c>
      <c r="S229" s="171" t="s">
        <v>330</v>
      </c>
      <c r="T229" s="116">
        <v>153.97</v>
      </c>
      <c r="U229" s="92">
        <v>3135</v>
      </c>
      <c r="V229" s="93">
        <v>2.5000000000000001E-3</v>
      </c>
      <c r="W229" s="93">
        <v>0.1547</v>
      </c>
      <c r="X229" s="185">
        <f t="shared" si="169"/>
        <v>2.2332940999657482E-3</v>
      </c>
      <c r="Y229" s="185">
        <f t="shared" si="170"/>
        <v>2.4741194088156483E-3</v>
      </c>
      <c r="Z229" s="185">
        <f t="shared" si="171"/>
        <v>2.5850785340314136E-2</v>
      </c>
      <c r="AA229" s="185">
        <f t="shared" si="172"/>
        <v>7.000000000000001E-4</v>
      </c>
      <c r="AB229" s="186">
        <f t="shared" si="173"/>
        <v>-7.9999999999999516E-4</v>
      </c>
    </row>
    <row r="230" spans="1:32">
      <c r="A230" s="200">
        <v>198</v>
      </c>
      <c r="B230" s="84" t="s">
        <v>256</v>
      </c>
      <c r="C230" s="85" t="s">
        <v>49</v>
      </c>
      <c r="D230" s="171" t="s">
        <v>330</v>
      </c>
      <c r="E230" s="96">
        <v>4163764253.0999999</v>
      </c>
      <c r="F230" s="91">
        <f t="shared" si="179"/>
        <v>2.8070781687816345E-2</v>
      </c>
      <c r="G230" s="171" t="s">
        <v>330</v>
      </c>
      <c r="H230" s="116">
        <v>1.2745</v>
      </c>
      <c r="I230" s="171" t="s">
        <v>330</v>
      </c>
      <c r="J230" s="116">
        <v>1.2745</v>
      </c>
      <c r="K230" s="92">
        <v>2250</v>
      </c>
      <c r="L230" s="93">
        <v>2.2000000000000001E-3</v>
      </c>
      <c r="M230" s="93">
        <v>9.5000000000000001E-2</v>
      </c>
      <c r="N230" s="171" t="s">
        <v>330</v>
      </c>
      <c r="O230" s="96">
        <v>4163764253.0999999</v>
      </c>
      <c r="P230" s="91">
        <f t="shared" si="168"/>
        <v>2.809121757793823E-2</v>
      </c>
      <c r="Q230" s="171" t="s">
        <v>330</v>
      </c>
      <c r="R230" s="116">
        <v>1.2745</v>
      </c>
      <c r="S230" s="171" t="s">
        <v>330</v>
      </c>
      <c r="T230" s="116">
        <v>1.2745</v>
      </c>
      <c r="U230" s="92">
        <v>2250</v>
      </c>
      <c r="V230" s="93">
        <v>2.2000000000000001E-3</v>
      </c>
      <c r="W230" s="93">
        <v>9.5000000000000001E-2</v>
      </c>
      <c r="X230" s="185">
        <f t="shared" si="169"/>
        <v>0</v>
      </c>
      <c r="Y230" s="185">
        <f t="shared" si="170"/>
        <v>0</v>
      </c>
      <c r="Z230" s="185">
        <f t="shared" si="171"/>
        <v>0</v>
      </c>
      <c r="AA230" s="185">
        <f t="shared" si="172"/>
        <v>0</v>
      </c>
      <c r="AB230" s="186">
        <f t="shared" si="173"/>
        <v>0</v>
      </c>
    </row>
    <row r="231" spans="1:32" ht="4.8" customHeight="1">
      <c r="B231" s="213"/>
      <c r="C231" s="213"/>
      <c r="D231" s="213"/>
      <c r="E231" s="213"/>
      <c r="F231" s="213"/>
      <c r="G231" s="213"/>
      <c r="H231" s="213"/>
      <c r="I231" s="213"/>
      <c r="J231" s="213"/>
      <c r="K231" s="213"/>
      <c r="L231" s="213"/>
      <c r="M231" s="213"/>
      <c r="N231" s="213"/>
      <c r="O231" s="213"/>
      <c r="P231" s="213"/>
      <c r="Q231" s="213"/>
      <c r="R231" s="213"/>
      <c r="S231" s="213"/>
      <c r="T231" s="213"/>
      <c r="U231" s="213"/>
      <c r="V231" s="213"/>
      <c r="W231" s="213"/>
      <c r="X231" s="213"/>
      <c r="Y231" s="213"/>
      <c r="Z231" s="213"/>
      <c r="AA231" s="213"/>
      <c r="AB231" s="213"/>
    </row>
    <row r="232" spans="1:32">
      <c r="A232" s="195"/>
      <c r="B232" s="217" t="s">
        <v>334</v>
      </c>
      <c r="C232" s="217"/>
      <c r="D232" s="217"/>
      <c r="E232" s="217"/>
      <c r="F232" s="217"/>
      <c r="G232" s="217"/>
      <c r="H232" s="217"/>
      <c r="I232" s="217"/>
      <c r="J232" s="217"/>
      <c r="K232" s="217"/>
      <c r="L232" s="217"/>
      <c r="M232" s="217"/>
      <c r="N232" s="217"/>
      <c r="O232" s="217"/>
      <c r="P232" s="217"/>
      <c r="Q232" s="217"/>
      <c r="R232" s="217"/>
      <c r="S232" s="217"/>
      <c r="T232" s="217"/>
      <c r="U232" s="217"/>
      <c r="V232" s="217"/>
      <c r="W232" s="217"/>
      <c r="X232" s="217"/>
      <c r="Y232" s="217"/>
      <c r="Z232" s="217"/>
      <c r="AA232" s="217"/>
      <c r="AB232" s="217"/>
    </row>
    <row r="233" spans="1:32">
      <c r="A233" s="200">
        <v>199</v>
      </c>
      <c r="B233" s="84" t="s">
        <v>257</v>
      </c>
      <c r="C233" s="85" t="s">
        <v>19</v>
      </c>
      <c r="D233" s="171" t="s">
        <v>330</v>
      </c>
      <c r="E233" s="132">
        <v>670067198.92999995</v>
      </c>
      <c r="F233" s="91">
        <f>(E233/$E$209)</f>
        <v>3.0747402818080985E-2</v>
      </c>
      <c r="G233" s="171" t="s">
        <v>330</v>
      </c>
      <c r="H233" s="133">
        <v>120.548</v>
      </c>
      <c r="I233" s="171" t="s">
        <v>330</v>
      </c>
      <c r="J233" s="133">
        <v>120.548</v>
      </c>
      <c r="K233" s="88">
        <v>110</v>
      </c>
      <c r="L233" s="89">
        <v>3.0000000000000001E-3</v>
      </c>
      <c r="M233" s="89">
        <v>0.14940000000000001</v>
      </c>
      <c r="N233" s="171" t="s">
        <v>330</v>
      </c>
      <c r="O233" s="132">
        <v>660281266.39999998</v>
      </c>
      <c r="P233" s="113">
        <f>(O233/O234)</f>
        <v>3.2208848506887808E-2</v>
      </c>
      <c r="Q233" s="171" t="s">
        <v>330</v>
      </c>
      <c r="R233" s="133">
        <v>120.20959999999999</v>
      </c>
      <c r="S233" s="171" t="s">
        <v>330</v>
      </c>
      <c r="T233" s="133">
        <v>120.20959999999999</v>
      </c>
      <c r="U233" s="88">
        <v>110</v>
      </c>
      <c r="V233" s="89">
        <v>-2.8E-3</v>
      </c>
      <c r="W233" s="89">
        <v>0.1462</v>
      </c>
      <c r="X233" s="185">
        <f>((O233-E233)/E233)</f>
        <v>-1.4604404671093713E-2</v>
      </c>
      <c r="Y233" s="185">
        <f t="shared" ref="Y233" si="180">((T233-J233)/J233)</f>
        <v>-2.8071805421907218E-3</v>
      </c>
      <c r="Z233" s="185">
        <f t="shared" ref="Z233" si="181">((U233-K233)/K233)</f>
        <v>0</v>
      </c>
      <c r="AA233" s="185">
        <f t="shared" ref="AA233" si="182">V233-L233</f>
        <v>-5.7999999999999996E-3</v>
      </c>
      <c r="AB233" s="186">
        <f t="shared" ref="AB233" si="183">W233-M233</f>
        <v>-3.2000000000000084E-3</v>
      </c>
      <c r="AD233" s="52"/>
      <c r="AE233" s="52"/>
    </row>
    <row r="234" spans="1:32">
      <c r="A234" s="203">
        <v>200</v>
      </c>
      <c r="B234" s="84" t="s">
        <v>258</v>
      </c>
      <c r="C234" s="85" t="s">
        <v>23</v>
      </c>
      <c r="D234" s="171" t="s">
        <v>330</v>
      </c>
      <c r="E234" s="132">
        <v>20457441689.830002</v>
      </c>
      <c r="F234" s="91">
        <f>(E234/$E$209)</f>
        <v>0.93873152016551353</v>
      </c>
      <c r="G234" s="171" t="s">
        <v>330</v>
      </c>
      <c r="H234" s="133">
        <v>154.0213</v>
      </c>
      <c r="I234" s="171" t="s">
        <v>330</v>
      </c>
      <c r="J234" s="133">
        <v>158.6652</v>
      </c>
      <c r="K234" s="88">
        <v>7337</v>
      </c>
      <c r="L234" s="89">
        <v>0.31540000000000001</v>
      </c>
      <c r="M234" s="89">
        <v>0.47908137011432528</v>
      </c>
      <c r="N234" s="171" t="s">
        <v>330</v>
      </c>
      <c r="O234" s="132">
        <v>20499996026.209999</v>
      </c>
      <c r="P234" s="113">
        <f>(O234/$O$209)</f>
        <v>0.96332999615234804</v>
      </c>
      <c r="Q234" s="171" t="s">
        <v>330</v>
      </c>
      <c r="R234" s="133">
        <v>151.19839999999999</v>
      </c>
      <c r="S234" s="171" t="s">
        <v>330</v>
      </c>
      <c r="T234" s="133">
        <v>155.75720000000001</v>
      </c>
      <c r="U234" s="88">
        <v>7465</v>
      </c>
      <c r="V234" s="89">
        <v>-1.8327900510004658E-2</v>
      </c>
      <c r="W234" s="89">
        <v>0.45197291391666861</v>
      </c>
      <c r="X234" s="185">
        <f>((O234-E234)/E234)</f>
        <v>2.0801396882950554E-3</v>
      </c>
      <c r="Y234" s="185">
        <f t="shared" ref="Y234" si="184">((T234-J234)/J234)</f>
        <v>-1.8327900510004633E-2</v>
      </c>
      <c r="Z234" s="185">
        <f t="shared" ref="Z234" si="185">((U234-K234)/K234)</f>
        <v>1.7445822543273818E-2</v>
      </c>
      <c r="AA234" s="185">
        <f t="shared" ref="AA234" si="186">V234-L234</f>
        <v>-0.33372790051000467</v>
      </c>
      <c r="AB234" s="186">
        <f t="shared" ref="AB234" si="187">W234-M234</f>
        <v>-2.7108456197656672E-2</v>
      </c>
      <c r="AC234" s="41"/>
      <c r="AD234" s="41"/>
      <c r="AE234" s="41"/>
      <c r="AF234" s="52"/>
    </row>
    <row r="235" spans="1:32">
      <c r="A235" s="200">
        <v>201</v>
      </c>
      <c r="B235" s="84" t="s">
        <v>259</v>
      </c>
      <c r="C235" s="85" t="s">
        <v>239</v>
      </c>
      <c r="D235" s="171" t="s">
        <v>330</v>
      </c>
      <c r="E235" s="96">
        <v>419056103.63</v>
      </c>
      <c r="F235" s="91">
        <f t="shared" ref="F235" si="188">(E235/$E$237)</f>
        <v>2.8251437124920623E-3</v>
      </c>
      <c r="G235" s="171" t="s">
        <v>330</v>
      </c>
      <c r="H235" s="95">
        <v>1727.313797</v>
      </c>
      <c r="I235" s="171" t="s">
        <v>330</v>
      </c>
      <c r="J235" s="95">
        <v>1727.313797</v>
      </c>
      <c r="K235" s="92">
        <v>172</v>
      </c>
      <c r="L235" s="93">
        <v>1.41E-2</v>
      </c>
      <c r="M235" s="93">
        <v>0.40360000000000001</v>
      </c>
      <c r="N235" s="171" t="s">
        <v>330</v>
      </c>
      <c r="O235" s="96">
        <v>412845308.33999997</v>
      </c>
      <c r="P235" s="91">
        <f t="shared" ref="P235" si="189">(O235/$O$237)</f>
        <v>2.7852987531595983E-3</v>
      </c>
      <c r="Q235" s="171" t="s">
        <v>330</v>
      </c>
      <c r="R235" s="95">
        <v>1686.51</v>
      </c>
      <c r="S235" s="171" t="s">
        <v>330</v>
      </c>
      <c r="T235" s="95">
        <v>1686.51</v>
      </c>
      <c r="U235" s="92">
        <v>183</v>
      </c>
      <c r="V235" s="93">
        <v>-3.3700000000000001E-2</v>
      </c>
      <c r="W235" s="93">
        <v>0.3513</v>
      </c>
      <c r="X235" s="185">
        <f t="shared" ref="X235" si="190">((O235-E235)/E235)</f>
        <v>-1.4820915949439935E-2</v>
      </c>
      <c r="Y235" s="185">
        <f t="shared" ref="Y235" si="191">((T235-J235)/J235)</f>
        <v>-2.3622689213082242E-2</v>
      </c>
      <c r="Z235" s="185">
        <f t="shared" ref="Z235" si="192">((U235-K235)/K235)</f>
        <v>6.3953488372093026E-2</v>
      </c>
      <c r="AA235" s="185">
        <f t="shared" ref="AA235" si="193">V235-L235</f>
        <v>-4.7800000000000002E-2</v>
      </c>
      <c r="AB235" s="186">
        <f t="shared" ref="AB235" si="194">W235-M235</f>
        <v>-5.2300000000000013E-2</v>
      </c>
      <c r="AD235" s="220"/>
    </row>
    <row r="236" spans="1:32">
      <c r="A236" s="200">
        <v>202</v>
      </c>
      <c r="B236" s="84" t="s">
        <v>260</v>
      </c>
      <c r="C236" s="85" t="s">
        <v>261</v>
      </c>
      <c r="D236" s="171" t="s">
        <v>330</v>
      </c>
      <c r="E236" s="96">
        <v>203926756.33000001</v>
      </c>
      <c r="F236" s="91">
        <f t="shared" ref="F236" si="195">(E236/$E$237)</f>
        <v>1.3748096936520939E-3</v>
      </c>
      <c r="G236" s="171" t="s">
        <v>330</v>
      </c>
      <c r="H236" s="95">
        <v>129.53</v>
      </c>
      <c r="I236" s="171" t="s">
        <v>330</v>
      </c>
      <c r="J236" s="95">
        <v>132.19999999999999</v>
      </c>
      <c r="K236" s="92">
        <v>317</v>
      </c>
      <c r="L236" s="93">
        <v>1.1999999999999999E-3</v>
      </c>
      <c r="M236" s="93">
        <v>0.17169999999999999</v>
      </c>
      <c r="N236" s="171" t="s">
        <v>330</v>
      </c>
      <c r="O236" s="96">
        <v>171690250.83000001</v>
      </c>
      <c r="P236" s="91">
        <f t="shared" ref="P236" si="196">(O236/$O$237)</f>
        <v>1.1583240305897519E-3</v>
      </c>
      <c r="Q236" s="171" t="s">
        <v>330</v>
      </c>
      <c r="R236" s="95">
        <v>128.46</v>
      </c>
      <c r="S236" s="171" t="s">
        <v>330</v>
      </c>
      <c r="T236" s="95">
        <v>131.1</v>
      </c>
      <c r="U236" s="92">
        <v>313</v>
      </c>
      <c r="V236" s="93">
        <v>8.5000000000000006E-3</v>
      </c>
      <c r="W236" s="93">
        <v>0.18060000000000001</v>
      </c>
      <c r="X236" s="185">
        <f t="shared" ref="X236" si="197">((O236-E236)/E236)</f>
        <v>-0.15807884203205771</v>
      </c>
      <c r="Y236" s="185">
        <f t="shared" ref="Y236" si="198">((T236-J236)/J236)</f>
        <v>-8.3207261724659188E-3</v>
      </c>
      <c r="Z236" s="185">
        <f t="shared" ref="Z236" si="199">((U236-K236)/K236)</f>
        <v>-1.2618296529968454E-2</v>
      </c>
      <c r="AA236" s="185">
        <f t="shared" ref="AA236" si="200">V236-L236</f>
        <v>7.3000000000000009E-3</v>
      </c>
      <c r="AB236" s="186">
        <f t="shared" ref="AB236" si="201">W236-M236</f>
        <v>8.900000000000019E-3</v>
      </c>
    </row>
    <row r="237" spans="1:32">
      <c r="B237" s="99"/>
      <c r="C237" s="123" t="s">
        <v>52</v>
      </c>
      <c r="D237" s="145" t="s">
        <v>330</v>
      </c>
      <c r="E237" s="114">
        <f>SUM(E213:E236)</f>
        <v>148330897921.06546</v>
      </c>
      <c r="F237" s="102">
        <f>(E237/$E$238)</f>
        <v>1.6448094918748997E-2</v>
      </c>
      <c r="G237" s="145" t="s">
        <v>330</v>
      </c>
      <c r="H237" s="103"/>
      <c r="I237" s="145" t="s">
        <v>330</v>
      </c>
      <c r="J237" s="127"/>
      <c r="K237" s="135">
        <f>SUM(K213:K236)</f>
        <v>55530</v>
      </c>
      <c r="L237" s="128"/>
      <c r="M237" s="128"/>
      <c r="N237" s="171" t="s">
        <v>330</v>
      </c>
      <c r="O237" s="114">
        <f>SUM(O213:O236)</f>
        <v>148222989678.10001</v>
      </c>
      <c r="P237" s="102">
        <f>(O237/$O$238)</f>
        <v>1.6349654682182815E-2</v>
      </c>
      <c r="Q237" s="171" t="s">
        <v>330</v>
      </c>
      <c r="R237" s="103"/>
      <c r="S237" s="171" t="s">
        <v>330</v>
      </c>
      <c r="T237" s="127"/>
      <c r="U237" s="105">
        <f>SUM(U213:U236)</f>
        <v>56855</v>
      </c>
      <c r="V237" s="128"/>
      <c r="W237" s="128"/>
      <c r="X237" s="185">
        <f t="shared" si="169"/>
        <v>-7.2748324508139671E-4</v>
      </c>
      <c r="Y237" s="185" t="e">
        <f t="shared" si="170"/>
        <v>#DIV/0!</v>
      </c>
      <c r="Z237" s="185">
        <f t="shared" si="171"/>
        <v>2.3860976048982532E-2</v>
      </c>
      <c r="AA237" s="185">
        <f t="shared" si="172"/>
        <v>0</v>
      </c>
      <c r="AB237" s="186">
        <f t="shared" si="173"/>
        <v>0</v>
      </c>
    </row>
    <row r="238" spans="1:32">
      <c r="A238" s="196"/>
      <c r="B238" s="136"/>
      <c r="C238" s="137" t="s">
        <v>262</v>
      </c>
      <c r="D238" s="137"/>
      <c r="E238" s="138">
        <f>SUM(E26,E76,E117,E161,E170,E203,E209,E237)</f>
        <v>9018120253670.5176</v>
      </c>
      <c r="F238" s="139"/>
      <c r="G238" s="139"/>
      <c r="H238" s="139"/>
      <c r="I238" s="139"/>
      <c r="J238" s="140"/>
      <c r="K238" s="138">
        <f>SUM(K26,K76,K117,K161,K170,K203,K209,K237)</f>
        <v>1378890</v>
      </c>
      <c r="L238" s="141"/>
      <c r="M238" s="141"/>
      <c r="N238" s="141"/>
      <c r="O238" s="138">
        <f>SUM(O26,O76,O117,O161,O170,O203,O209,O237)</f>
        <v>9065817753302.6035</v>
      </c>
      <c r="P238" s="139"/>
      <c r="Q238" s="139"/>
      <c r="R238" s="139"/>
      <c r="S238" s="139"/>
      <c r="T238" s="140"/>
      <c r="U238" s="138">
        <f>SUM(U26,U76,U117,U161,U170,U203,U209,U237)</f>
        <v>1383613</v>
      </c>
      <c r="V238" s="142"/>
      <c r="W238" s="138"/>
      <c r="X238" s="143">
        <f t="shared" si="169"/>
        <v>5.289073364559793E-3</v>
      </c>
      <c r="Y238" s="143"/>
      <c r="Z238" s="143"/>
      <c r="AA238" s="143"/>
      <c r="AB238" s="143"/>
    </row>
    <row r="239" spans="1:32" ht="6.75" customHeight="1">
      <c r="B239" s="213"/>
      <c r="C239" s="213"/>
      <c r="D239" s="213"/>
      <c r="E239" s="213"/>
      <c r="F239" s="213"/>
      <c r="G239" s="213"/>
      <c r="H239" s="213"/>
      <c r="I239" s="213"/>
      <c r="J239" s="213"/>
      <c r="K239" s="213"/>
      <c r="L239" s="213"/>
      <c r="M239" s="213"/>
      <c r="N239" s="213"/>
      <c r="O239" s="213"/>
      <c r="P239" s="213"/>
      <c r="Q239" s="213"/>
      <c r="R239" s="213"/>
      <c r="S239" s="213"/>
      <c r="T239" s="213"/>
      <c r="U239" s="213"/>
      <c r="V239" s="213"/>
      <c r="W239" s="213"/>
      <c r="X239" s="213"/>
      <c r="Y239" s="213"/>
      <c r="Z239" s="213"/>
      <c r="AA239" s="213"/>
      <c r="AB239" s="99"/>
    </row>
    <row r="240" spans="1:32" ht="14.4" customHeight="1">
      <c r="A240" s="191"/>
      <c r="B240" s="216" t="s">
        <v>263</v>
      </c>
      <c r="C240" s="216"/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</row>
    <row r="241" spans="1:33" ht="14.4" customHeight="1">
      <c r="A241" s="200">
        <v>1</v>
      </c>
      <c r="B241" s="84" t="s">
        <v>264</v>
      </c>
      <c r="C241" s="85" t="s">
        <v>23</v>
      </c>
      <c r="D241" s="174">
        <v>1920661.32</v>
      </c>
      <c r="E241" s="96">
        <v>2635220892.368556</v>
      </c>
      <c r="F241" s="91">
        <f t="shared" ref="F241" si="202">(E241/$E$237)</f>
        <v>1.7765825794238049E-2</v>
      </c>
      <c r="G241" s="174">
        <v>1.0576000000000001</v>
      </c>
      <c r="H241" s="95">
        <v>1451.0677060800001</v>
      </c>
      <c r="I241" s="95">
        <v>1.0576000000000001</v>
      </c>
      <c r="J241" s="95">
        <v>1451.0677060800001</v>
      </c>
      <c r="K241" s="92">
        <v>60</v>
      </c>
      <c r="L241" s="93">
        <v>8.8900000000000007E-2</v>
      </c>
      <c r="M241" s="93">
        <v>4.9599999999999998E-2</v>
      </c>
      <c r="N241" s="174">
        <v>1881365.43</v>
      </c>
      <c r="O241" s="96">
        <f>1881365.43*1361.2771</f>
        <v>2561059676.5906529</v>
      </c>
      <c r="P241" s="91">
        <f t="shared" ref="P241:P246" si="203">(O241/$O$247)</f>
        <v>8.040763271276416E-2</v>
      </c>
      <c r="Q241" s="174">
        <v>1.0581</v>
      </c>
      <c r="R241" s="95">
        <f>1.0581*1361.2771</f>
        <v>1440.3672995100001</v>
      </c>
      <c r="S241" s="174">
        <v>1.0581</v>
      </c>
      <c r="T241" s="95">
        <f>1.0581*1361.2771</f>
        <v>1440.3672995100001</v>
      </c>
      <c r="U241" s="92">
        <v>60</v>
      </c>
      <c r="V241" s="93">
        <v>2.47E-2</v>
      </c>
      <c r="W241" s="93">
        <v>4.8500000000000001E-2</v>
      </c>
      <c r="X241" s="185">
        <f t="shared" ref="X241" si="204">((O241-E241)/E241)</f>
        <v>-2.8142314745860424E-2</v>
      </c>
      <c r="Y241" s="185">
        <f t="shared" ref="Y241" si="205">((T241-J241)/J241)</f>
        <v>-7.3741607818609313E-3</v>
      </c>
      <c r="Z241" s="185">
        <f t="shared" ref="Z241" si="206">((U241-K241)/K241)</f>
        <v>0</v>
      </c>
      <c r="AA241" s="185">
        <f t="shared" ref="AA241" si="207">V241-L241</f>
        <v>-6.4200000000000007E-2</v>
      </c>
      <c r="AB241" s="186">
        <f t="shared" ref="AB241" si="208">W241-M241</f>
        <v>-1.0999999999999968E-3</v>
      </c>
    </row>
    <row r="242" spans="1:33" ht="14.4" customHeight="1">
      <c r="A242" s="203">
        <v>2</v>
      </c>
      <c r="B242" s="84" t="s">
        <v>265</v>
      </c>
      <c r="C242" s="85" t="s">
        <v>198</v>
      </c>
      <c r="D242" s="172" t="s">
        <v>330</v>
      </c>
      <c r="E242" s="96">
        <v>15090182752.050001</v>
      </c>
      <c r="F242" s="91">
        <f t="shared" ref="F242" si="209">(E242/$E$237)</f>
        <v>0.10173323942311917</v>
      </c>
      <c r="G242" s="172" t="s">
        <v>330</v>
      </c>
      <c r="H242" s="95">
        <v>123.2</v>
      </c>
      <c r="I242" s="95" t="s">
        <v>330</v>
      </c>
      <c r="J242" s="95">
        <v>123.2</v>
      </c>
      <c r="K242" s="92">
        <v>11</v>
      </c>
      <c r="L242" s="93">
        <v>3.3E-3</v>
      </c>
      <c r="M242" s="93">
        <v>2.6684999999999999</v>
      </c>
      <c r="N242" s="172" t="s">
        <v>330</v>
      </c>
      <c r="O242" s="96">
        <v>15142843870.51</v>
      </c>
      <c r="P242" s="91">
        <f t="shared" si="203"/>
        <v>0.47542829216209453</v>
      </c>
      <c r="Q242" s="172" t="s">
        <v>330</v>
      </c>
      <c r="R242" s="95">
        <v>123.2</v>
      </c>
      <c r="S242" s="172" t="s">
        <v>330</v>
      </c>
      <c r="T242" s="95">
        <v>123.2</v>
      </c>
      <c r="U242" s="92">
        <v>11</v>
      </c>
      <c r="V242" s="93">
        <v>3.5000000000000001E-3</v>
      </c>
      <c r="W242" s="93">
        <v>2.6812999999999998</v>
      </c>
      <c r="X242" s="185">
        <f t="shared" ref="X242" si="210">((O242-E242)/E242)</f>
        <v>3.4897601523642963E-3</v>
      </c>
      <c r="Y242" s="185">
        <f t="shared" ref="Y242" si="211">((T242-J242)/J242)</f>
        <v>0</v>
      </c>
      <c r="Z242" s="185">
        <f t="shared" ref="Z242" si="212">((U242-K242)/K242)</f>
        <v>0</v>
      </c>
      <c r="AA242" s="185">
        <f t="shared" ref="AA242" si="213">V242-L242</f>
        <v>2.0000000000000009E-4</v>
      </c>
      <c r="AB242" s="186">
        <f t="shared" ref="AB242" si="214">W242-M242</f>
        <v>1.2799999999999923E-2</v>
      </c>
      <c r="AD242" s="50"/>
      <c r="AE242" s="34"/>
      <c r="AG242" s="50"/>
    </row>
    <row r="243" spans="1:33" ht="14.4" customHeight="1">
      <c r="A243" s="200">
        <v>3</v>
      </c>
      <c r="B243" s="84" t="s">
        <v>266</v>
      </c>
      <c r="C243" s="85" t="s">
        <v>38</v>
      </c>
      <c r="D243" s="172" t="s">
        <v>330</v>
      </c>
      <c r="E243" s="96">
        <v>11839133886.16</v>
      </c>
      <c r="F243" s="91">
        <f>(E243/$E$237)</f>
        <v>7.9815696204173281E-2</v>
      </c>
      <c r="G243" s="172" t="s">
        <v>330</v>
      </c>
      <c r="H243" s="95">
        <v>1.47</v>
      </c>
      <c r="I243" s="95" t="s">
        <v>330</v>
      </c>
      <c r="J243" s="95">
        <v>1.47</v>
      </c>
      <c r="K243" s="92">
        <v>16</v>
      </c>
      <c r="L243" s="93">
        <v>0</v>
      </c>
      <c r="M243" s="93">
        <v>0.35360000000000003</v>
      </c>
      <c r="N243" s="172" t="s">
        <v>330</v>
      </c>
      <c r="O243" s="96">
        <v>11887925126.219999</v>
      </c>
      <c r="P243" s="91">
        <f t="shared" si="203"/>
        <v>0.37323609676227054</v>
      </c>
      <c r="Q243" s="172" t="s">
        <v>330</v>
      </c>
      <c r="R243" s="95">
        <v>1.47</v>
      </c>
      <c r="S243" s="172" t="s">
        <v>330</v>
      </c>
      <c r="T243" s="95">
        <v>1.47</v>
      </c>
      <c r="U243" s="92">
        <v>16</v>
      </c>
      <c r="V243" s="93">
        <v>3.0000000000000001E-3</v>
      </c>
      <c r="W243" s="93">
        <v>0.34399999999999997</v>
      </c>
      <c r="X243" s="185">
        <f>((O243-E243)/E243)</f>
        <v>4.1211832325873639E-3</v>
      </c>
      <c r="Y243" s="185">
        <f>((T243-J243)/J243)</f>
        <v>0</v>
      </c>
      <c r="Z243" s="185">
        <f>((U243-K243)/K243)</f>
        <v>0</v>
      </c>
      <c r="AA243" s="185">
        <f>V243-L243</f>
        <v>3.0000000000000001E-3</v>
      </c>
      <c r="AB243" s="186">
        <f>W243-M243</f>
        <v>-9.6000000000000529E-3</v>
      </c>
      <c r="AD243" s="199"/>
      <c r="AE243" s="34"/>
      <c r="AG243" s="199"/>
    </row>
    <row r="244" spans="1:33" ht="14.4" customHeight="1">
      <c r="A244" s="203">
        <v>4</v>
      </c>
      <c r="B244" s="84" t="s">
        <v>328</v>
      </c>
      <c r="C244" s="85" t="s">
        <v>79</v>
      </c>
      <c r="D244" s="174">
        <v>924586.95</v>
      </c>
      <c r="E244" s="96">
        <v>1271538202.9875</v>
      </c>
      <c r="F244" s="91">
        <f>(E244/$E$237)</f>
        <v>8.5723084051183406E-3</v>
      </c>
      <c r="G244" s="174">
        <v>113.38</v>
      </c>
      <c r="H244" s="95">
        <v>155940.58439999999</v>
      </c>
      <c r="I244" s="95">
        <v>113.38</v>
      </c>
      <c r="J244" s="95">
        <v>155940.58439999999</v>
      </c>
      <c r="K244" s="92">
        <v>18</v>
      </c>
      <c r="L244" s="93">
        <v>3.2000000000000002E-3</v>
      </c>
      <c r="M244" s="93">
        <v>1.4200000000000001E-2</v>
      </c>
      <c r="N244" s="174">
        <v>926271.51</v>
      </c>
      <c r="O244" s="96">
        <f>926271.51*1361.56</f>
        <v>1261174237.1556001</v>
      </c>
      <c r="P244" s="91">
        <f t="shared" si="203"/>
        <v>3.9596123344929214E-2</v>
      </c>
      <c r="Q244" s="95">
        <v>112.37</v>
      </c>
      <c r="R244" s="95">
        <f>Q244*1361.56</f>
        <v>152998.49720000001</v>
      </c>
      <c r="S244" s="95">
        <v>112.37</v>
      </c>
      <c r="T244" s="95">
        <f>S244*1361.56</f>
        <v>152998.49720000001</v>
      </c>
      <c r="U244" s="92">
        <v>18</v>
      </c>
      <c r="V244" s="93">
        <v>-8.8999999999999999E-3</v>
      </c>
      <c r="W244" s="93">
        <v>5.1999999999999998E-3</v>
      </c>
      <c r="X244" s="185">
        <f t="shared" ref="X244" si="215">((O244-E244)/E244)</f>
        <v>-8.150730986728966E-3</v>
      </c>
      <c r="Y244" s="185">
        <f t="shared" ref="Y244" si="216">((T244-J244)/J244)</f>
        <v>-1.8866719086118675E-2</v>
      </c>
      <c r="Z244" s="185">
        <f t="shared" ref="Z244" si="217">((U244-K244)/K244)</f>
        <v>0</v>
      </c>
      <c r="AA244" s="185">
        <f t="shared" ref="AA244" si="218">V244-L244</f>
        <v>-1.21E-2</v>
      </c>
      <c r="AB244" s="186">
        <f t="shared" ref="AB244" si="219">W244-M244</f>
        <v>-9.0000000000000011E-3</v>
      </c>
      <c r="AD244" s="41"/>
    </row>
    <row r="245" spans="1:33" ht="14.4" customHeight="1">
      <c r="A245" s="200">
        <v>5</v>
      </c>
      <c r="B245" s="84" t="s">
        <v>267</v>
      </c>
      <c r="C245" s="85" t="s">
        <v>49</v>
      </c>
      <c r="D245" s="172" t="s">
        <v>330</v>
      </c>
      <c r="E245" s="96">
        <v>423829285.99000001</v>
      </c>
      <c r="F245" s="91">
        <f t="shared" ref="F245" si="220">(E245/$E$237)</f>
        <v>2.8573229983111237E-3</v>
      </c>
      <c r="G245" s="172" t="s">
        <v>330</v>
      </c>
      <c r="H245" s="95">
        <v>1.5386599999999999</v>
      </c>
      <c r="I245" s="95" t="s">
        <v>330</v>
      </c>
      <c r="J245" s="95">
        <v>1.5386599999999999</v>
      </c>
      <c r="K245" s="92">
        <v>28</v>
      </c>
      <c r="L245" s="93">
        <v>-1.6999999999999999E-3</v>
      </c>
      <c r="M245" s="93">
        <v>0.37980000000000003</v>
      </c>
      <c r="N245" s="172" t="s">
        <v>330</v>
      </c>
      <c r="O245" s="96">
        <v>423829285.99000001</v>
      </c>
      <c r="P245" s="91">
        <f t="shared" si="203"/>
        <v>1.3306644070927692E-2</v>
      </c>
      <c r="Q245" s="172" t="s">
        <v>330</v>
      </c>
      <c r="R245" s="95">
        <v>1.5386599999999999</v>
      </c>
      <c r="S245" s="172" t="s">
        <v>330</v>
      </c>
      <c r="T245" s="95">
        <v>1.5386599999999999</v>
      </c>
      <c r="U245" s="92">
        <v>28</v>
      </c>
      <c r="V245" s="93">
        <v>-1.6999999999999999E-3</v>
      </c>
      <c r="W245" s="93">
        <v>0.37980000000000003</v>
      </c>
      <c r="X245" s="185">
        <f t="shared" ref="X245:X247" si="221">((O245-E245)/E245)</f>
        <v>0</v>
      </c>
      <c r="Y245" s="185">
        <f t="shared" ref="Y245" si="222">((T245-J245)/J245)</f>
        <v>0</v>
      </c>
      <c r="Z245" s="185">
        <f t="shared" ref="Z245" si="223">((U245-K245)/K245)</f>
        <v>0</v>
      </c>
      <c r="AA245" s="185">
        <f t="shared" ref="AA245" si="224">V245-L245</f>
        <v>0</v>
      </c>
      <c r="AB245" s="186">
        <f t="shared" ref="AB245" si="225">W245-M245</f>
        <v>0</v>
      </c>
      <c r="AD245" s="31"/>
    </row>
    <row r="246" spans="1:33" ht="14.4" customHeight="1">
      <c r="A246" s="203">
        <v>6</v>
      </c>
      <c r="B246" s="84" t="s">
        <v>316</v>
      </c>
      <c r="C246" s="85" t="s">
        <v>115</v>
      </c>
      <c r="D246" s="174">
        <v>423738.76</v>
      </c>
      <c r="E246" s="96">
        <v>581901158.99442005</v>
      </c>
      <c r="F246" s="91">
        <v>0</v>
      </c>
      <c r="G246" s="174">
        <v>9.9</v>
      </c>
      <c r="H246" s="95">
        <v>13595.21955</v>
      </c>
      <c r="I246" s="95">
        <v>9.9</v>
      </c>
      <c r="J246" s="95">
        <v>13595.21955</v>
      </c>
      <c r="K246" s="92">
        <v>12</v>
      </c>
      <c r="L246" s="93">
        <v>0</v>
      </c>
      <c r="M246" s="93">
        <v>-1.4999999999999999E-2</v>
      </c>
      <c r="N246" s="174">
        <v>421461.57</v>
      </c>
      <c r="O246" s="96">
        <f>421461.57*C269</f>
        <v>574120134.63131094</v>
      </c>
      <c r="P246" s="91">
        <f t="shared" si="203"/>
        <v>1.8025210947013686E-2</v>
      </c>
      <c r="Q246" s="174">
        <v>9.85</v>
      </c>
      <c r="R246" s="95">
        <f>9.85*C269</f>
        <v>13417.791154999999</v>
      </c>
      <c r="S246" s="174">
        <v>9.85</v>
      </c>
      <c r="T246" s="95">
        <f>9.85*C269</f>
        <v>13417.791154999999</v>
      </c>
      <c r="U246" s="92">
        <v>12</v>
      </c>
      <c r="V246" s="93">
        <v>-5.4000000000000003E-3</v>
      </c>
      <c r="W246" s="93">
        <v>-1.49E-2</v>
      </c>
      <c r="X246" s="185">
        <f t="shared" ref="X246" si="226">((O246-E246)/E246)</f>
        <v>-1.3371728587988128E-2</v>
      </c>
      <c r="Y246" s="185">
        <f t="shared" ref="Y246" si="227">((T246-J246)/J246)</f>
        <v>-1.3050792916396912E-2</v>
      </c>
      <c r="Z246" s="185">
        <f t="shared" ref="Z246" si="228">((U246-K246)/K246)</f>
        <v>0</v>
      </c>
      <c r="AA246" s="185">
        <f t="shared" ref="AA246" si="229">V246-L246</f>
        <v>-5.4000000000000003E-3</v>
      </c>
      <c r="AB246" s="186">
        <f t="shared" ref="AB246" si="230">W246-M246</f>
        <v>9.9999999999999395E-5</v>
      </c>
    </row>
    <row r="247" spans="1:33" ht="14.4" customHeight="1">
      <c r="A247" s="196"/>
      <c r="B247" s="144"/>
      <c r="C247" s="144" t="s">
        <v>52</v>
      </c>
      <c r="D247" s="144"/>
      <c r="E247" s="144">
        <f>SUM(E241:E246)</f>
        <v>31841806178.550476</v>
      </c>
      <c r="F247" s="144"/>
      <c r="G247" s="144"/>
      <c r="H247" s="144"/>
      <c r="I247" s="144"/>
      <c r="J247" s="144"/>
      <c r="K247" s="144">
        <f>SUM(K241:K246)</f>
        <v>145</v>
      </c>
      <c r="L247" s="144"/>
      <c r="M247" s="144"/>
      <c r="N247" s="144"/>
      <c r="O247" s="144">
        <f>SUM(O241:O246)</f>
        <v>31850952331.097569</v>
      </c>
      <c r="P247" s="144"/>
      <c r="Q247" s="144"/>
      <c r="R247" s="144"/>
      <c r="S247" s="144"/>
      <c r="T247" s="144"/>
      <c r="U247" s="144">
        <f>SUM(U241:U246)</f>
        <v>145</v>
      </c>
      <c r="V247" s="144"/>
      <c r="W247" s="144"/>
      <c r="X247" s="143">
        <f t="shared" si="221"/>
        <v>2.8723724074589525E-4</v>
      </c>
      <c r="Y247" s="144"/>
      <c r="Z247" s="144"/>
      <c r="AA247" s="144"/>
      <c r="AB247" s="144"/>
    </row>
    <row r="248" spans="1:33" ht="6" customHeight="1">
      <c r="B248" s="145"/>
      <c r="C248" s="123"/>
      <c r="D248" s="123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99"/>
    </row>
    <row r="249" spans="1:33" ht="15.6">
      <c r="A249" s="191"/>
      <c r="B249" s="216"/>
      <c r="C249" s="216"/>
      <c r="D249" s="216"/>
      <c r="E249" s="216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</row>
    <row r="250" spans="1:33">
      <c r="A250" s="200">
        <v>1</v>
      </c>
      <c r="B250" s="84" t="s">
        <v>268</v>
      </c>
      <c r="C250" s="85" t="s">
        <v>269</v>
      </c>
      <c r="D250" s="172" t="s">
        <v>330</v>
      </c>
      <c r="E250" s="96">
        <v>134424914636</v>
      </c>
      <c r="F250" s="91">
        <f>(E250/$E$252)</f>
        <v>0.91165613418231861</v>
      </c>
      <c r="G250" s="172" t="s">
        <v>330</v>
      </c>
      <c r="H250" s="112">
        <v>129</v>
      </c>
      <c r="I250" s="172" t="s">
        <v>330</v>
      </c>
      <c r="J250" s="190">
        <v>129</v>
      </c>
      <c r="K250" s="92">
        <v>7923</v>
      </c>
      <c r="L250" s="93" t="s">
        <v>298</v>
      </c>
      <c r="M250" s="93">
        <v>0.18440000000000001</v>
      </c>
      <c r="N250" s="172" t="s">
        <v>330</v>
      </c>
      <c r="O250" s="96">
        <v>132424914636</v>
      </c>
      <c r="P250" s="91">
        <f>(O250/$O$252)</f>
        <v>0.91044137922080948</v>
      </c>
      <c r="Q250" s="172" t="s">
        <v>330</v>
      </c>
      <c r="R250" s="112">
        <v>129</v>
      </c>
      <c r="S250" s="172" t="s">
        <v>330</v>
      </c>
      <c r="T250" s="190">
        <v>129</v>
      </c>
      <c r="U250" s="92">
        <v>8081</v>
      </c>
      <c r="V250" s="93" t="s">
        <v>298</v>
      </c>
      <c r="W250" s="93">
        <v>2.1840000000000002E-3</v>
      </c>
      <c r="X250" s="185">
        <f>((O250-E250)/E250)</f>
        <v>-1.4878194309556846E-2</v>
      </c>
      <c r="Y250" s="185">
        <f>((T250-J250)/J250)</f>
        <v>0</v>
      </c>
      <c r="Z250" s="185">
        <f>((U250-K250)/K250)</f>
        <v>1.9941941183894991E-2</v>
      </c>
      <c r="AA250" s="185" t="e">
        <f>V250-L250</f>
        <v>#VALUE!</v>
      </c>
      <c r="AB250" s="186">
        <f>W250-M250</f>
        <v>-0.18221600000000002</v>
      </c>
    </row>
    <row r="251" spans="1:33" ht="14.4" customHeight="1">
      <c r="A251" s="200">
        <v>2</v>
      </c>
      <c r="B251" s="84" t="s">
        <v>270</v>
      </c>
      <c r="C251" s="85" t="s">
        <v>49</v>
      </c>
      <c r="D251" s="172" t="s">
        <v>330</v>
      </c>
      <c r="E251" s="96">
        <v>13026421011.040001</v>
      </c>
      <c r="F251" s="91">
        <f>(E251/$E$252)</f>
        <v>8.8343865817681375E-2</v>
      </c>
      <c r="G251" s="172" t="s">
        <v>330</v>
      </c>
      <c r="H251" s="146">
        <v>1000000</v>
      </c>
      <c r="I251" s="172" t="s">
        <v>330</v>
      </c>
      <c r="J251" s="146">
        <v>1000000</v>
      </c>
      <c r="K251" s="92">
        <v>26</v>
      </c>
      <c r="L251" s="93">
        <v>0.1774</v>
      </c>
      <c r="M251" s="93">
        <v>0.1774</v>
      </c>
      <c r="N251" s="172" t="s">
        <v>330</v>
      </c>
      <c r="O251" s="96">
        <v>13026421011.040001</v>
      </c>
      <c r="P251" s="91">
        <f>(O251/$O$252)</f>
        <v>8.955862077919044E-2</v>
      </c>
      <c r="Q251" s="172" t="s">
        <v>330</v>
      </c>
      <c r="R251" s="146">
        <v>1000000</v>
      </c>
      <c r="S251" s="172" t="s">
        <v>330</v>
      </c>
      <c r="T251" s="146">
        <v>1000000</v>
      </c>
      <c r="U251" s="92">
        <v>26</v>
      </c>
      <c r="V251" s="93">
        <v>0.1774</v>
      </c>
      <c r="W251" s="93">
        <v>0.1774</v>
      </c>
      <c r="X251" s="185">
        <f>((O251-E251)/E251)</f>
        <v>0</v>
      </c>
      <c r="Y251" s="185">
        <f>((T251-J251)/J251)</f>
        <v>0</v>
      </c>
      <c r="Z251" s="185">
        <f>((U251-K251)/K251)</f>
        <v>0</v>
      </c>
      <c r="AA251" s="185">
        <f>V251-L251</f>
        <v>0</v>
      </c>
      <c r="AB251" s="186">
        <f>W251-M251</f>
        <v>0</v>
      </c>
    </row>
    <row r="252" spans="1:33" ht="15" customHeight="1">
      <c r="A252" s="196"/>
      <c r="B252" s="136"/>
      <c r="C252" s="137" t="s">
        <v>271</v>
      </c>
      <c r="D252" s="137"/>
      <c r="E252" s="144">
        <f>SUM(E250:E251)</f>
        <v>147451335647.04001</v>
      </c>
      <c r="F252" s="147"/>
      <c r="G252" s="147"/>
      <c r="H252" s="148"/>
      <c r="I252" s="148"/>
      <c r="J252" s="148"/>
      <c r="K252" s="144">
        <f>SUM(K250:K251)</f>
        <v>7949</v>
      </c>
      <c r="L252" s="149"/>
      <c r="M252" s="149"/>
      <c r="N252" s="149"/>
      <c r="O252" s="144">
        <f>SUM(O250:O251)</f>
        <v>145451335647.04001</v>
      </c>
      <c r="P252" s="147"/>
      <c r="Q252" s="147"/>
      <c r="R252" s="148"/>
      <c r="S252" s="148"/>
      <c r="T252" s="148"/>
      <c r="U252" s="144">
        <f>SUM(U250:U251)</f>
        <v>8107</v>
      </c>
      <c r="V252" s="149"/>
      <c r="W252" s="144"/>
      <c r="X252" s="143">
        <f>((O252-E252)/E252)</f>
        <v>-1.3563797107863965E-2</v>
      </c>
      <c r="Y252" s="150"/>
      <c r="Z252" s="150"/>
      <c r="AA252" s="143"/>
      <c r="AB252" s="151"/>
    </row>
    <row r="253" spans="1:33" ht="4.5" customHeight="1">
      <c r="B253" s="218"/>
      <c r="C253" s="218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8"/>
      <c r="Q253" s="218"/>
      <c r="R253" s="218"/>
      <c r="S253" s="218"/>
      <c r="T253" s="218"/>
      <c r="U253" s="218"/>
      <c r="V253" s="218"/>
      <c r="W253" s="218"/>
      <c r="X253" s="218"/>
      <c r="Y253" s="218"/>
      <c r="Z253" s="218"/>
      <c r="AA253" s="218"/>
      <c r="AB253" s="218"/>
    </row>
    <row r="254" spans="1:33" ht="15.6">
      <c r="A254" s="191"/>
      <c r="B254" s="216"/>
      <c r="C254" s="216"/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D254" s="30"/>
    </row>
    <row r="255" spans="1:33">
      <c r="A255" s="203">
        <v>1</v>
      </c>
      <c r="B255" s="84" t="s">
        <v>272</v>
      </c>
      <c r="C255" s="85" t="s">
        <v>89</v>
      </c>
      <c r="D255" s="172" t="s">
        <v>330</v>
      </c>
      <c r="E255" s="152">
        <v>2368314799.0599999</v>
      </c>
      <c r="F255" s="153">
        <f t="shared" ref="F255:F266" si="231">(E255/$E$267)</f>
        <v>7.4109282830943007E-2</v>
      </c>
      <c r="G255" s="172" t="s">
        <v>330</v>
      </c>
      <c r="H255" s="198">
        <v>578.67999999999995</v>
      </c>
      <c r="I255" s="172" t="s">
        <v>330</v>
      </c>
      <c r="J255" s="198">
        <v>578.67999999999995</v>
      </c>
      <c r="K255" s="154">
        <v>2408</v>
      </c>
      <c r="L255" s="106">
        <v>2.0999999999999999E-3</v>
      </c>
      <c r="M255" s="106">
        <v>0.63969171483622334</v>
      </c>
      <c r="N255" s="172" t="s">
        <v>330</v>
      </c>
      <c r="O255" s="152">
        <v>2307830420.7800002</v>
      </c>
      <c r="P255" s="153">
        <f t="shared" ref="P255:P266" si="232">(O255/$O$267)</f>
        <v>7.4389850284847472E-2</v>
      </c>
      <c r="Q255" s="172" t="s">
        <v>330</v>
      </c>
      <c r="R255" s="198">
        <v>563.9</v>
      </c>
      <c r="S255" s="172" t="s">
        <v>330</v>
      </c>
      <c r="T255" s="198">
        <v>563.9</v>
      </c>
      <c r="U255" s="154">
        <v>2477</v>
      </c>
      <c r="V255" s="106">
        <v>-2.5499999999999998E-2</v>
      </c>
      <c r="W255" s="106">
        <v>0.59781253541879176</v>
      </c>
      <c r="X255" s="185">
        <f>((O255-E255)/E255)</f>
        <v>-2.5538994353287152E-2</v>
      </c>
      <c r="Y255" s="185">
        <f>((T255-J255)/J255)</f>
        <v>-2.5540886154696851E-2</v>
      </c>
      <c r="Z255" s="185">
        <f>((U255-K255)/K255)</f>
        <v>2.8654485049833887E-2</v>
      </c>
      <c r="AA255" s="185">
        <f>V255-L255</f>
        <v>-2.76E-2</v>
      </c>
      <c r="AB255" s="186">
        <f>W255-M255</f>
        <v>-4.1879179417431578E-2</v>
      </c>
      <c r="AD255" s="193"/>
      <c r="AF255" s="30"/>
    </row>
    <row r="256" spans="1:33">
      <c r="A256" s="200">
        <v>2</v>
      </c>
      <c r="B256" s="84" t="s">
        <v>273</v>
      </c>
      <c r="C256" s="85" t="s">
        <v>239</v>
      </c>
      <c r="D256" s="172" t="s">
        <v>330</v>
      </c>
      <c r="E256" s="152">
        <v>3868037778.5500002</v>
      </c>
      <c r="F256" s="153">
        <f t="shared" si="231"/>
        <v>0.12103859919513688</v>
      </c>
      <c r="G256" s="172" t="s">
        <v>330</v>
      </c>
      <c r="H256" s="146">
        <v>110.01904</v>
      </c>
      <c r="I256" s="172" t="s">
        <v>330</v>
      </c>
      <c r="J256" s="146">
        <v>121.59999000000001</v>
      </c>
      <c r="K256" s="154">
        <v>2649</v>
      </c>
      <c r="L256" s="106">
        <v>1.21E-2</v>
      </c>
      <c r="M256" s="106">
        <v>0.87629999999999997</v>
      </c>
      <c r="N256" s="172" t="s">
        <v>330</v>
      </c>
      <c r="O256" s="152">
        <v>3706005292.2399998</v>
      </c>
      <c r="P256" s="153">
        <f t="shared" si="232"/>
        <v>0.11945816138059596</v>
      </c>
      <c r="Q256" s="172" t="s">
        <v>330</v>
      </c>
      <c r="R256" s="146">
        <v>105.41</v>
      </c>
      <c r="S256" s="172" t="s">
        <v>330</v>
      </c>
      <c r="T256" s="146">
        <v>116.51</v>
      </c>
      <c r="U256" s="154">
        <v>175</v>
      </c>
      <c r="V256" s="106">
        <v>-4.19E-2</v>
      </c>
      <c r="W256" s="106">
        <v>0.79769999999999996</v>
      </c>
      <c r="X256" s="185">
        <f t="shared" ref="X256:X267" si="233">((O256-E256)/E256)</f>
        <v>-4.189009921478612E-2</v>
      </c>
      <c r="Y256" s="185">
        <f t="shared" ref="Y256:Y267" si="234">((T256-J256)/J256)</f>
        <v>-4.1858473837045544E-2</v>
      </c>
      <c r="Z256" s="185">
        <f t="shared" ref="Z256:Z267" si="235">((U256-K256)/K256)</f>
        <v>-0.93393733484333707</v>
      </c>
      <c r="AA256" s="185">
        <f t="shared" ref="AA256:AA267" si="236">V256-L256</f>
        <v>-5.3999999999999999E-2</v>
      </c>
      <c r="AB256" s="186">
        <f t="shared" ref="AB256:AB267" si="237">W256-M256</f>
        <v>-7.8600000000000003E-2</v>
      </c>
      <c r="AD256" s="194"/>
    </row>
    <row r="257" spans="1:32">
      <c r="A257" s="200">
        <v>3</v>
      </c>
      <c r="B257" s="84" t="s">
        <v>274</v>
      </c>
      <c r="C257" s="85" t="s">
        <v>40</v>
      </c>
      <c r="D257" s="172" t="s">
        <v>330</v>
      </c>
      <c r="E257" s="152">
        <v>827694685.71000004</v>
      </c>
      <c r="F257" s="153">
        <f t="shared" si="231"/>
        <v>2.5900213766048785E-2</v>
      </c>
      <c r="G257" s="172" t="s">
        <v>330</v>
      </c>
      <c r="H257" s="146">
        <v>68.89</v>
      </c>
      <c r="I257" s="172" t="s">
        <v>330</v>
      </c>
      <c r="J257" s="146">
        <v>69.28</v>
      </c>
      <c r="K257" s="154">
        <v>1269</v>
      </c>
      <c r="L257" s="106">
        <v>6.7999999999999996E-3</v>
      </c>
      <c r="M257" s="106">
        <v>0.70569999999999999</v>
      </c>
      <c r="N257" s="172" t="s">
        <v>330</v>
      </c>
      <c r="O257" s="152">
        <v>795381072</v>
      </c>
      <c r="P257" s="153">
        <f t="shared" si="232"/>
        <v>2.5638053096415897E-2</v>
      </c>
      <c r="Q257" s="172" t="s">
        <v>330</v>
      </c>
      <c r="R257" s="146">
        <v>66.2</v>
      </c>
      <c r="S257" s="172" t="s">
        <v>330</v>
      </c>
      <c r="T257" s="146">
        <v>66.599999999999994</v>
      </c>
      <c r="U257" s="154">
        <v>1645</v>
      </c>
      <c r="V257" s="106">
        <v>-3.9E-2</v>
      </c>
      <c r="W257" s="106">
        <v>0.6391</v>
      </c>
      <c r="X257" s="185">
        <f t="shared" si="233"/>
        <v>-3.9040499193590067E-2</v>
      </c>
      <c r="Y257" s="185">
        <f t="shared" si="234"/>
        <v>-3.8683602771362686E-2</v>
      </c>
      <c r="Z257" s="185">
        <f t="shared" si="235"/>
        <v>0.29629629629629628</v>
      </c>
      <c r="AA257" s="185">
        <f t="shared" si="236"/>
        <v>-4.58E-2</v>
      </c>
      <c r="AB257" s="186">
        <f t="shared" si="237"/>
        <v>-6.6599999999999993E-2</v>
      </c>
    </row>
    <row r="258" spans="1:32">
      <c r="A258" s="200">
        <v>4</v>
      </c>
      <c r="B258" s="84" t="s">
        <v>275</v>
      </c>
      <c r="C258" s="85" t="s">
        <v>40</v>
      </c>
      <c r="D258" s="172" t="s">
        <v>330</v>
      </c>
      <c r="E258" s="152">
        <v>1569920424.6099999</v>
      </c>
      <c r="F258" s="153">
        <f t="shared" si="231"/>
        <v>4.9125934109635679E-2</v>
      </c>
      <c r="G258" s="172" t="s">
        <v>330</v>
      </c>
      <c r="H258" s="146">
        <v>133.24</v>
      </c>
      <c r="I258" s="172" t="s">
        <v>330</v>
      </c>
      <c r="J258" s="146">
        <v>133.94</v>
      </c>
      <c r="K258" s="154">
        <v>1299</v>
      </c>
      <c r="L258" s="106">
        <v>-0.7</v>
      </c>
      <c r="M258" s="106">
        <v>0.60029999999999994</v>
      </c>
      <c r="N258" s="172" t="s">
        <v>330</v>
      </c>
      <c r="O258" s="152">
        <v>1561399712.9100001</v>
      </c>
      <c r="P258" s="153">
        <f t="shared" si="232"/>
        <v>5.0329647201253887E-2</v>
      </c>
      <c r="Q258" s="172" t="s">
        <v>330</v>
      </c>
      <c r="R258" s="146">
        <v>132.52000000000001</v>
      </c>
      <c r="S258" s="172" t="s">
        <v>330</v>
      </c>
      <c r="T258" s="146">
        <v>133.24</v>
      </c>
      <c r="U258" s="154">
        <v>1376</v>
      </c>
      <c r="V258" s="106">
        <v>-5.4000000000000003E-3</v>
      </c>
      <c r="W258" s="106">
        <v>0.59160000000000001</v>
      </c>
      <c r="X258" s="185">
        <f t="shared" si="233"/>
        <v>-5.4274799960746592E-3</v>
      </c>
      <c r="Y258" s="185">
        <f t="shared" si="234"/>
        <v>-5.2262206958338707E-3</v>
      </c>
      <c r="Z258" s="185">
        <f t="shared" si="235"/>
        <v>5.9276366435719784E-2</v>
      </c>
      <c r="AA258" s="185">
        <f t="shared" si="236"/>
        <v>0.6946</v>
      </c>
      <c r="AB258" s="186">
        <f t="shared" si="237"/>
        <v>-8.69999999999993E-3</v>
      </c>
    </row>
    <row r="259" spans="1:32">
      <c r="A259" s="200">
        <v>5</v>
      </c>
      <c r="B259" s="84" t="s">
        <v>276</v>
      </c>
      <c r="C259" s="85" t="s">
        <v>277</v>
      </c>
      <c r="D259" s="172" t="s">
        <v>330</v>
      </c>
      <c r="E259" s="152">
        <v>1986687972.55</v>
      </c>
      <c r="F259" s="153">
        <f t="shared" si="231"/>
        <v>6.216742002075825E-2</v>
      </c>
      <c r="G259" s="172" t="s">
        <v>330</v>
      </c>
      <c r="H259" s="146">
        <v>55120</v>
      </c>
      <c r="I259" s="172" t="s">
        <v>330</v>
      </c>
      <c r="J259" s="146">
        <v>60890</v>
      </c>
      <c r="K259" s="154">
        <v>855</v>
      </c>
      <c r="L259" s="106">
        <v>0.01</v>
      </c>
      <c r="M259" s="106">
        <v>-0.01</v>
      </c>
      <c r="N259" s="172" t="s">
        <v>330</v>
      </c>
      <c r="O259" s="152">
        <v>1986687972.55</v>
      </c>
      <c r="P259" s="153">
        <f t="shared" si="232"/>
        <v>6.4038249738796585E-2</v>
      </c>
      <c r="Q259" s="172" t="s">
        <v>330</v>
      </c>
      <c r="R259" s="146">
        <v>52550</v>
      </c>
      <c r="S259" s="172" t="s">
        <v>330</v>
      </c>
      <c r="T259" s="146">
        <v>58300</v>
      </c>
      <c r="U259" s="154">
        <v>855</v>
      </c>
      <c r="V259" s="106">
        <v>0.01</v>
      </c>
      <c r="W259" s="106">
        <v>-0.01</v>
      </c>
      <c r="X259" s="185">
        <f t="shared" si="233"/>
        <v>0</v>
      </c>
      <c r="Y259" s="185">
        <f t="shared" si="234"/>
        <v>-4.2535720151092131E-2</v>
      </c>
      <c r="Z259" s="185">
        <f t="shared" si="235"/>
        <v>0</v>
      </c>
      <c r="AA259" s="185">
        <f t="shared" si="236"/>
        <v>0</v>
      </c>
      <c r="AB259" s="186">
        <f t="shared" si="237"/>
        <v>0</v>
      </c>
    </row>
    <row r="260" spans="1:32">
      <c r="A260" s="200">
        <v>6</v>
      </c>
      <c r="B260" s="84" t="s">
        <v>278</v>
      </c>
      <c r="C260" s="85" t="s">
        <v>279</v>
      </c>
      <c r="D260" s="172" t="s">
        <v>330</v>
      </c>
      <c r="E260" s="152">
        <v>1667580234.3599999</v>
      </c>
      <c r="F260" s="153">
        <f t="shared" si="231"/>
        <v>5.2181903892390677E-2</v>
      </c>
      <c r="G260" s="172" t="s">
        <v>330</v>
      </c>
      <c r="H260" s="146">
        <v>6809</v>
      </c>
      <c r="I260" s="172" t="s">
        <v>330</v>
      </c>
      <c r="J260" s="146">
        <v>6809</v>
      </c>
      <c r="K260" s="154">
        <v>1254</v>
      </c>
      <c r="L260" s="106">
        <v>6.9999999999999999E-4</v>
      </c>
      <c r="M260" s="106">
        <v>0.66830000000000001</v>
      </c>
      <c r="N260" s="172" t="s">
        <v>330</v>
      </c>
      <c r="O260" s="152">
        <v>1614296965.28</v>
      </c>
      <c r="P260" s="153">
        <f t="shared" si="232"/>
        <v>5.2034719917538705E-2</v>
      </c>
      <c r="Q260" s="172" t="s">
        <v>330</v>
      </c>
      <c r="R260" s="146">
        <v>6250.02</v>
      </c>
      <c r="S260" s="172" t="s">
        <v>330</v>
      </c>
      <c r="T260" s="146">
        <v>6250.02</v>
      </c>
      <c r="U260" s="154">
        <v>1499</v>
      </c>
      <c r="V260" s="106">
        <v>-3.2000000000000001E-2</v>
      </c>
      <c r="W260" s="106">
        <v>0.61499999999999999</v>
      </c>
      <c r="X260" s="185">
        <f t="shared" si="233"/>
        <v>-3.1952447014010989E-2</v>
      </c>
      <c r="Y260" s="185">
        <f t="shared" si="234"/>
        <v>-8.2094286973123737E-2</v>
      </c>
      <c r="Z260" s="185">
        <f t="shared" si="235"/>
        <v>0.19537480063795853</v>
      </c>
      <c r="AA260" s="185">
        <f t="shared" si="236"/>
        <v>-3.27E-2</v>
      </c>
      <c r="AB260" s="186">
        <f t="shared" si="237"/>
        <v>-5.3300000000000014E-2</v>
      </c>
    </row>
    <row r="261" spans="1:32">
      <c r="A261" s="200">
        <v>7</v>
      </c>
      <c r="B261" s="84" t="s">
        <v>280</v>
      </c>
      <c r="C261" s="85" t="s">
        <v>279</v>
      </c>
      <c r="D261" s="172" t="s">
        <v>330</v>
      </c>
      <c r="E261" s="152">
        <v>1742807747.1199999</v>
      </c>
      <c r="F261" s="153">
        <f t="shared" si="231"/>
        <v>5.4535922463744453E-2</v>
      </c>
      <c r="G261" s="172" t="s">
        <v>330</v>
      </c>
      <c r="H261" s="146">
        <v>4089.9</v>
      </c>
      <c r="I261" s="172" t="s">
        <v>330</v>
      </c>
      <c r="J261" s="146">
        <v>4089.9</v>
      </c>
      <c r="K261" s="154">
        <v>7373</v>
      </c>
      <c r="L261" s="106">
        <v>3.5999999999999999E-3</v>
      </c>
      <c r="M261" s="106">
        <v>0.58340000000000003</v>
      </c>
      <c r="N261" s="172" t="s">
        <v>330</v>
      </c>
      <c r="O261" s="152">
        <v>1686424328.71</v>
      </c>
      <c r="P261" s="153">
        <f t="shared" si="232"/>
        <v>5.4359649738502346E-2</v>
      </c>
      <c r="Q261" s="172" t="s">
        <v>330</v>
      </c>
      <c r="R261" s="146">
        <v>3565</v>
      </c>
      <c r="S261" s="172" t="s">
        <v>330</v>
      </c>
      <c r="T261" s="146">
        <v>3565</v>
      </c>
      <c r="U261" s="154">
        <v>7953</v>
      </c>
      <c r="V261" s="106">
        <v>-3.2399999999999998E-2</v>
      </c>
      <c r="W261" s="106">
        <v>0.53220000000000001</v>
      </c>
      <c r="X261" s="185">
        <f t="shared" si="233"/>
        <v>-3.2352058626761201E-2</v>
      </c>
      <c r="Y261" s="185">
        <f t="shared" si="234"/>
        <v>-0.12834054622362406</v>
      </c>
      <c r="Z261" s="185">
        <f t="shared" si="235"/>
        <v>7.8665400786654002E-2</v>
      </c>
      <c r="AA261" s="185">
        <f t="shared" si="236"/>
        <v>-3.5999999999999997E-2</v>
      </c>
      <c r="AB261" s="186">
        <f t="shared" si="237"/>
        <v>-5.1200000000000023E-2</v>
      </c>
      <c r="AD261" s="146"/>
      <c r="AE261" s="221"/>
      <c r="AF261" s="221"/>
    </row>
    <row r="262" spans="1:32">
      <c r="A262" s="200">
        <v>8</v>
      </c>
      <c r="B262" s="84" t="s">
        <v>281</v>
      </c>
      <c r="C262" s="85" t="s">
        <v>282</v>
      </c>
      <c r="D262" s="172" t="s">
        <v>330</v>
      </c>
      <c r="E262" s="152">
        <v>737179978.39999998</v>
      </c>
      <c r="F262" s="153">
        <f t="shared" si="231"/>
        <v>2.3067828456857939E-2</v>
      </c>
      <c r="G262" s="172" t="s">
        <v>330</v>
      </c>
      <c r="H262" s="146">
        <v>49</v>
      </c>
      <c r="I262" s="172" t="s">
        <v>330</v>
      </c>
      <c r="J262" s="146">
        <v>49.1</v>
      </c>
      <c r="K262" s="154">
        <v>4288</v>
      </c>
      <c r="L262" s="106">
        <v>3.32E-2</v>
      </c>
      <c r="M262" s="106">
        <v>0.43590000000000001</v>
      </c>
      <c r="N262" s="172" t="s">
        <v>330</v>
      </c>
      <c r="O262" s="152">
        <v>721092671.05999994</v>
      </c>
      <c r="P262" s="153">
        <f t="shared" si="232"/>
        <v>2.3243465099798907E-2</v>
      </c>
      <c r="Q262" s="172" t="s">
        <v>330</v>
      </c>
      <c r="R262" s="146">
        <v>47.94</v>
      </c>
      <c r="S262" s="172" t="s">
        <v>330</v>
      </c>
      <c r="T262" s="146">
        <v>48.04</v>
      </c>
      <c r="U262" s="154">
        <v>4326</v>
      </c>
      <c r="V262" s="106">
        <v>5.3600000000000002E-2</v>
      </c>
      <c r="W262" s="106">
        <v>0.51280000000000003</v>
      </c>
      <c r="X262" s="185">
        <f t="shared" si="233"/>
        <v>-2.1822767589153007E-2</v>
      </c>
      <c r="Y262" s="185">
        <f t="shared" si="234"/>
        <v>-2.1588594704684362E-2</v>
      </c>
      <c r="Z262" s="185">
        <f t="shared" si="235"/>
        <v>8.8619402985074622E-3</v>
      </c>
      <c r="AA262" s="185">
        <f t="shared" si="236"/>
        <v>2.0400000000000001E-2</v>
      </c>
      <c r="AB262" s="186">
        <f t="shared" si="237"/>
        <v>7.6900000000000024E-2</v>
      </c>
      <c r="AD262" s="146"/>
      <c r="AE262" s="221"/>
      <c r="AF262" s="221"/>
    </row>
    <row r="263" spans="1:32">
      <c r="A263" s="200">
        <v>9</v>
      </c>
      <c r="B263" s="84" t="s">
        <v>283</v>
      </c>
      <c r="C263" s="85" t="s">
        <v>282</v>
      </c>
      <c r="D263" s="172" t="s">
        <v>330</v>
      </c>
      <c r="E263" s="155">
        <v>2060532200.1500001</v>
      </c>
      <c r="F263" s="153">
        <f t="shared" si="231"/>
        <v>6.4478152846822179E-2</v>
      </c>
      <c r="G263" s="172" t="s">
        <v>330</v>
      </c>
      <c r="H263" s="146">
        <v>23.53</v>
      </c>
      <c r="I263" s="172" t="s">
        <v>330</v>
      </c>
      <c r="J263" s="146">
        <v>23.63</v>
      </c>
      <c r="K263" s="154">
        <v>4881</v>
      </c>
      <c r="L263" s="106">
        <v>-7.3700000000000002E-2</v>
      </c>
      <c r="M263" s="106">
        <v>0.6673</v>
      </c>
      <c r="N263" s="172" t="s">
        <v>330</v>
      </c>
      <c r="O263" s="155">
        <v>1992900261.5999999</v>
      </c>
      <c r="P263" s="153">
        <f t="shared" si="232"/>
        <v>6.4238494630359938E-2</v>
      </c>
      <c r="Q263" s="172" t="s">
        <v>330</v>
      </c>
      <c r="R263" s="146">
        <v>22.73</v>
      </c>
      <c r="S263" s="172" t="s">
        <v>330</v>
      </c>
      <c r="T263" s="146">
        <v>22.83</v>
      </c>
      <c r="U263" s="154">
        <v>4956</v>
      </c>
      <c r="V263" s="106">
        <v>0.1555</v>
      </c>
      <c r="W263" s="106">
        <v>0.92669999999999997</v>
      </c>
      <c r="X263" s="185">
        <f t="shared" si="233"/>
        <v>-3.2822558436639233E-2</v>
      </c>
      <c r="Y263" s="185">
        <f t="shared" si="234"/>
        <v>-3.3855268726195549E-2</v>
      </c>
      <c r="Z263" s="185">
        <f t="shared" si="235"/>
        <v>1.5365703749231715E-2</v>
      </c>
      <c r="AA263" s="185">
        <f t="shared" si="236"/>
        <v>0.22920000000000001</v>
      </c>
      <c r="AB263" s="186">
        <f t="shared" si="237"/>
        <v>0.25939999999999996</v>
      </c>
      <c r="AD263" s="221"/>
      <c r="AE263" s="221"/>
      <c r="AF263" s="221"/>
    </row>
    <row r="264" spans="1:32" ht="15" customHeight="1">
      <c r="A264" s="200">
        <v>10</v>
      </c>
      <c r="B264" s="84" t="s">
        <v>284</v>
      </c>
      <c r="C264" s="85" t="s">
        <v>282</v>
      </c>
      <c r="D264" s="172" t="s">
        <v>330</v>
      </c>
      <c r="E264" s="152">
        <v>383262967.51999998</v>
      </c>
      <c r="F264" s="153">
        <f t="shared" si="231"/>
        <v>1.1993060918185234E-2</v>
      </c>
      <c r="G264" s="172" t="s">
        <v>330</v>
      </c>
      <c r="H264" s="146">
        <v>142.35</v>
      </c>
      <c r="I264" s="172" t="s">
        <v>330</v>
      </c>
      <c r="J264" s="146">
        <v>144.35</v>
      </c>
      <c r="K264" s="154">
        <v>2165</v>
      </c>
      <c r="L264" s="106">
        <v>0.1273</v>
      </c>
      <c r="M264" s="106">
        <v>0.3538</v>
      </c>
      <c r="N264" s="172" t="s">
        <v>330</v>
      </c>
      <c r="O264" s="152">
        <v>383968372.18000001</v>
      </c>
      <c r="P264" s="153">
        <f t="shared" si="232"/>
        <v>1.2376710811764478E-2</v>
      </c>
      <c r="Q264" s="172" t="s">
        <v>330</v>
      </c>
      <c r="R264" s="146">
        <v>142.61000000000001</v>
      </c>
      <c r="S264" s="172" t="s">
        <v>330</v>
      </c>
      <c r="T264" s="146">
        <v>144.61000000000001</v>
      </c>
      <c r="U264" s="154">
        <v>2266</v>
      </c>
      <c r="V264" s="106">
        <v>7.9799999999999996E-2</v>
      </c>
      <c r="W264" s="106">
        <v>0.46179999999999999</v>
      </c>
      <c r="X264" s="185">
        <f t="shared" si="233"/>
        <v>1.8405239216419097E-3</v>
      </c>
      <c r="Y264" s="185">
        <f t="shared" si="234"/>
        <v>1.8011776931071656E-3</v>
      </c>
      <c r="Z264" s="185">
        <f t="shared" si="235"/>
        <v>4.6651270207852195E-2</v>
      </c>
      <c r="AA264" s="185">
        <f t="shared" si="236"/>
        <v>-4.7500000000000001E-2</v>
      </c>
      <c r="AB264" s="186">
        <f t="shared" si="237"/>
        <v>0.10799999999999998</v>
      </c>
      <c r="AD264" s="221"/>
      <c r="AE264" s="146"/>
      <c r="AF264" s="146"/>
    </row>
    <row r="265" spans="1:32">
      <c r="A265" s="203">
        <v>11</v>
      </c>
      <c r="B265" s="84" t="s">
        <v>285</v>
      </c>
      <c r="C265" s="85" t="s">
        <v>282</v>
      </c>
      <c r="D265" s="172" t="s">
        <v>330</v>
      </c>
      <c r="E265" s="152">
        <v>14041090837.42</v>
      </c>
      <c r="F265" s="153">
        <f t="shared" si="231"/>
        <v>0.43937367301776459</v>
      </c>
      <c r="G265" s="172" t="s">
        <v>330</v>
      </c>
      <c r="H265" s="146">
        <v>91.05</v>
      </c>
      <c r="I265" s="172" t="s">
        <v>330</v>
      </c>
      <c r="J265" s="146">
        <v>91.25</v>
      </c>
      <c r="K265" s="154">
        <v>6540</v>
      </c>
      <c r="L265" s="106">
        <v>5.1499999999999997E-2</v>
      </c>
      <c r="M265" s="106">
        <v>0.88849999999999996</v>
      </c>
      <c r="N265" s="172" t="s">
        <v>330</v>
      </c>
      <c r="O265" s="152">
        <v>13593825928.98</v>
      </c>
      <c r="P265" s="153">
        <f t="shared" si="232"/>
        <v>0.43817893487742487</v>
      </c>
      <c r="Q265" s="172" t="s">
        <v>330</v>
      </c>
      <c r="R265" s="146">
        <v>88.1</v>
      </c>
      <c r="S265" s="172" t="s">
        <v>330</v>
      </c>
      <c r="T265" s="146">
        <v>88.3</v>
      </c>
      <c r="U265" s="154">
        <v>6785</v>
      </c>
      <c r="V265" s="106">
        <v>0.152</v>
      </c>
      <c r="W265" s="106">
        <v>0.53672119735468149</v>
      </c>
      <c r="X265" s="185">
        <f t="shared" si="233"/>
        <v>-3.1854000064441133E-2</v>
      </c>
      <c r="Y265" s="185">
        <f t="shared" si="234"/>
        <v>-3.2328767123287701E-2</v>
      </c>
      <c r="Z265" s="185">
        <f t="shared" si="235"/>
        <v>3.746177370030581E-2</v>
      </c>
      <c r="AA265" s="185">
        <f t="shared" si="236"/>
        <v>0.10050000000000001</v>
      </c>
      <c r="AB265" s="186">
        <f t="shared" si="237"/>
        <v>-0.35177880264531847</v>
      </c>
      <c r="AD265" s="222"/>
      <c r="AE265" s="146"/>
      <c r="AF265" s="221"/>
    </row>
    <row r="266" spans="1:32">
      <c r="A266" s="203">
        <v>12</v>
      </c>
      <c r="B266" s="84" t="s">
        <v>286</v>
      </c>
      <c r="C266" s="85" t="s">
        <v>282</v>
      </c>
      <c r="D266" s="172" t="s">
        <v>330</v>
      </c>
      <c r="E266" s="155">
        <v>703950389.04999995</v>
      </c>
      <c r="F266" s="153">
        <f t="shared" si="231"/>
        <v>2.2028008481712456E-2</v>
      </c>
      <c r="G266" s="172" t="s">
        <v>330</v>
      </c>
      <c r="H266" s="146">
        <v>122.37</v>
      </c>
      <c r="I266" s="172" t="s">
        <v>330</v>
      </c>
      <c r="J266" s="146">
        <v>122.57</v>
      </c>
      <c r="K266" s="154">
        <v>3499</v>
      </c>
      <c r="L266" s="106">
        <v>6.4299999999999996E-2</v>
      </c>
      <c r="M266" s="106">
        <v>1.1552663970458941</v>
      </c>
      <c r="N266" s="172" t="s">
        <v>330</v>
      </c>
      <c r="O266" s="155">
        <v>673645335.64999998</v>
      </c>
      <c r="P266" s="153">
        <f t="shared" si="232"/>
        <v>2.1714063222700888E-2</v>
      </c>
      <c r="Q266" s="172" t="s">
        <v>330</v>
      </c>
      <c r="R266" s="146">
        <v>116.97</v>
      </c>
      <c r="S266" s="172" t="s">
        <v>330</v>
      </c>
      <c r="T266" s="146">
        <v>117.17</v>
      </c>
      <c r="U266" s="154">
        <v>3534</v>
      </c>
      <c r="V266" s="106">
        <v>-2.1499999999999998E-2</v>
      </c>
      <c r="W266" s="106">
        <v>1.0603129945489713</v>
      </c>
      <c r="X266" s="185">
        <f t="shared" si="233"/>
        <v>-4.3049984588967222E-2</v>
      </c>
      <c r="Y266" s="185">
        <f t="shared" si="234"/>
        <v>-4.4056457534470031E-2</v>
      </c>
      <c r="Z266" s="185">
        <f t="shared" si="235"/>
        <v>1.0002857959416977E-2</v>
      </c>
      <c r="AA266" s="185">
        <f t="shared" si="236"/>
        <v>-8.5799999999999987E-2</v>
      </c>
      <c r="AB266" s="186">
        <f t="shared" si="237"/>
        <v>-9.4953402496922745E-2</v>
      </c>
      <c r="AD266" s="223"/>
      <c r="AE266" s="223"/>
      <c r="AF266" s="146"/>
    </row>
    <row r="267" spans="1:32">
      <c r="A267" s="156"/>
      <c r="B267" s="156"/>
      <c r="C267" s="157" t="s">
        <v>287</v>
      </c>
      <c r="D267" s="178"/>
      <c r="E267" s="144">
        <f>SUM(E255:E266)</f>
        <v>31957060014.499996</v>
      </c>
      <c r="F267" s="147"/>
      <c r="G267" s="147"/>
      <c r="H267" s="147"/>
      <c r="I267" s="147"/>
      <c r="J267" s="148"/>
      <c r="K267" s="144">
        <f>SUM(K255:K266)</f>
        <v>38480</v>
      </c>
      <c r="L267" s="149"/>
      <c r="M267" s="149"/>
      <c r="N267" s="149"/>
      <c r="O267" s="144">
        <f>SUM(O255:O266)</f>
        <v>31023458333.940002</v>
      </c>
      <c r="P267" s="147"/>
      <c r="Q267" s="147"/>
      <c r="R267" s="147"/>
      <c r="S267" s="147"/>
      <c r="T267" s="148"/>
      <c r="U267" s="144">
        <f>SUM(U255:U266)</f>
        <v>37847</v>
      </c>
      <c r="V267" s="149"/>
      <c r="W267" s="149"/>
      <c r="X267" s="185">
        <f t="shared" si="233"/>
        <v>-2.9214254381860757E-2</v>
      </c>
      <c r="Y267" s="185" t="e">
        <f t="shared" si="234"/>
        <v>#DIV/0!</v>
      </c>
      <c r="Z267" s="185">
        <f t="shared" si="235"/>
        <v>-1.6450103950103951E-2</v>
      </c>
      <c r="AA267" s="185">
        <f t="shared" si="236"/>
        <v>0</v>
      </c>
      <c r="AB267" s="186">
        <f t="shared" si="237"/>
        <v>0</v>
      </c>
      <c r="AF267" s="23"/>
    </row>
    <row r="268" spans="1:32">
      <c r="A268" s="158"/>
      <c r="B268" s="158"/>
      <c r="C268" s="159" t="s">
        <v>288</v>
      </c>
      <c r="D268" s="177"/>
      <c r="E268" s="160">
        <f>SUM(E238,E247,E252,E267)</f>
        <v>9229370455510.6074</v>
      </c>
      <c r="F268" s="161"/>
      <c r="G268" s="161"/>
      <c r="H268" s="161"/>
      <c r="I268" s="161"/>
      <c r="J268" s="162"/>
      <c r="K268" s="160">
        <f>SUM(K238,K247,K252,K267)</f>
        <v>1425464</v>
      </c>
      <c r="L268" s="163"/>
      <c r="M268" s="163"/>
      <c r="N268" s="163"/>
      <c r="O268" s="160">
        <f>SUM(O238,O247,O252,O267)</f>
        <v>9274143499614.6797</v>
      </c>
      <c r="P268" s="161"/>
      <c r="Q268" s="161"/>
      <c r="R268" s="161"/>
      <c r="S268" s="161"/>
      <c r="T268" s="160"/>
      <c r="U268" s="160">
        <f>SUM(U238,U247,U252,U267)</f>
        <v>1429712</v>
      </c>
      <c r="V268" s="164"/>
      <c r="W268" s="160"/>
      <c r="X268" s="165"/>
      <c r="Y268" s="166"/>
      <c r="Z268" s="166"/>
      <c r="AA268" s="167"/>
      <c r="AB268" s="167"/>
      <c r="AF268" s="23"/>
    </row>
    <row r="269" spans="1:32">
      <c r="A269" s="168"/>
      <c r="B269" s="168" t="s">
        <v>345</v>
      </c>
      <c r="C269" s="176">
        <v>1362.2122999999999</v>
      </c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</row>
    <row r="270" spans="1:32">
      <c r="B270" s="32"/>
    </row>
    <row r="271" spans="1:32">
      <c r="B271" s="32"/>
      <c r="D271" s="33"/>
      <c r="E271" s="34"/>
      <c r="O271" s="34"/>
    </row>
    <row r="272" spans="1:32" ht="15">
      <c r="B272" s="35"/>
      <c r="C272" s="36"/>
      <c r="D272" s="36"/>
      <c r="E272" s="37"/>
      <c r="H272" s="38"/>
      <c r="I272" s="38"/>
      <c r="J272" s="38"/>
      <c r="L272" s="39"/>
      <c r="M272" s="40"/>
      <c r="N272" s="40"/>
    </row>
    <row r="273" spans="2:15">
      <c r="C273" s="32"/>
      <c r="D273" s="32"/>
    </row>
    <row r="274" spans="2:15">
      <c r="O274" s="31"/>
    </row>
    <row r="275" spans="2:15">
      <c r="B275" s="33"/>
    </row>
    <row r="276" spans="2:15">
      <c r="O276" s="41"/>
    </row>
  </sheetData>
  <sheetProtection algorithmName="SHA-512" hashValue="runiMzLtmTbPAYsTMLQqqGMFXqnD3yNabUKu4x7OFVN8M1mTXo8LFarYJK/SFgmPaUeSWwj3r0ro73KI0n/jFw==" saltValue="xmAEPWRne3KgCS6aH2NucQ==" spinCount="100000" sheet="1" objects="1" scenarios="1"/>
  <mergeCells count="34"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  <mergeCell ref="B204:AB204"/>
    <mergeCell ref="B205:AB205"/>
    <mergeCell ref="B210:AB210"/>
    <mergeCell ref="B211:AB211"/>
    <mergeCell ref="B212:AB212"/>
    <mergeCell ref="B140:AB140"/>
    <mergeCell ref="B162:AB162"/>
    <mergeCell ref="B163:AB163"/>
    <mergeCell ref="B171:AB171"/>
    <mergeCell ref="B172:AB172"/>
    <mergeCell ref="B78:AB78"/>
    <mergeCell ref="B118:AB118"/>
    <mergeCell ref="B119:AB119"/>
    <mergeCell ref="B120:AB120"/>
    <mergeCell ref="B139:AB139"/>
    <mergeCell ref="B4:AB4"/>
    <mergeCell ref="B5:AB5"/>
    <mergeCell ref="B27:AB27"/>
    <mergeCell ref="B28:AB28"/>
    <mergeCell ref="B77:AB77"/>
    <mergeCell ref="A1:AB1"/>
    <mergeCell ref="D2:M2"/>
    <mergeCell ref="N2:W2"/>
    <mergeCell ref="X2:Z2"/>
    <mergeCell ref="AA2:AB2"/>
  </mergeCells>
  <pageMargins left="0.7" right="0.7" top="0.75" bottom="0.75" header="0.3" footer="0.3"/>
  <pageSetup paperSize="9" orientation="portrait" horizontalDpi="300" verticalDpi="300" r:id="rId1"/>
  <ignoredErrors>
    <ignoredError sqref="F103 F83 P54 P37 F37 P146 F146" formula="1"/>
    <ignoredError sqref="Y170 Y26 Y76 Y117 Y161 Y203 Y209 Y237 Y267 Z250:Z251 X55:Z55 X146 X133:Z133 X50:Z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G11" sqref="G11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54"/>
      <c r="B1" s="54"/>
      <c r="C1" s="54"/>
      <c r="D1" s="54"/>
      <c r="F1" s="20"/>
      <c r="G1" s="15"/>
      <c r="H1" s="20"/>
    </row>
    <row r="2" spans="1:8" ht="27.6">
      <c r="A2" s="55" t="s">
        <v>289</v>
      </c>
      <c r="B2" s="56" t="s">
        <v>342</v>
      </c>
      <c r="C2" s="56" t="s">
        <v>346</v>
      </c>
      <c r="D2" s="57"/>
      <c r="F2" s="20"/>
      <c r="G2" s="15"/>
      <c r="H2" s="20"/>
    </row>
    <row r="3" spans="1:8">
      <c r="A3" s="58" t="s">
        <v>17</v>
      </c>
      <c r="B3" s="59">
        <f t="shared" ref="B3:C10" si="0">B13</f>
        <v>266.81982620866393</v>
      </c>
      <c r="C3" s="59">
        <f t="shared" si="0"/>
        <v>261.16452799857979</v>
      </c>
      <c r="D3" s="57"/>
      <c r="F3" s="20"/>
      <c r="G3" s="15"/>
      <c r="H3" s="20"/>
    </row>
    <row r="4" spans="1:8" ht="15.6" customHeight="1">
      <c r="A4" s="55" t="s">
        <v>53</v>
      </c>
      <c r="B4" s="60">
        <f t="shared" si="0"/>
        <v>5839.6277869056485</v>
      </c>
      <c r="C4" s="60">
        <f t="shared" si="0"/>
        <v>5902.3299509160597</v>
      </c>
      <c r="D4" s="57"/>
      <c r="F4" s="20"/>
      <c r="G4" s="15"/>
      <c r="H4" s="20"/>
    </row>
    <row r="5" spans="1:8" ht="16.2" customHeight="1">
      <c r="A5" s="55" t="s">
        <v>290</v>
      </c>
      <c r="B5" s="59">
        <f t="shared" si="0"/>
        <v>234.95474585345002</v>
      </c>
      <c r="C5" s="59">
        <f t="shared" si="0"/>
        <v>236.15950098094001</v>
      </c>
      <c r="D5" s="57"/>
      <c r="F5" s="20"/>
      <c r="G5" s="15"/>
      <c r="H5" s="20"/>
    </row>
    <row r="6" spans="1:8">
      <c r="A6" s="55" t="s">
        <v>164</v>
      </c>
      <c r="B6" s="60">
        <f t="shared" si="0"/>
        <v>1839.5335012184191</v>
      </c>
      <c r="C6" s="60">
        <f t="shared" si="0"/>
        <v>1829.4160716884446</v>
      </c>
      <c r="D6" s="57"/>
      <c r="F6" s="20"/>
      <c r="G6" s="15"/>
      <c r="H6" s="20"/>
    </row>
    <row r="7" spans="1:8">
      <c r="A7" s="55" t="s">
        <v>291</v>
      </c>
      <c r="B7" s="59">
        <f t="shared" si="0"/>
        <v>508.14281654238999</v>
      </c>
      <c r="C7" s="59">
        <f t="shared" si="0"/>
        <v>509.44976096275997</v>
      </c>
      <c r="D7" s="57"/>
      <c r="F7" s="20"/>
      <c r="G7" s="15"/>
      <c r="H7" s="20"/>
    </row>
    <row r="8" spans="1:8">
      <c r="A8" s="55" t="s">
        <v>203</v>
      </c>
      <c r="B8" s="61">
        <f t="shared" si="0"/>
        <v>158.91803517078</v>
      </c>
      <c r="C8" s="61">
        <f t="shared" si="0"/>
        <v>157.79460466674004</v>
      </c>
      <c r="D8" s="57"/>
      <c r="F8" s="20"/>
      <c r="G8" s="15"/>
      <c r="H8" s="20"/>
    </row>
    <row r="9" spans="1:8">
      <c r="A9" s="55" t="s">
        <v>234</v>
      </c>
      <c r="B9" s="59">
        <f t="shared" si="0"/>
        <v>21.792643850099999</v>
      </c>
      <c r="C9" s="59">
        <f t="shared" si="0"/>
        <v>21.280346410980002</v>
      </c>
      <c r="D9" s="57"/>
      <c r="F9" s="20"/>
      <c r="G9" s="15"/>
      <c r="H9" s="20"/>
    </row>
    <row r="10" spans="1:8">
      <c r="A10" s="55" t="s">
        <v>292</v>
      </c>
      <c r="B10" s="59">
        <f t="shared" si="0"/>
        <v>148.33089792106546</v>
      </c>
      <c r="C10" s="59">
        <f t="shared" si="0"/>
        <v>148.22298967809999</v>
      </c>
      <c r="D10" s="57"/>
      <c r="F10" s="20"/>
      <c r="G10" s="15"/>
      <c r="H10" s="20"/>
    </row>
    <row r="11" spans="1:8">
      <c r="A11" s="55" t="s">
        <v>263</v>
      </c>
      <c r="B11" s="59">
        <f>B21</f>
        <v>31.841806178550478</v>
      </c>
      <c r="C11" s="59">
        <f>C21</f>
        <v>31.85095233109757</v>
      </c>
      <c r="D11" s="57"/>
      <c r="F11" s="20"/>
      <c r="G11" s="15"/>
      <c r="H11" s="20"/>
    </row>
    <row r="12" spans="1:8">
      <c r="A12" s="54"/>
      <c r="B12" s="54"/>
      <c r="C12" s="54"/>
      <c r="D12" s="54"/>
      <c r="F12" s="20"/>
      <c r="G12" s="15"/>
      <c r="H12" s="20"/>
    </row>
    <row r="13" spans="1:8">
      <c r="A13" s="62" t="s">
        <v>17</v>
      </c>
      <c r="B13" s="63">
        <f>'Weekly Valuation'!E26/1000000000</f>
        <v>266.81982620866393</v>
      </c>
      <c r="C13" s="64">
        <f>'Weekly Valuation'!O26/1000000000</f>
        <v>261.16452799857979</v>
      </c>
      <c r="D13" s="54"/>
      <c r="F13" s="20"/>
      <c r="G13" s="15"/>
      <c r="H13" s="20"/>
    </row>
    <row r="14" spans="1:8">
      <c r="A14" s="65" t="s">
        <v>53</v>
      </c>
      <c r="B14" s="63">
        <f>'Weekly Valuation'!E76/1000000000</f>
        <v>5839.6277869056485</v>
      </c>
      <c r="C14" s="66">
        <f>'Weekly Valuation'!O76/1000000000</f>
        <v>5902.3299509160597</v>
      </c>
      <c r="D14" s="54"/>
      <c r="F14" s="20"/>
      <c r="G14" s="15"/>
      <c r="H14" s="20"/>
    </row>
    <row r="15" spans="1:8">
      <c r="A15" s="65" t="s">
        <v>290</v>
      </c>
      <c r="B15" s="63">
        <f>'Weekly Valuation'!E117/1000000000</f>
        <v>234.95474585345002</v>
      </c>
      <c r="C15" s="64">
        <f>'Weekly Valuation'!O117/1000000000</f>
        <v>236.15950098094001</v>
      </c>
      <c r="D15" s="54"/>
      <c r="F15" s="20"/>
      <c r="G15" s="15"/>
      <c r="H15" s="20"/>
    </row>
    <row r="16" spans="1:8">
      <c r="A16" s="65" t="s">
        <v>164</v>
      </c>
      <c r="B16" s="63">
        <f>'Weekly Valuation'!E161/1000000000</f>
        <v>1839.5335012184191</v>
      </c>
      <c r="C16" s="66">
        <f>'Weekly Valuation'!O161/1000000000</f>
        <v>1829.4160716884446</v>
      </c>
      <c r="D16" s="54"/>
      <c r="F16" s="20"/>
      <c r="G16" s="15"/>
      <c r="H16" s="20"/>
    </row>
    <row r="17" spans="1:8">
      <c r="A17" s="65" t="s">
        <v>291</v>
      </c>
      <c r="B17" s="63">
        <f>'Weekly Valuation'!E170/1000000000</f>
        <v>508.14281654238999</v>
      </c>
      <c r="C17" s="64">
        <f>'Weekly Valuation'!O170/1000000000</f>
        <v>509.44976096275997</v>
      </c>
      <c r="D17" s="54"/>
      <c r="F17" s="20"/>
      <c r="G17" s="15"/>
      <c r="H17" s="20"/>
    </row>
    <row r="18" spans="1:8">
      <c r="A18" s="65" t="s">
        <v>203</v>
      </c>
      <c r="B18" s="63">
        <f>'Weekly Valuation'!E203/1000000000</f>
        <v>158.91803517078</v>
      </c>
      <c r="C18" s="67">
        <f>'Weekly Valuation'!O203/1000000000</f>
        <v>157.79460466674004</v>
      </c>
      <c r="D18" s="54"/>
      <c r="F18" s="20"/>
      <c r="G18" s="15"/>
      <c r="H18" s="20"/>
    </row>
    <row r="19" spans="1:8">
      <c r="A19" s="65" t="s">
        <v>234</v>
      </c>
      <c r="B19" s="63">
        <f>'Weekly Valuation'!E209/1000000000</f>
        <v>21.792643850099999</v>
      </c>
      <c r="C19" s="64">
        <f>'Weekly Valuation'!O209/1000000000</f>
        <v>21.280346410980002</v>
      </c>
      <c r="D19" s="54"/>
      <c r="F19" s="20"/>
      <c r="G19" s="15"/>
      <c r="H19" s="20"/>
    </row>
    <row r="20" spans="1:8">
      <c r="A20" s="65" t="s">
        <v>292</v>
      </c>
      <c r="B20" s="63">
        <f>'Weekly Valuation'!E237/1000000000</f>
        <v>148.33089792106546</v>
      </c>
      <c r="C20" s="64">
        <f>'Weekly Valuation'!O237/1000000000</f>
        <v>148.22298967809999</v>
      </c>
      <c r="D20" s="54"/>
      <c r="F20" s="20"/>
      <c r="G20" s="15"/>
      <c r="H20" s="20"/>
    </row>
    <row r="21" spans="1:8">
      <c r="A21" s="65" t="s">
        <v>263</v>
      </c>
      <c r="B21" s="63">
        <f>'Weekly Valuation'!E247/1000000000</f>
        <v>31.841806178550478</v>
      </c>
      <c r="C21" s="64">
        <f>'Weekly Valuation'!O247/1000000000</f>
        <v>31.85095233109757</v>
      </c>
      <c r="D21" s="54"/>
      <c r="F21" s="20"/>
      <c r="G21" s="15"/>
      <c r="H21" s="20"/>
    </row>
    <row r="22" spans="1:8">
      <c r="A22" s="68"/>
      <c r="B22" s="54"/>
      <c r="C22" s="69"/>
      <c r="D22" s="54"/>
      <c r="F22" s="20"/>
      <c r="G22" s="15"/>
      <c r="H22" s="20"/>
    </row>
    <row r="23" spans="1:8">
      <c r="A23" s="70"/>
      <c r="B23" s="69"/>
      <c r="C23" s="71"/>
      <c r="F23" s="20"/>
      <c r="G23" s="15"/>
      <c r="H23" s="20"/>
    </row>
    <row r="24" spans="1:8">
      <c r="A24" s="70"/>
      <c r="B24" s="69"/>
      <c r="C24" s="69"/>
      <c r="F24" s="20"/>
      <c r="G24" s="15"/>
      <c r="H24" s="20"/>
    </row>
    <row r="25" spans="1:8">
      <c r="A25" s="70"/>
      <c r="B25" s="69"/>
      <c r="C25" s="69"/>
      <c r="F25" s="20"/>
      <c r="G25" s="15"/>
      <c r="H25" s="20"/>
    </row>
    <row r="26" spans="1:8">
      <c r="A26" s="70"/>
      <c r="B26" s="69"/>
      <c r="C26" s="69"/>
      <c r="F26" s="20"/>
      <c r="G26" s="20"/>
      <c r="H26" s="20"/>
    </row>
    <row r="27" spans="1:8">
      <c r="A27" s="70"/>
      <c r="B27" s="69"/>
      <c r="C27" s="69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8SM9CdCITHqDKLrOJXksgW3o2/p0MFN7Azst0nXt7LK2ayHiAWDXP3oxFvxLnYMq57fM+UHwD3xY4bRES3NWmA==" saltValue="jNc5bIEHaGl4f6hn72W30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K14" sqref="K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72" t="s">
        <v>289</v>
      </c>
      <c r="B1" s="73">
        <v>46178</v>
      </c>
      <c r="C1" s="54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68" t="s">
        <v>234</v>
      </c>
      <c r="B2" s="69">
        <f>'Weekly Valuation'!O209</f>
        <v>21280346410.980003</v>
      </c>
      <c r="C2" s="54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68" t="s">
        <v>263</v>
      </c>
      <c r="B3" s="69">
        <f>'Weekly Valuation'!O247</f>
        <v>31850952331.097569</v>
      </c>
      <c r="C3" s="54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68" t="s">
        <v>292</v>
      </c>
      <c r="B4" s="69">
        <f>'Weekly Valuation'!O237</f>
        <v>148222989678.10001</v>
      </c>
      <c r="C4" s="54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68" t="s">
        <v>203</v>
      </c>
      <c r="B5" s="71">
        <f>'Weekly Valuation'!O203</f>
        <v>157794604666.74005</v>
      </c>
      <c r="C5" s="54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68" t="s">
        <v>17</v>
      </c>
      <c r="B6" s="69">
        <f>'Weekly Valuation'!O26</f>
        <v>261164527998.5798</v>
      </c>
      <c r="C6" s="54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68" t="s">
        <v>290</v>
      </c>
      <c r="B7" s="69">
        <f>'Weekly Valuation'!O117</f>
        <v>236159500980.94</v>
      </c>
      <c r="C7" s="54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68" t="s">
        <v>291</v>
      </c>
      <c r="B8" s="69">
        <f>'Weekly Valuation'!O170</f>
        <v>509449760962.75995</v>
      </c>
      <c r="C8" s="54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68" t="s">
        <v>164</v>
      </c>
      <c r="B9" s="74">
        <f>'Weekly Valuation'!O161</f>
        <v>1829416071688.4446</v>
      </c>
      <c r="C9" s="54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68" t="s">
        <v>53</v>
      </c>
      <c r="B10" s="74">
        <f>'Weekly Valuation'!O76</f>
        <v>5902329950916.0596</v>
      </c>
      <c r="C10" s="54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54"/>
      <c r="B11" s="54"/>
      <c r="C11" s="54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68"/>
      <c r="B12" s="75"/>
      <c r="C12" s="54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68"/>
      <c r="B13" s="54"/>
      <c r="C13" s="54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69"/>
      <c r="B14" s="69"/>
      <c r="C14" s="54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69"/>
      <c r="B15" s="69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70"/>
      <c r="B16" s="71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69"/>
      <c r="B17" s="69"/>
      <c r="C17" s="20"/>
      <c r="D17" s="2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69"/>
      <c r="B18" s="69"/>
      <c r="C18" s="20"/>
      <c r="D18" s="20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74"/>
      <c r="B19" s="69"/>
      <c r="C19" s="20"/>
      <c r="D19" s="2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74"/>
      <c r="B20" s="74"/>
      <c r="C20" s="20"/>
      <c r="D20" s="20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8"/>
      <c r="B21" s="4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7"/>
      <c r="B22" s="4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"/>
    </row>
    <row r="34" spans="1:17" ht="15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lGDhmD4hIBEf976ibkBO25UPztQnvwmkcMKfrk2x4zENTm0HB5GaWpUD3vEzBeJrIVDLSprP4kaCMK0Oimxkpw==" saltValue="KPDGZFiscdpXKDZ46z7IVg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E27" sqref="E2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46"/>
    </row>
    <row r="2" spans="1:15">
      <c r="A2" s="76" t="s">
        <v>293</v>
      </c>
      <c r="B2" s="77">
        <v>46129</v>
      </c>
      <c r="C2" s="77">
        <v>46136</v>
      </c>
      <c r="D2" s="77">
        <v>46142</v>
      </c>
      <c r="E2" s="77">
        <v>46150</v>
      </c>
      <c r="F2" s="77">
        <v>46157</v>
      </c>
      <c r="G2" s="77">
        <v>46164</v>
      </c>
      <c r="H2" s="77">
        <v>46171</v>
      </c>
      <c r="I2" s="77">
        <v>46178</v>
      </c>
      <c r="J2" s="20"/>
      <c r="K2" s="20"/>
      <c r="L2" s="15"/>
      <c r="M2" s="15"/>
      <c r="N2" s="15"/>
      <c r="O2" s="46"/>
    </row>
    <row r="3" spans="1:15">
      <c r="A3" s="76" t="s">
        <v>294</v>
      </c>
      <c r="B3" s="78">
        <f t="shared" ref="B3:I3" si="0">B4</f>
        <v>8682.1345271243354</v>
      </c>
      <c r="C3" s="78">
        <f t="shared" si="0"/>
        <v>8768.912163579158</v>
      </c>
      <c r="D3" s="78">
        <f t="shared" si="0"/>
        <v>8856.6861092070776</v>
      </c>
      <c r="E3" s="78">
        <f t="shared" si="0"/>
        <v>8864.3846705940268</v>
      </c>
      <c r="F3" s="78">
        <f t="shared" si="0"/>
        <v>8907.3133261368821</v>
      </c>
      <c r="G3" s="78">
        <f t="shared" si="0"/>
        <v>8965.7623097914948</v>
      </c>
      <c r="H3" s="78">
        <f t="shared" si="0"/>
        <v>9049.9620598490692</v>
      </c>
      <c r="I3" s="78">
        <f t="shared" si="0"/>
        <v>9097.6687056337014</v>
      </c>
      <c r="J3" s="20"/>
      <c r="K3" s="20"/>
      <c r="L3" s="15"/>
      <c r="M3" s="15"/>
      <c r="N3" s="15"/>
      <c r="O3" s="46"/>
    </row>
    <row r="4" spans="1:15">
      <c r="A4" s="20"/>
      <c r="B4" s="79">
        <f>'NAV Trend'!C11/1000000000</f>
        <v>8682.1345271243354</v>
      </c>
      <c r="C4" s="79">
        <f>'NAV Trend'!D11/1000000000</f>
        <v>8768.912163579158</v>
      </c>
      <c r="D4" s="79">
        <f>'NAV Trend'!E11/1000000000</f>
        <v>8856.6861092070776</v>
      </c>
      <c r="E4" s="79">
        <f>'NAV Trend'!F11/1000000000</f>
        <v>8864.3846705940268</v>
      </c>
      <c r="F4" s="79">
        <f>'NAV Trend'!G11/1000000000</f>
        <v>8907.3133261368821</v>
      </c>
      <c r="G4" s="79">
        <f>'NAV Trend'!H11/1000000000</f>
        <v>8965.7623097914948</v>
      </c>
      <c r="H4" s="80">
        <f>'NAV Trend'!I11/1000000000</f>
        <v>9049.9620598490692</v>
      </c>
      <c r="I4" s="80">
        <f>'NAV Trend'!J11/1000000000</f>
        <v>9097.6687056337014</v>
      </c>
      <c r="J4" s="20"/>
      <c r="K4" s="20"/>
      <c r="L4" s="15"/>
      <c r="M4" s="15"/>
      <c r="N4" s="15"/>
      <c r="O4" s="46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46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46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46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46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6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6"/>
      <c r="O10" s="46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6"/>
      <c r="O11" s="46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6"/>
      <c r="O12" s="46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6"/>
      <c r="O13" s="46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6"/>
      <c r="O14" s="46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6"/>
      <c r="O15" s="46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6"/>
      <c r="N16" s="46"/>
      <c r="O16" s="46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6"/>
      <c r="N17" s="46"/>
      <c r="O17" s="46"/>
    </row>
    <row r="18" spans="1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sheetProtection algorithmName="SHA-512" hashValue="rEOtmTKZXpwyarJESdEgaUGfn+Suvr/1DZqr2l15LBd+NzqB77gcwZctYS57YfnbfKyn4bLpDr+i/6EdOTNn4A==" saltValue="tDJZMBInD/yWJs7ouV+Bd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D9" sqref="D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20"/>
      <c r="O1" s="20"/>
      <c r="P1" s="44"/>
    </row>
    <row r="2" spans="1:16">
      <c r="A2" s="76" t="s">
        <v>293</v>
      </c>
      <c r="B2" s="77">
        <v>46129</v>
      </c>
      <c r="C2" s="77">
        <v>46136</v>
      </c>
      <c r="D2" s="77">
        <v>46142</v>
      </c>
      <c r="E2" s="77">
        <v>46150</v>
      </c>
      <c r="F2" s="77">
        <v>46157</v>
      </c>
      <c r="G2" s="77">
        <v>46164</v>
      </c>
      <c r="H2" s="77">
        <v>46171</v>
      </c>
      <c r="I2" s="77">
        <v>46178</v>
      </c>
      <c r="J2" s="20"/>
      <c r="K2" s="15"/>
      <c r="L2" s="15"/>
      <c r="M2" s="15"/>
      <c r="N2" s="20"/>
      <c r="O2" s="20"/>
      <c r="P2" s="44"/>
    </row>
    <row r="3" spans="1:16">
      <c r="A3" s="76" t="s">
        <v>295</v>
      </c>
      <c r="B3" s="78">
        <f t="shared" ref="B3:I3" si="0">B4</f>
        <v>27.644948093229999</v>
      </c>
      <c r="C3" s="78">
        <f t="shared" si="0"/>
        <v>28.90522929934</v>
      </c>
      <c r="D3" s="78">
        <f t="shared" si="0"/>
        <v>30.630921333499995</v>
      </c>
      <c r="E3" s="78">
        <f t="shared" si="0"/>
        <v>30.807819494499999</v>
      </c>
      <c r="F3" s="78">
        <f t="shared" si="0"/>
        <v>31.798755539750001</v>
      </c>
      <c r="G3" s="78">
        <f t="shared" si="0"/>
        <v>31.648596766119997</v>
      </c>
      <c r="H3" s="78">
        <f t="shared" si="0"/>
        <v>31.957060014499998</v>
      </c>
      <c r="I3" s="78">
        <f t="shared" si="0"/>
        <v>31.023458333940003</v>
      </c>
      <c r="J3" s="20"/>
      <c r="K3" s="15"/>
      <c r="L3" s="15"/>
      <c r="M3" s="15"/>
      <c r="N3" s="20"/>
      <c r="O3" s="20"/>
      <c r="P3" s="44"/>
    </row>
    <row r="4" spans="1:16">
      <c r="A4" s="20"/>
      <c r="B4" s="79">
        <f>'NAV Trend'!C17/1000000000</f>
        <v>27.644948093229999</v>
      </c>
      <c r="C4" s="79">
        <f>'NAV Trend'!D17/1000000000</f>
        <v>28.90522929934</v>
      </c>
      <c r="D4" s="79">
        <f>'NAV Trend'!E17/1000000000</f>
        <v>30.630921333499995</v>
      </c>
      <c r="E4" s="79">
        <f>'NAV Trend'!F17/1000000000</f>
        <v>30.807819494499999</v>
      </c>
      <c r="F4" s="79">
        <f>'NAV Trend'!G17/1000000000</f>
        <v>31.798755539750001</v>
      </c>
      <c r="G4" s="79">
        <f>'NAV Trend'!H17/1000000000</f>
        <v>31.648596766119997</v>
      </c>
      <c r="H4" s="79">
        <f>'NAV Trend'!I17/1000000000</f>
        <v>31.957060014499998</v>
      </c>
      <c r="I4" s="80">
        <f>'NAV Trend'!J17/1000000000</f>
        <v>31.023458333940003</v>
      </c>
      <c r="J4" s="20"/>
      <c r="K4" s="15"/>
      <c r="L4" s="15"/>
      <c r="M4" s="15"/>
      <c r="N4" s="20"/>
      <c r="O4" s="20"/>
      <c r="P4" s="44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20"/>
      <c r="O5" s="20"/>
      <c r="P5" s="44"/>
    </row>
    <row r="6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0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3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3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3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3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sheetProtection algorithmName="SHA-512" hashValue="gk38XfxQXH5nS5PUEaoqWZNBfV96tONyp71yXqDr8argJ7Eoskg8aMPTQyjtXMWqkuUKWlGiellwxrXBOAEctw==" saltValue="8tvVCJfSd3Pt+6cKmdRhX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289</v>
      </c>
      <c r="B1" s="2">
        <v>46122</v>
      </c>
      <c r="C1" s="2">
        <v>46129</v>
      </c>
      <c r="D1" s="2">
        <v>46136</v>
      </c>
      <c r="E1" s="2">
        <v>46142</v>
      </c>
      <c r="F1" s="2">
        <v>46150</v>
      </c>
      <c r="G1" s="2">
        <v>46157</v>
      </c>
      <c r="H1" s="2">
        <v>46164</v>
      </c>
      <c r="I1" s="2">
        <v>46171</v>
      </c>
      <c r="J1" s="2">
        <v>46178</v>
      </c>
    </row>
    <row r="2" spans="1:11">
      <c r="A2" s="3" t="s">
        <v>17</v>
      </c>
      <c r="B2" s="4">
        <v>183847376318.7514</v>
      </c>
      <c r="C2" s="4">
        <v>198102253974.0199</v>
      </c>
      <c r="D2" s="4">
        <v>216340303668.50018</v>
      </c>
      <c r="E2" s="4">
        <v>234656506558.00677</v>
      </c>
      <c r="F2" s="4">
        <v>246413093222.44684</v>
      </c>
      <c r="G2" s="4">
        <v>261274211009.01639</v>
      </c>
      <c r="H2" s="4">
        <v>264351575123.16064</v>
      </c>
      <c r="I2" s="4">
        <v>266819826208.66391</v>
      </c>
      <c r="J2" s="4">
        <v>261164527998.5798</v>
      </c>
    </row>
    <row r="3" spans="1:11">
      <c r="A3" s="3" t="s">
        <v>53</v>
      </c>
      <c r="B3" s="4">
        <v>5619001466443.6777</v>
      </c>
      <c r="C3" s="4">
        <v>5663646349610.5918</v>
      </c>
      <c r="D3" s="4">
        <v>5684681458968.9551</v>
      </c>
      <c r="E3" s="4">
        <v>5710644091386.6309</v>
      </c>
      <c r="F3" s="4">
        <v>5722001461776.2686</v>
      </c>
      <c r="G3" s="4">
        <v>5750770301084.7988</v>
      </c>
      <c r="H3" s="4">
        <v>5784270199757.0078</v>
      </c>
      <c r="I3" s="4">
        <v>5839627786905.6484</v>
      </c>
      <c r="J3" s="4">
        <v>5902329950916.0596</v>
      </c>
    </row>
    <row r="4" spans="1:11">
      <c r="A4" s="3" t="s">
        <v>290</v>
      </c>
      <c r="B4" s="5">
        <v>237025512543.87482</v>
      </c>
      <c r="C4" s="5">
        <v>237154042743.45844</v>
      </c>
      <c r="D4" s="5">
        <v>235706472228.2908</v>
      </c>
      <c r="E4" s="5">
        <v>235773291330.45038</v>
      </c>
      <c r="F4" s="5">
        <v>234903600186.06744</v>
      </c>
      <c r="G4" s="5">
        <v>233963293234.06</v>
      </c>
      <c r="H4" s="5">
        <v>233712243996.24088</v>
      </c>
      <c r="I4" s="5">
        <v>234954745853.45001</v>
      </c>
      <c r="J4" s="5">
        <v>236159500980.94</v>
      </c>
    </row>
    <row r="5" spans="1:11">
      <c r="A5" s="3" t="s">
        <v>164</v>
      </c>
      <c r="B5" s="4">
        <v>1821179366345.8789</v>
      </c>
      <c r="C5" s="4">
        <v>1809968636474.0674</v>
      </c>
      <c r="D5" s="4">
        <v>1845513937800.6819</v>
      </c>
      <c r="E5" s="4">
        <v>1871002753487.2156</v>
      </c>
      <c r="F5" s="4">
        <v>1849855930085.6921</v>
      </c>
      <c r="G5" s="4">
        <v>1834914569508.6284</v>
      </c>
      <c r="H5" s="4">
        <v>1850349851807.7859</v>
      </c>
      <c r="I5" s="4">
        <v>1839533501218.4192</v>
      </c>
      <c r="J5" s="4">
        <v>1829416071688.4446</v>
      </c>
    </row>
    <row r="6" spans="1:11">
      <c r="A6" s="3" t="s">
        <v>291</v>
      </c>
      <c r="B6" s="5">
        <v>504643192934.91315</v>
      </c>
      <c r="C6" s="5">
        <v>505060613754.44171</v>
      </c>
      <c r="D6" s="5">
        <v>505637897315.83008</v>
      </c>
      <c r="E6" s="5">
        <v>506711673309.49524</v>
      </c>
      <c r="F6" s="5">
        <v>507433414809.49524</v>
      </c>
      <c r="G6" s="5">
        <v>507839066699.88861</v>
      </c>
      <c r="H6" s="5">
        <v>508288025309.51001</v>
      </c>
      <c r="I6" s="5">
        <v>508142816542.39001</v>
      </c>
      <c r="J6" s="5">
        <v>509449760962.75995</v>
      </c>
    </row>
    <row r="7" spans="1:11">
      <c r="A7" s="3" t="s">
        <v>203</v>
      </c>
      <c r="B7" s="7">
        <v>125203708589.52214</v>
      </c>
      <c r="C7" s="7">
        <v>130923641116.56393</v>
      </c>
      <c r="D7" s="7">
        <v>137046282636.08223</v>
      </c>
      <c r="E7" s="7">
        <v>144449783996.67877</v>
      </c>
      <c r="F7" s="7">
        <v>147596619374.13925</v>
      </c>
      <c r="G7" s="7">
        <v>153248181990.54001</v>
      </c>
      <c r="H7" s="7">
        <v>157193396976.43375</v>
      </c>
      <c r="I7" s="7">
        <v>158918035170.78</v>
      </c>
      <c r="J7" s="7">
        <v>157794604666.74005</v>
      </c>
    </row>
    <row r="8" spans="1:11">
      <c r="A8" s="3" t="s">
        <v>234</v>
      </c>
      <c r="B8" s="6">
        <v>15435732579.870001</v>
      </c>
      <c r="C8" s="6">
        <v>16713684212.59</v>
      </c>
      <c r="D8" s="6">
        <v>18040731810.32</v>
      </c>
      <c r="E8" s="6">
        <v>19513541737.860001</v>
      </c>
      <c r="F8" s="6">
        <v>19560945940.800003</v>
      </c>
      <c r="G8" s="6">
        <v>21319511673.420002</v>
      </c>
      <c r="H8" s="6">
        <v>21546894877.009998</v>
      </c>
      <c r="I8" s="6">
        <v>21792643850.099998</v>
      </c>
      <c r="J8" s="6">
        <v>21280346410.980003</v>
      </c>
    </row>
    <row r="9" spans="1:11">
      <c r="A9" s="3" t="s">
        <v>292</v>
      </c>
      <c r="B9" s="6">
        <v>117111274808.80344</v>
      </c>
      <c r="C9" s="6">
        <v>120565305238.60492</v>
      </c>
      <c r="D9" s="6">
        <v>125945079150.49832</v>
      </c>
      <c r="E9" s="6">
        <v>133934467400.73964</v>
      </c>
      <c r="F9" s="6">
        <v>136619605199.11766</v>
      </c>
      <c r="G9" s="6">
        <v>143984190936.53003</v>
      </c>
      <c r="H9" s="6">
        <v>146050121944.34546</v>
      </c>
      <c r="I9" s="6">
        <v>148330897921.06546</v>
      </c>
      <c r="J9" s="6">
        <v>148222989678.10001</v>
      </c>
    </row>
    <row r="10" spans="1:11">
      <c r="A10" s="3" t="s">
        <v>263</v>
      </c>
      <c r="B10" s="6">
        <v>31390655001.210625</v>
      </c>
      <c r="C10" s="6">
        <v>31487849239.809494</v>
      </c>
      <c r="D10" s="6">
        <v>31632969925.556732</v>
      </c>
      <c r="E10" s="6">
        <v>31899721332.017464</v>
      </c>
      <c r="F10" s="6">
        <v>32017546923.681477</v>
      </c>
      <c r="G10" s="6">
        <v>31347647935.149067</v>
      </c>
      <c r="H10" s="6">
        <v>31785576256.807602</v>
      </c>
      <c r="I10" s="6">
        <v>31841806178.550476</v>
      </c>
      <c r="J10" s="6">
        <v>31850952331.097569</v>
      </c>
    </row>
    <row r="11" spans="1:11" ht="15.6">
      <c r="A11" s="8" t="s">
        <v>296</v>
      </c>
      <c r="B11" s="9">
        <f t="shared" ref="B11:H11" si="0">SUM(B2:B9)</f>
        <v>8623447630565.292</v>
      </c>
      <c r="C11" s="9">
        <f t="shared" si="0"/>
        <v>8682134527124.3359</v>
      </c>
      <c r="D11" s="9">
        <f t="shared" si="0"/>
        <v>8768912163579.1582</v>
      </c>
      <c r="E11" s="9">
        <f t="shared" si="0"/>
        <v>8856686109207.0781</v>
      </c>
      <c r="F11" s="9">
        <f t="shared" si="0"/>
        <v>8864384670594.0273</v>
      </c>
      <c r="G11" s="9">
        <f t="shared" si="0"/>
        <v>8907313326136.8828</v>
      </c>
      <c r="H11" s="9">
        <f t="shared" si="0"/>
        <v>8965762309791.4941</v>
      </c>
      <c r="I11" s="9">
        <f>SUM(I2:I10)</f>
        <v>9049962059849.0684</v>
      </c>
      <c r="J11" s="9">
        <f>SUM(J2:J10)</f>
        <v>9097668705633.7012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297</v>
      </c>
      <c r="B13" s="42" t="s">
        <v>298</v>
      </c>
      <c r="C13" s="13">
        <f>(B11+C11)/2</f>
        <v>8652791078844.8145</v>
      </c>
      <c r="D13" s="14">
        <f t="shared" ref="D13:J13" si="1">(C11+D11)/2</f>
        <v>8725523345351.7471</v>
      </c>
      <c r="E13" s="14">
        <f t="shared" si="1"/>
        <v>8812799136393.1172</v>
      </c>
      <c r="F13" s="14">
        <f t="shared" si="1"/>
        <v>8860535389900.5527</v>
      </c>
      <c r="G13" s="14">
        <f t="shared" si="1"/>
        <v>8885848998365.4551</v>
      </c>
      <c r="H13" s="14">
        <f t="shared" si="1"/>
        <v>8936537817964.1875</v>
      </c>
      <c r="I13" s="14">
        <f t="shared" si="1"/>
        <v>9007862184820.2813</v>
      </c>
      <c r="J13" s="14">
        <f t="shared" si="1"/>
        <v>9073815382741.3848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46122</v>
      </c>
      <c r="C16" s="2">
        <v>46129</v>
      </c>
      <c r="D16" s="2">
        <v>46136</v>
      </c>
      <c r="E16" s="2">
        <v>46142</v>
      </c>
      <c r="F16" s="2">
        <v>46150</v>
      </c>
      <c r="G16" s="2">
        <v>46157</v>
      </c>
      <c r="H16" s="2">
        <v>46164</v>
      </c>
      <c r="I16" s="2">
        <v>46171</v>
      </c>
      <c r="J16" s="2">
        <v>46178</v>
      </c>
      <c r="K16" s="15"/>
    </row>
    <row r="17" spans="1:11">
      <c r="A17" s="16" t="s">
        <v>299</v>
      </c>
      <c r="B17" s="17">
        <v>25247393537.559998</v>
      </c>
      <c r="C17" s="17">
        <v>27644948093.23</v>
      </c>
      <c r="D17" s="17">
        <v>28905229299.34</v>
      </c>
      <c r="E17" s="17">
        <v>30630921333.499996</v>
      </c>
      <c r="F17" s="17">
        <v>30807819494.5</v>
      </c>
      <c r="G17" s="17">
        <v>31798755539.75</v>
      </c>
      <c r="H17" s="17">
        <v>31648596766.119999</v>
      </c>
      <c r="I17" s="17">
        <v>31957060014.499996</v>
      </c>
      <c r="J17" s="17">
        <v>31023458333.940002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LjtQLaEJfvRI9a9PoeJ0WVxwxEmHwBAKHuQQkho9myScNIEczJ7UURxIogS+7Oy7rG+AFJvtm6EGo5tNDB2W1w==" saltValue="8IDpTD75Rrhp+L/kcPwMm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2026-06-14T21:03:58Z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