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3216" yWindow="3216" windowWidth="19200" windowHeight="9972" tabRatio="601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</workbook>
</file>

<file path=xl/calcChain.xml><?xml version="1.0" encoding="utf-8"?>
<calcChain xmlns="http://schemas.openxmlformats.org/spreadsheetml/2006/main">
  <c r="T129" i="1" l="1"/>
  <c r="R129" i="1"/>
  <c r="J129" i="1"/>
  <c r="H129" i="1"/>
  <c r="T125" i="1" l="1"/>
  <c r="R125" i="1"/>
  <c r="O125" i="1"/>
  <c r="O160" i="1" l="1"/>
  <c r="T142" i="1"/>
  <c r="R142" i="1"/>
  <c r="O142" i="1"/>
  <c r="O156" i="1"/>
  <c r="R156" i="1"/>
  <c r="T156" i="1"/>
  <c r="T128" i="1"/>
  <c r="R128" i="1"/>
  <c r="O128" i="1"/>
  <c r="T141" i="1"/>
  <c r="R141" i="1"/>
  <c r="O141" i="1"/>
  <c r="O153" i="1"/>
  <c r="T154" i="1"/>
  <c r="O154" i="1"/>
  <c r="O144" i="1"/>
  <c r="R144" i="1"/>
  <c r="T144" i="1"/>
  <c r="O143" i="1"/>
  <c r="T143" i="1"/>
  <c r="R143" i="1"/>
  <c r="T127" i="1"/>
  <c r="R127" i="1"/>
  <c r="O127" i="1"/>
  <c r="T137" i="1"/>
  <c r="R137" i="1"/>
  <c r="O137" i="1"/>
  <c r="T157" i="1"/>
  <c r="R157" i="1"/>
  <c r="O157" i="1"/>
  <c r="T138" i="1"/>
  <c r="R138" i="1"/>
  <c r="O138" i="1"/>
  <c r="O150" i="1"/>
  <c r="T151" i="1"/>
  <c r="R151" i="1"/>
  <c r="O151" i="1"/>
  <c r="T246" i="1"/>
  <c r="R246" i="1"/>
  <c r="O246" i="1"/>
  <c r="R149" i="1"/>
  <c r="T149" i="1"/>
  <c r="O148" i="1"/>
  <c r="O121" i="1"/>
  <c r="R121" i="1"/>
  <c r="T121" i="1"/>
  <c r="R126" i="1"/>
  <c r="O126" i="1"/>
  <c r="O159" i="1"/>
  <c r="T122" i="1"/>
  <c r="R122" i="1"/>
  <c r="O122" i="1"/>
  <c r="T135" i="1"/>
  <c r="O135" i="1"/>
  <c r="R146" i="1"/>
  <c r="T146" i="1"/>
  <c r="O146" i="1"/>
  <c r="T136" i="1"/>
  <c r="R136" i="1"/>
  <c r="O136" i="1"/>
  <c r="T133" i="1"/>
  <c r="R133" i="1"/>
  <c r="O133" i="1"/>
  <c r="O241" i="1"/>
  <c r="T241" i="1"/>
  <c r="R241" i="1"/>
  <c r="T124" i="1"/>
  <c r="R124" i="1"/>
  <c r="T123" i="1"/>
  <c r="R123" i="1"/>
  <c r="O123" i="1"/>
  <c r="T155" i="1"/>
  <c r="R155" i="1"/>
  <c r="O155" i="1"/>
  <c r="O132" i="1"/>
  <c r="T134" i="1"/>
  <c r="O134" i="1"/>
  <c r="R135" i="1"/>
  <c r="R154" i="1" l="1"/>
  <c r="T148" i="1" l="1"/>
  <c r="R148" i="1"/>
  <c r="T126" i="1" l="1"/>
  <c r="T160" i="1" l="1"/>
  <c r="R160" i="1"/>
  <c r="R153" i="1"/>
  <c r="T153" i="1"/>
  <c r="T152" i="1" l="1"/>
  <c r="R152" i="1"/>
  <c r="O247" i="1" l="1"/>
  <c r="O124" i="1" l="1"/>
  <c r="X158" i="1" l="1"/>
  <c r="X157" i="1"/>
  <c r="T159" i="1" l="1"/>
  <c r="R159" i="1"/>
  <c r="N152" i="1"/>
  <c r="T150" i="1"/>
  <c r="R150" i="1"/>
  <c r="N149" i="1"/>
  <c r="S147" i="1"/>
  <c r="Q147" i="1"/>
  <c r="N147" i="1"/>
  <c r="R134" i="1"/>
  <c r="T132" i="1"/>
  <c r="R132" i="1"/>
  <c r="D161" i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2" i="1"/>
  <c r="AA192" i="1"/>
  <c r="Z192" i="1"/>
  <c r="Y192" i="1"/>
  <c r="X192" i="1"/>
  <c r="AB59" i="1" l="1"/>
  <c r="AA59" i="1"/>
  <c r="Z59" i="1"/>
  <c r="Y59" i="1"/>
  <c r="X59" i="1"/>
  <c r="O203" i="1" l="1"/>
  <c r="P176" i="1" s="1"/>
  <c r="P192" i="1" l="1"/>
  <c r="P190" i="1"/>
  <c r="B5" i="3"/>
  <c r="X261" i="1" l="1"/>
  <c r="X180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142" i="1"/>
  <c r="X33" i="1" l="1"/>
  <c r="Y33" i="1"/>
  <c r="Z33" i="1"/>
  <c r="AA33" i="1"/>
  <c r="AB33" i="1"/>
  <c r="O161" i="1" l="1"/>
  <c r="P135" i="1" s="1"/>
  <c r="P131" i="1" l="1"/>
  <c r="P142" i="1"/>
  <c r="P132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8" i="1" l="1"/>
  <c r="Y85" i="1" l="1"/>
  <c r="I11" i="4" l="1"/>
  <c r="P233" i="1" l="1"/>
  <c r="X233" i="1"/>
  <c r="J11" i="4" l="1"/>
  <c r="P173" i="1"/>
  <c r="P183" i="1" l="1"/>
  <c r="P191" i="1"/>
  <c r="Y220" i="1"/>
  <c r="Y168" i="1"/>
  <c r="X37" i="1" l="1"/>
  <c r="AB24" i="1"/>
  <c r="AA24" i="1"/>
  <c r="Z24" i="1"/>
  <c r="Y24" i="1"/>
  <c r="X24" i="1"/>
  <c r="P207" i="1" l="1"/>
  <c r="P234" i="1" l="1"/>
  <c r="AB196" i="1" l="1"/>
  <c r="AA196" i="1"/>
  <c r="Z196" i="1"/>
  <c r="Y196" i="1"/>
  <c r="X196" i="1"/>
  <c r="X148" i="1" l="1"/>
  <c r="Y136" i="1"/>
  <c r="Y131" i="1"/>
  <c r="Y130" i="1"/>
  <c r="Y243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4" i="1"/>
  <c r="AA244" i="1"/>
  <c r="Z244" i="1"/>
  <c r="Y244" i="1"/>
  <c r="X244" i="1"/>
  <c r="AB243" i="1"/>
  <c r="AA243" i="1"/>
  <c r="Z243" i="1"/>
  <c r="X243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AB202" i="1"/>
  <c r="AA202" i="1"/>
  <c r="Z202" i="1"/>
  <c r="Y202" i="1"/>
  <c r="X202" i="1"/>
  <c r="AB201" i="1"/>
  <c r="AA201" i="1"/>
  <c r="Z201" i="1"/>
  <c r="Y201" i="1"/>
  <c r="X201" i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X198" i="1"/>
  <c r="AB197" i="1"/>
  <c r="AA197" i="1"/>
  <c r="Z197" i="1"/>
  <c r="Y197" i="1"/>
  <c r="X197" i="1"/>
  <c r="AB195" i="1"/>
  <c r="AA195" i="1"/>
  <c r="Z195" i="1"/>
  <c r="Y195" i="1"/>
  <c r="X195" i="1"/>
  <c r="AB194" i="1"/>
  <c r="AA194" i="1"/>
  <c r="Z194" i="1"/>
  <c r="Y194" i="1"/>
  <c r="X194" i="1"/>
  <c r="AB193" i="1"/>
  <c r="AA193" i="1"/>
  <c r="Z193" i="1"/>
  <c r="Y193" i="1"/>
  <c r="X193" i="1"/>
  <c r="AB191" i="1"/>
  <c r="AA191" i="1"/>
  <c r="Z191" i="1"/>
  <c r="Y191" i="1"/>
  <c r="X191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AB179" i="1"/>
  <c r="AA179" i="1"/>
  <c r="Z179" i="1"/>
  <c r="Y179" i="1"/>
  <c r="X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4" i="1"/>
  <c r="AA134" i="1"/>
  <c r="Z134" i="1"/>
  <c r="Y134" i="1"/>
  <c r="X134" i="1"/>
  <c r="AB133" i="1"/>
  <c r="AA133" i="1"/>
  <c r="Z133" i="1"/>
  <c r="Y133" i="1"/>
  <c r="X133" i="1"/>
  <c r="AB132" i="1"/>
  <c r="AA132" i="1"/>
  <c r="Z132" i="1"/>
  <c r="Y132" i="1"/>
  <c r="AB131" i="1"/>
  <c r="AA131" i="1"/>
  <c r="Z131" i="1"/>
  <c r="AB130" i="1"/>
  <c r="AA130" i="1"/>
  <c r="Z130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X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5" i="1"/>
  <c r="AA95" i="1"/>
  <c r="Z95" i="1"/>
  <c r="Y95" i="1"/>
  <c r="X95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7" i="1"/>
  <c r="AA47" i="1"/>
  <c r="Z47" i="1"/>
  <c r="Y47" i="1"/>
  <c r="X47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3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2" i="1"/>
  <c r="AA12" i="1"/>
  <c r="Z12" i="1"/>
  <c r="Y12" i="1"/>
  <c r="X12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2" i="1"/>
  <c r="P103" i="1"/>
  <c r="P115" i="1"/>
  <c r="B4" i="3"/>
  <c r="P228" i="1"/>
  <c r="P266" i="1"/>
  <c r="P261" i="1"/>
  <c r="P166" i="1"/>
  <c r="B8" i="3"/>
  <c r="P86" i="1"/>
  <c r="B7" i="3"/>
  <c r="F59" i="1"/>
  <c r="P59" i="1"/>
  <c r="P48" i="1"/>
  <c r="P74" i="1"/>
  <c r="P88" i="1"/>
  <c r="P99" i="1"/>
  <c r="P72" i="1"/>
  <c r="P223" i="1"/>
  <c r="P41" i="1"/>
  <c r="P73" i="1"/>
  <c r="P49" i="1"/>
  <c r="F31" i="1"/>
  <c r="P31" i="1"/>
  <c r="B16" i="2"/>
  <c r="B6" i="2" s="1"/>
  <c r="F142" i="1"/>
  <c r="P33" i="1"/>
  <c r="P98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2" i="1"/>
  <c r="P24" i="1"/>
  <c r="F7" i="1"/>
  <c r="F11" i="1"/>
  <c r="F15" i="1"/>
  <c r="P30" i="1"/>
  <c r="F103" i="1"/>
  <c r="P220" i="1"/>
  <c r="F115" i="1"/>
  <c r="F21" i="1"/>
  <c r="F19" i="1"/>
  <c r="Z203" i="1"/>
  <c r="F17" i="1"/>
  <c r="F102" i="1"/>
  <c r="F181" i="1"/>
  <c r="F179" i="1"/>
  <c r="F177" i="1"/>
  <c r="F175" i="1"/>
  <c r="P168" i="1"/>
  <c r="P196" i="1"/>
  <c r="P185" i="1"/>
  <c r="P47" i="1"/>
  <c r="F250" i="1"/>
  <c r="F98" i="1"/>
  <c r="F100" i="1"/>
  <c r="F96" i="1"/>
  <c r="F80" i="1"/>
  <c r="F94" i="1"/>
  <c r="F92" i="1"/>
  <c r="F104" i="1"/>
  <c r="B18" i="2"/>
  <c r="B8" i="2" s="1"/>
  <c r="F196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3" i="1"/>
  <c r="Z209" i="1"/>
  <c r="F233" i="1"/>
  <c r="F208" i="1"/>
  <c r="F183" i="1"/>
  <c r="F168" i="1"/>
  <c r="F23" i="1"/>
  <c r="D13" i="4"/>
  <c r="Z237" i="1"/>
  <c r="P89" i="1"/>
  <c r="F54" i="1"/>
  <c r="P55" i="1"/>
  <c r="F56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1" i="1"/>
  <c r="F199" i="1"/>
  <c r="F197" i="1"/>
  <c r="F194" i="1"/>
  <c r="F191" i="1"/>
  <c r="F174" i="1"/>
  <c r="F176" i="1"/>
  <c r="F189" i="1"/>
  <c r="F187" i="1"/>
  <c r="F185" i="1"/>
  <c r="Z170" i="1"/>
  <c r="Z161" i="1"/>
  <c r="F133" i="1"/>
  <c r="F150" i="1"/>
  <c r="F152" i="1"/>
  <c r="F121" i="1"/>
  <c r="F123" i="1"/>
  <c r="F131" i="1"/>
  <c r="F129" i="1"/>
  <c r="F138" i="1"/>
  <c r="F156" i="1"/>
  <c r="F125" i="1"/>
  <c r="F143" i="1"/>
  <c r="F145" i="1"/>
  <c r="F147" i="1"/>
  <c r="F158" i="1"/>
  <c r="F149" i="1"/>
  <c r="F132" i="1"/>
  <c r="F151" i="1"/>
  <c r="F160" i="1"/>
  <c r="F122" i="1"/>
  <c r="F134" i="1"/>
  <c r="F153" i="1"/>
  <c r="F124" i="1"/>
  <c r="F128" i="1"/>
  <c r="F130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5" i="1"/>
  <c r="F97" i="1"/>
  <c r="F99" i="1"/>
  <c r="F101" i="1"/>
  <c r="Z76" i="1"/>
  <c r="F6" i="1"/>
  <c r="F8" i="1"/>
  <c r="F10" i="1"/>
  <c r="F12" i="1"/>
  <c r="F14" i="1"/>
  <c r="F16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7" i="1"/>
  <c r="P108" i="1"/>
  <c r="P79" i="1"/>
  <c r="P85" i="1"/>
  <c r="P93" i="1"/>
  <c r="P101" i="1"/>
  <c r="P105" i="1"/>
  <c r="P112" i="1"/>
  <c r="P83" i="1"/>
  <c r="P87" i="1"/>
  <c r="P91" i="1"/>
  <c r="P95" i="1"/>
  <c r="P110" i="1"/>
  <c r="P114" i="1"/>
  <c r="P179" i="1"/>
  <c r="P180" i="1"/>
  <c r="P184" i="1"/>
  <c r="P187" i="1"/>
  <c r="P188" i="1"/>
  <c r="P193" i="1"/>
  <c r="P197" i="1"/>
  <c r="P198" i="1"/>
  <c r="P201" i="1"/>
  <c r="P202" i="1"/>
  <c r="P174" i="1"/>
  <c r="P258" i="1"/>
  <c r="P262" i="1"/>
  <c r="P256" i="1"/>
  <c r="P260" i="1"/>
  <c r="P264" i="1"/>
  <c r="P255" i="1"/>
  <c r="P257" i="1"/>
  <c r="P259" i="1"/>
  <c r="P263" i="1"/>
  <c r="P265" i="1"/>
  <c r="P53" i="1"/>
  <c r="P175" i="1"/>
  <c r="P177" i="1"/>
  <c r="P178" i="1"/>
  <c r="P181" i="1"/>
  <c r="P182" i="1"/>
  <c r="P186" i="1"/>
  <c r="P189" i="1"/>
  <c r="P194" i="1"/>
  <c r="P195" i="1"/>
  <c r="P199" i="1"/>
  <c r="P200" i="1"/>
  <c r="F29" i="1"/>
  <c r="F32" i="1"/>
  <c r="F35" i="1"/>
  <c r="P36" i="1"/>
  <c r="P6" i="1"/>
  <c r="P14" i="1"/>
  <c r="P8" i="1"/>
  <c r="P16" i="1"/>
  <c r="P7" i="1"/>
  <c r="P9" i="1"/>
  <c r="P11" i="1"/>
  <c r="P13" i="1"/>
  <c r="P15" i="1"/>
  <c r="P19" i="1"/>
  <c r="P17" i="1"/>
  <c r="P21" i="1"/>
  <c r="P80" i="1"/>
  <c r="F83" i="1"/>
  <c r="P84" i="1"/>
  <c r="P90" i="1"/>
  <c r="P92" i="1"/>
  <c r="P94" i="1"/>
  <c r="P96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8" i="1"/>
  <c r="F50" i="1"/>
  <c r="P51" i="1"/>
  <c r="F52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7" i="1"/>
  <c r="F49" i="1"/>
  <c r="P50" i="1"/>
  <c r="F51" i="1"/>
  <c r="P52" i="1"/>
  <c r="P54" i="1"/>
  <c r="F55" i="1"/>
  <c r="P56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2" i="1"/>
  <c r="X123" i="1"/>
  <c r="X130" i="1"/>
  <c r="X131" i="1"/>
  <c r="X132" i="1"/>
  <c r="C17" i="2"/>
  <c r="C7" i="2" s="1"/>
  <c r="X170" i="1"/>
  <c r="P169" i="1"/>
  <c r="P167" i="1"/>
  <c r="P165" i="1"/>
  <c r="P164" i="1"/>
  <c r="P244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8" i="1"/>
  <c r="F180" i="1"/>
  <c r="F182" i="1"/>
  <c r="F184" i="1"/>
  <c r="F186" i="1"/>
  <c r="F188" i="1"/>
  <c r="F190" i="1"/>
  <c r="F193" i="1"/>
  <c r="F195" i="1"/>
  <c r="F198" i="1"/>
  <c r="F200" i="1"/>
  <c r="F202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3" i="1"/>
  <c r="F244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4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0" i="1"/>
  <c r="P147" i="1"/>
  <c r="P124" i="1"/>
  <c r="P126" i="1"/>
  <c r="P133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<sst xmlns="http://schemas.openxmlformats.org/spreadsheetml/2006/main" count="1669" uniqueCount="347">
  <si>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</si>
  <si>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</si>
  <si>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</si>
  <si>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</si>
  <si>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</si>
  <si>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</si>
  <si>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</si>
  <si>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</si>
  <si>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</si>
  <si>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</si>
  <si>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</si>
  <si>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</si>
  <si>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</si>
  <si>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</si>
  <si>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</si>
  <si>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</si>
  <si>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</si>
  <si>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</si>
  <si>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</si>
  <si>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</si>
  <si>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</si>
  <si>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</si>
  <si>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</si>
  <si>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</si>
  <si>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</si>
  <si>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</si>
  <si>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</si>
  <si>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</si>
  <si>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</si>
  <si>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</si>
  <si>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</si>
  <si>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</si>
  <si>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</si>
  <si>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</si>
  <si>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</si>
  <si>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</si>
  <si>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</si>
  <si>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</si>
  <si>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</si>
  <si>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</si>
  <si>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</si>
  <si>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</si>
  <si>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</si>
  <si>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</si>
  <si>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</si>
  <si>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</si>
  <si>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</si>
  <si>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</si>
  <si>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</si>
  <si>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</si>
  <si>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</si>
  <si>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</si>
  <si>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</si>
  <si>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</si>
  <si>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</si>
  <si>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</si>
  <si>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</si>
  <si>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</si>
  <si>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</si>
  <si>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</si>
  <si>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</si>
  <si>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</si>
  <si>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</si>
  <si>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</si>
  <si>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</si>
  <si>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</si>
  <si>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</si>
  <si>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</si>
  <si>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</si>
  <si>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</si>
  <si>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</si>
  <si>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</si>
  <si>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</si>
  <si>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</si>
  <si>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</si>
  <si>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</si>
  <si>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</si>
  <si>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</si>
  <si>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</si>
  <si>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</si>
  <si>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</si>
  <si>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</si>
  <si>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</si>
  <si>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</si>
  <si>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</si>
  <si>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</si>
  <si>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</si>
  <si>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</si>
  <si>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</si>
  <si>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</si>
  <si>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</si>
  <si>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</si>
  <si>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</si>
  <si>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</si>
  <si>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</si>
  <si>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</si>
  <si>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</si>
  <si>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</si>
  <si>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</si>
  <si>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</si>
  <si>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</si>
  <si>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</si>
  <si>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</si>
  <si>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</si>
  <si>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</si>
  <si>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</si>
  <si>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</si>
  <si>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</si>
  <si>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</si>
  <si>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</si>
  <si>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</si>
  <si>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</si>
  <si>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</si>
  <si>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</si>
  <si>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</si>
  <si>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</si>
  <si>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</si>
  <si>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</si>
  <si>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</si>
  <si>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</si>
  <si>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</si>
  <si>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</si>
  <si>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</si>
  <si>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</si>
  <si>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</si>
  <si>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</si>
  <si>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</si>
  <si>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</si>
  <si>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</si>
  <si>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</si>
  <si>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</si>
  <si>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</si>
  <si>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</si>
  <si>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</si>
  <si>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</si>
  <si>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</si>
  <si>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</si>
  <si>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</si>
  <si>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</si>
  <si>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</si>
  <si>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</si>
  <si>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</si>
  <si>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</si>
  <si>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</si>
  <si>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</si>
  <si>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</si>
  <si>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</si>
  <si>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</si>
  <si>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</si>
  <si>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</si>
  <si>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</si>
  <si>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</si>
  <si>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</si>
  <si>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</si>
  <si>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</si>
  <si>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</si>
  <si>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</si>
  <si>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</si>
  <si>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</si>
  <si>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</si>
  <si>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</si>
  <si>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</si>
  <si>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</si>
  <si>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</si>
  <si>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</si>
  <si>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</si>
  <si>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</si>
  <si>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</si>
  <si>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</si>
  <si>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</si>
  <si>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</si>
  <si>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</si>
  <si>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</si>
  <si>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</si>
  <si>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</si>
  <si>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</si>
  <si>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</si>
  <si>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</si>
  <si>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</si>
  <si>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</si>
  <si>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</si>
  <si>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</si>
  <si>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</si>
  <si>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</si>
  <si>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</si>
  <si>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</si>
  <si>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</si>
  <si>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</si>
  <si>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</si>
  <si>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</si>
  <si>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</si>
  <si>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</si>
  <si>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</si>
  <si>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</si>
  <si>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</si>
  <si>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</si>
  <si>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</si>
  <si>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</si>
  <si>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</si>
  <si>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</si>
  <si>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</si>
  <si>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</si>
  <si>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</si>
  <si>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</si>
  <si>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</si>
  <si>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</si>
  <si>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</si>
  <si>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</si>
  <si>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</si>
  <si>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</si>
  <si>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</si>
  <si>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</si>
  <si>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</si>
  <si>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</si>
  <si>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</si>
  <si>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</si>
  <si>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</si>
  <si>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</si>
  <si>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</si>
  <si>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</si>
  <si>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</si>
  <si>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</si>
  <si>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</si>
  <si>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</si>
  <si>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</si>
  <si>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</si>
  <si>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</si>
  <si>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</si>
  <si>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</si>
  <si>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</si>
  <si>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</si>
  <si>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</si>
  <si>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</si>
  <si>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</si>
  <si>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</si>
  <si>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</si>
  <si>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</si>
  <si>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</si>
  <si>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</si>
  <si>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</si>
  <si>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</si>
  <si>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</si>
  <si>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</si>
  <si>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</si>
  <si>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</si>
  <si>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</si>
  <si>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</si>
  <si>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</si>
  <si>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</si>
  <si>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</si>
  <si>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</si>
  <si>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</si>
  <si>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</si>
  <si>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</si>
  <si>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</si>
  <si>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</si>
  <si>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</si>
  <si>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</si>
  <si>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</si>
  <si>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</si>
  <si>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</si>
  <si>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</si>
  <si>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</si>
  <si>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</si>
  <si>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</si>
  <si>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</si>
  <si>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</si>
  <si>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</si>
  <si>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</si>
  <si>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</si>
  <si>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</si>
  <si>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</si>
  <si>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</si>
  <si>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</si>
  <si>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</si>
  <si>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</si>
  <si>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</si>
  <si>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</si>
  <si>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</si>
  <si>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</si>
  <si>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</si>
  <si>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</si>
  <si>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</si>
  <si>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</si>
  <si>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</si>
  <si>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</si>
  <si>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</si>
  <si>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</si>
  <si>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</si>
  <si>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</si>
  <si>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</si>
  <si>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</si>
  <si>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</si>
  <si>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</si>
  <si>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</si>
  <si>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</si>
  <si>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</si>
  <si>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</si>
  <si>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</si>
  <si>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</si>
  <si>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</si>
  <si>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</si>
  <si>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</si>
  <si>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</si>
  <si>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</si>
  <si>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</si>
  <si>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</si>
  <si>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</si>
  <si>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</si>
  <si>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</si>
  <si>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</si>
  <si>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</si>
  <si>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</si>
  <si>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</si>
  <si>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</si>
  <si>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</si>
  <si>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</si>
  <si>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</si>
  <si>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</si>
  <si>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</si>
  <si>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</si>
  <si>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</si>
  <si>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</si>
  <si>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</si>
  <si>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</si>
  <si>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</si>
  <si>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</si>
  <si>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</si>
  <si>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</si>
  <si>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</si>
  <si>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</si>
  <si>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</si>
  <si>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</si>
  <si>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NAV, Unit Price and Yield as at Week Ended May 8, 2026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</si>
  <si>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</si>
  <si>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</si>
  <si>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</si>
  <si>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</si>
  <si>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</si>
  <si>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</si>
  <si>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</si>
  <si>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>Week Ended May 8, 2026</t>
  </si>
  <si>
    <t>WEEKLY VALUATION REPORT OF COLLECTIVE INVESTMENT SCHEMES AS AT WEEK ENDED FRIDAY, MAY 15, 2026</t>
  </si>
  <si>
    <t>NAV, Unit Price and Yield as at Week Ended May 15, 2026</t>
  </si>
  <si>
    <t>NFEM RATE NG₦/US$ as at 15th May, 2026 = N1371.0391</t>
  </si>
  <si>
    <t xml:space="preserve"> </t>
  </si>
  <si>
    <t>Week Ended 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</si>
</sst>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sz val="8"/>
      <color rgb="FF424242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1">
    <xf numFmtId="0" fontId="0" fillId="0" borderId="0"/>
    <xf numFmtId="164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7" fillId="21" borderId="0" applyNumberFormat="0" applyBorder="0" applyAlignment="0" applyProtection="0"/>
    <xf numFmtId="0" fontId="38" fillId="0" borderId="0"/>
    <xf numFmtId="0" fontId="35" fillId="0" borderId="0"/>
    <xf numFmtId="0" fontId="35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222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43" fontId="8" fillId="0" borderId="0" xfId="0" applyNumberFormat="1" applyFont="1"/>
    <xf numFmtId="0" fontId="10" fillId="0" borderId="0" xfId="0" applyFont="1"/>
    <xf numFmtId="0" fontId="6" fillId="2" borderId="0" xfId="0" applyFont="1" applyFill="1" applyAlignment="1">
      <alignment wrapText="1"/>
    </xf>
    <xf numFmtId="10" fontId="23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0" fillId="0" borderId="0" xfId="1" applyFont="1"/>
    <xf numFmtId="2" fontId="0" fillId="0" borderId="0" xfId="0" applyNumberFormat="1"/>
    <xf numFmtId="165" fontId="0" fillId="0" borderId="0" xfId="0" applyNumberFormat="1"/>
    <xf numFmtId="4" fontId="25" fillId="10" borderId="0" xfId="0" applyNumberFormat="1" applyFont="1" applyFill="1" applyAlignment="1">
      <alignment horizontal="right" vertical="center" wrapText="1"/>
    </xf>
    <xf numFmtId="166" fontId="12" fillId="0" borderId="0" xfId="1" applyNumberFormat="1" applyFont="1"/>
    <xf numFmtId="4" fontId="28" fillId="0" borderId="0" xfId="0" applyNumberFormat="1" applyFont="1"/>
    <xf numFmtId="4" fontId="19" fillId="2" borderId="1" xfId="10" applyNumberFormat="1" applyFont="1" applyFill="1" applyBorder="1" applyAlignment="1">
      <alignment horizontal="right" vertical="top" wrapText="1"/>
    </xf>
    <xf numFmtId="164" fontId="0" fillId="0" borderId="0" xfId="1" applyFont="1"/>
    <xf numFmtId="0" fontId="31" fillId="0" borderId="0" xfId="0" applyFont="1"/>
    <xf numFmtId="0" fontId="32" fillId="0" borderId="0" xfId="0" applyFont="1"/>
    <xf numFmtId="43" fontId="0" fillId="0" borderId="0" xfId="0" applyNumberFormat="1"/>
    <xf numFmtId="0" fontId="33" fillId="0" borderId="0" xfId="0" applyFont="1"/>
    <xf numFmtId="0" fontId="21" fillId="2" borderId="0" xfId="0" applyFont="1" applyFill="1" applyAlignment="1">
      <alignment wrapText="1"/>
    </xf>
    <xf numFmtId="43" fontId="33" fillId="0" borderId="0" xfId="16" applyFont="1" applyBorder="1"/>
    <xf numFmtId="2" fontId="33" fillId="0" borderId="0" xfId="0" applyNumberFormat="1" applyFont="1"/>
    <xf numFmtId="10" fontId="33" fillId="0" borderId="0" xfId="2" applyNumberFormat="1" applyFont="1" applyBorder="1"/>
    <xf numFmtId="10" fontId="34" fillId="0" borderId="0" xfId="2" applyNumberFormat="1" applyFont="1" applyBorder="1"/>
    <xf numFmtId="10" fontId="0" fillId="0" borderId="0" xfId="2" applyNumberFormat="1" applyFont="1"/>
    <xf numFmtId="43" fontId="3" fillId="4" borderId="1" xfId="0" quotePrefix="1" applyNumberFormat="1" applyFont="1" applyFill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2" fillId="0" borderId="0" xfId="0" applyFont="1"/>
    <xf numFmtId="0" fontId="43" fillId="0" borderId="0" xfId="0" applyFont="1"/>
    <xf numFmtId="0" fontId="9" fillId="0" borderId="0" xfId="0" applyFont="1" applyAlignment="1">
      <alignment horizontal="right"/>
    </xf>
    <xf numFmtId="4" fontId="5" fillId="2" borderId="0" xfId="0" applyNumberFormat="1" applyFont="1" applyFill="1" applyAlignment="1">
      <alignment horizontal="right"/>
    </xf>
    <xf numFmtId="10" fontId="23" fillId="10" borderId="0" xfId="2" applyNumberFormat="1" applyFont="1" applyFill="1" applyAlignment="1">
      <alignment horizontal="right" vertical="center" wrapText="1"/>
    </xf>
    <xf numFmtId="164" fontId="44" fillId="2" borderId="2" xfId="1" applyFont="1" applyFill="1" applyBorder="1"/>
    <xf numFmtId="10" fontId="44" fillId="2" borderId="2" xfId="2" applyNumberFormat="1" applyFont="1" applyFill="1" applyBorder="1"/>
    <xf numFmtId="164" fontId="44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0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2" fillId="2" borderId="0" xfId="1" applyFont="1" applyFill="1" applyBorder="1"/>
    <xf numFmtId="4" fontId="12" fillId="2" borderId="0" xfId="0" applyNumberFormat="1" applyFont="1" applyFill="1"/>
    <xf numFmtId="0" fontId="49" fillId="2" borderId="0" xfId="0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164" fontId="12" fillId="2" borderId="0" xfId="1" applyFont="1" applyFill="1" applyBorder="1" applyAlignment="1">
      <alignment horizontal="right" vertical="top" wrapText="1"/>
    </xf>
    <xf numFmtId="0" fontId="50" fillId="2" borderId="0" xfId="0" applyFont="1" applyFill="1" applyAlignment="1">
      <alignment horizontal="right"/>
    </xf>
    <xf numFmtId="4" fontId="51" fillId="2" borderId="0" xfId="0" applyNumberFormat="1" applyFont="1" applyFill="1"/>
    <xf numFmtId="0" fontId="50" fillId="0" borderId="0" xfId="0" applyFont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2" borderId="0" xfId="0" applyFont="1" applyFill="1" applyAlignment="1">
      <alignment horizontal="right"/>
    </xf>
    <xf numFmtId="16" fontId="50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10" fillId="2" borderId="0" xfId="1" applyFont="1" applyFill="1" applyBorder="1"/>
    <xf numFmtId="0" fontId="45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0" fontId="6" fillId="6" borderId="3" xfId="0" applyFont="1" applyFill="1" applyBorder="1"/>
    <xf numFmtId="0" fontId="14" fillId="7" borderId="3" xfId="0" applyFont="1" applyFill="1" applyBorder="1"/>
    <xf numFmtId="0" fontId="15" fillId="7" borderId="3" xfId="0" applyFont="1" applyFill="1" applyBorder="1"/>
    <xf numFmtId="4" fontId="19" fillId="2" borderId="3" xfId="0" applyNumberFormat="1" applyFont="1" applyFill="1" applyBorder="1" applyAlignment="1">
      <alignment wrapText="1"/>
    </xf>
    <xf numFmtId="0" fontId="19" fillId="2" borderId="3" xfId="0" applyFont="1" applyFill="1" applyBorder="1" applyAlignment="1">
      <alignment wrapText="1"/>
    </xf>
    <xf numFmtId="4" fontId="17" fillId="2" borderId="3" xfId="0" applyNumberFormat="1" applyFont="1" applyFill="1" applyBorder="1"/>
    <xf numFmtId="10" fontId="17" fillId="7" borderId="3" xfId="2" applyNumberFormat="1" applyFont="1" applyFill="1" applyBorder="1" applyAlignment="1">
      <alignment horizontal="center"/>
    </xf>
    <xf numFmtId="164" fontId="17" fillId="9" borderId="3" xfId="1" applyFont="1" applyFill="1" applyBorder="1" applyAlignment="1">
      <alignment horizontal="center"/>
    </xf>
    <xf numFmtId="10" fontId="17" fillId="9" borderId="3" xfId="2" applyNumberFormat="1" applyFont="1" applyFill="1" applyBorder="1" applyAlignment="1">
      <alignment horizontal="center"/>
    </xf>
    <xf numFmtId="4" fontId="19" fillId="2" borderId="3" xfId="0" applyNumberFormat="1" applyFont="1" applyFill="1" applyBorder="1"/>
    <xf numFmtId="10" fontId="19" fillId="7" borderId="3" xfId="2" applyNumberFormat="1" applyFont="1" applyFill="1" applyBorder="1" applyAlignment="1">
      <alignment horizontal="center"/>
    </xf>
    <xf numFmtId="164" fontId="19" fillId="9" borderId="3" xfId="1" applyFont="1" applyFill="1" applyBorder="1" applyAlignment="1">
      <alignment horizontal="center"/>
    </xf>
    <xf numFmtId="10" fontId="19" fillId="9" borderId="3" xfId="2" applyNumberFormat="1" applyFont="1" applyFill="1" applyBorder="1" applyAlignment="1">
      <alignment horizontal="center"/>
    </xf>
    <xf numFmtId="2" fontId="20" fillId="0" borderId="3" xfId="0" applyNumberFormat="1" applyFont="1" applyBorder="1"/>
    <xf numFmtId="164" fontId="19" fillId="2" borderId="3" xfId="1" applyFont="1" applyFill="1" applyBorder="1"/>
    <xf numFmtId="164" fontId="19" fillId="2" borderId="3" xfId="10" applyFont="1" applyFill="1" applyBorder="1"/>
    <xf numFmtId="4" fontId="17" fillId="0" borderId="3" xfId="0" applyNumberFormat="1" applyFont="1" applyBorder="1"/>
    <xf numFmtId="4" fontId="19" fillId="2" borderId="3" xfId="0" applyNumberFormat="1" applyFont="1" applyFill="1" applyBorder="1" applyAlignment="1">
      <alignment horizontal="right"/>
    </xf>
    <xf numFmtId="0" fontId="17" fillId="2" borderId="3" xfId="0" applyFont="1" applyFill="1" applyBorder="1"/>
    <xf numFmtId="0" fontId="16" fillId="2" borderId="3" xfId="0" applyFont="1" applyFill="1" applyBorder="1" applyAlignment="1">
      <alignment horizontal="right"/>
    </xf>
    <xf numFmtId="164" fontId="16" fillId="2" borderId="3" xfId="1" applyFont="1" applyFill="1" applyBorder="1" applyAlignment="1">
      <alignment horizontal="right" vertical="top" wrapText="1"/>
    </xf>
    <xf numFmtId="10" fontId="22" fillId="7" borderId="3" xfId="2" applyNumberFormat="1" applyFont="1" applyFill="1" applyBorder="1" applyAlignment="1">
      <alignment horizontal="center" vertical="top" wrapText="1"/>
    </xf>
    <xf numFmtId="10" fontId="19" fillId="2" borderId="3" xfId="2" applyNumberFormat="1" applyFont="1" applyFill="1" applyBorder="1" applyAlignment="1">
      <alignment horizontal="center" vertical="top" wrapText="1"/>
    </xf>
    <xf numFmtId="4" fontId="19" fillId="2" borderId="3" xfId="1" applyNumberFormat="1" applyFont="1" applyFill="1" applyBorder="1" applyAlignment="1">
      <alignment vertical="top" wrapText="1"/>
    </xf>
    <xf numFmtId="164" fontId="16" fillId="9" borderId="3" xfId="1" applyFont="1" applyFill="1" applyBorder="1" applyAlignment="1">
      <alignment horizontal="center"/>
    </xf>
    <xf numFmtId="10" fontId="19" fillId="9" borderId="3" xfId="2" applyNumberFormat="1" applyFont="1" applyFill="1" applyBorder="1" applyAlignment="1">
      <alignment horizontal="center" vertical="top" wrapText="1"/>
    </xf>
    <xf numFmtId="164" fontId="19" fillId="2" borderId="3" xfId="10" applyFont="1" applyFill="1" applyBorder="1" applyAlignment="1">
      <alignment horizontal="right"/>
    </xf>
    <xf numFmtId="4" fontId="19" fillId="2" borderId="3" xfId="1" applyNumberFormat="1" applyFont="1" applyFill="1" applyBorder="1" applyAlignment="1">
      <alignment horizontal="right"/>
    </xf>
    <xf numFmtId="164" fontId="19" fillId="2" borderId="3" xfId="10" applyFont="1" applyFill="1" applyBorder="1" applyAlignment="1">
      <alignment horizontal="right" wrapText="1"/>
    </xf>
    <xf numFmtId="164" fontId="19" fillId="9" borderId="3" xfId="1" applyFont="1" applyFill="1" applyBorder="1" applyAlignment="1">
      <alignment horizontal="center" wrapText="1"/>
    </xf>
    <xf numFmtId="10" fontId="19" fillId="9" borderId="3" xfId="2" applyNumberFormat="1" applyFont="1" applyFill="1" applyBorder="1" applyAlignment="1">
      <alignment horizontal="center" wrapText="1"/>
    </xf>
    <xf numFmtId="164" fontId="19" fillId="2" borderId="3" xfId="1" applyFont="1" applyFill="1" applyBorder="1" applyAlignment="1">
      <alignment horizontal="right"/>
    </xf>
    <xf numFmtId="10" fontId="19" fillId="7" borderId="3" xfId="2" applyNumberFormat="1" applyFont="1" applyFill="1" applyBorder="1" applyAlignment="1">
      <alignment horizontal="center" wrapText="1"/>
    </xf>
    <xf numFmtId="164" fontId="16" fillId="2" borderId="3" xfId="1" applyFont="1" applyFill="1" applyBorder="1" applyAlignment="1">
      <alignment horizontal="right"/>
    </xf>
    <xf numFmtId="10" fontId="19" fillId="9" borderId="3" xfId="1" applyNumberFormat="1" applyFont="1" applyFill="1" applyBorder="1" applyAlignment="1">
      <alignment horizontal="center"/>
    </xf>
    <xf numFmtId="2" fontId="19" fillId="2" borderId="3" xfId="0" applyNumberFormat="1" applyFont="1" applyFill="1" applyBorder="1"/>
    <xf numFmtId="164" fontId="19" fillId="2" borderId="3" xfId="10" applyFont="1" applyFill="1" applyBorder="1" applyAlignment="1">
      <alignment wrapText="1"/>
    </xf>
    <xf numFmtId="0" fontId="19" fillId="2" borderId="3" xfId="0" applyFont="1" applyFill="1" applyBorder="1" applyAlignment="1">
      <alignment horizontal="left" wrapText="1"/>
    </xf>
    <xf numFmtId="2" fontId="17" fillId="2" borderId="3" xfId="0" applyNumberFormat="1" applyFont="1" applyFill="1" applyBorder="1"/>
    <xf numFmtId="164" fontId="19" fillId="11" borderId="3" xfId="1" applyFont="1" applyFill="1" applyBorder="1" applyAlignment="1">
      <alignment horizontal="center"/>
    </xf>
    <xf numFmtId="10" fontId="19" fillId="11" borderId="3" xfId="2" applyNumberFormat="1" applyFont="1" applyFill="1" applyBorder="1" applyAlignment="1">
      <alignment horizontal="center"/>
    </xf>
    <xf numFmtId="164" fontId="20" fillId="0" borderId="3" xfId="1" applyFont="1" applyBorder="1"/>
    <xf numFmtId="0" fontId="16" fillId="0" borderId="3" xfId="0" applyFont="1" applyBorder="1" applyAlignment="1">
      <alignment horizontal="right"/>
    </xf>
    <xf numFmtId="4" fontId="19" fillId="9" borderId="3" xfId="1" applyNumberFormat="1" applyFont="1" applyFill="1" applyBorder="1" applyAlignment="1">
      <alignment horizontal="center"/>
    </xf>
    <xf numFmtId="4" fontId="27" fillId="0" borderId="3" xfId="0" applyNumberFormat="1" applyFont="1" applyBorder="1"/>
    <xf numFmtId="0" fontId="21" fillId="2" borderId="3" xfId="0" applyFont="1" applyFill="1" applyBorder="1"/>
    <xf numFmtId="4" fontId="19" fillId="2" borderId="3" xfId="1" applyNumberFormat="1" applyFont="1" applyFill="1" applyBorder="1" applyAlignment="1">
      <alignment horizontal="right" vertical="top" wrapText="1"/>
    </xf>
    <xf numFmtId="4" fontId="19" fillId="9" borderId="3" xfId="1" applyNumberFormat="1" applyFont="1" applyFill="1" applyBorder="1" applyAlignment="1">
      <alignment horizontal="center" vertical="top" wrapText="1"/>
    </xf>
    <xf numFmtId="164" fontId="16" fillId="2" borderId="3" xfId="1" applyFont="1" applyFill="1" applyBorder="1"/>
    <xf numFmtId="43" fontId="19" fillId="2" borderId="3" xfId="0" applyNumberFormat="1" applyFont="1" applyFill="1" applyBorder="1"/>
    <xf numFmtId="43" fontId="19" fillId="9" borderId="3" xfId="0" applyNumberFormat="1" applyFont="1" applyFill="1" applyBorder="1" applyAlignment="1">
      <alignment horizontal="center"/>
    </xf>
    <xf numFmtId="4" fontId="19" fillId="2" borderId="3" xfId="0" applyNumberFormat="1" applyFont="1" applyFill="1" applyBorder="1" applyAlignment="1">
      <alignment horizontal="right" wrapText="1"/>
    </xf>
    <xf numFmtId="4" fontId="19" fillId="2" borderId="3" xfId="10" applyNumberFormat="1" applyFont="1" applyFill="1" applyBorder="1" applyAlignment="1">
      <alignment horizontal="right"/>
    </xf>
    <xf numFmtId="4" fontId="19" fillId="2" borderId="3" xfId="10" applyNumberFormat="1" applyFont="1" applyFill="1" applyBorder="1" applyAlignment="1">
      <alignment horizontal="right" wrapText="1"/>
    </xf>
    <xf numFmtId="4" fontId="16" fillId="9" borderId="3" xfId="1" applyNumberFormat="1" applyFont="1" applyFill="1" applyBorder="1" applyAlignment="1">
      <alignment horizontal="right" vertical="top" wrapText="1"/>
    </xf>
    <xf numFmtId="0" fontId="19" fillId="14" borderId="3" xfId="0" applyFont="1" applyFill="1" applyBorder="1" applyAlignment="1">
      <alignment horizontal="right" vertical="center"/>
    </xf>
    <xf numFmtId="0" fontId="16" fillId="14" borderId="3" xfId="0" applyFont="1" applyFill="1" applyBorder="1" applyAlignment="1">
      <alignment horizontal="right" vertical="center"/>
    </xf>
    <xf numFmtId="164" fontId="16" fillId="14" borderId="3" xfId="1" applyFont="1" applyFill="1" applyBorder="1" applyAlignment="1">
      <alignment horizontal="right" vertical="center" wrapText="1"/>
    </xf>
    <xf numFmtId="10" fontId="19" fillId="14" borderId="3" xfId="1" applyNumberFormat="1" applyFont="1" applyFill="1" applyBorder="1" applyAlignment="1">
      <alignment horizontal="right" vertical="center" wrapText="1"/>
    </xf>
    <xf numFmtId="4" fontId="19" fillId="14" borderId="3" xfId="1" applyNumberFormat="1" applyFont="1" applyFill="1" applyBorder="1" applyAlignment="1">
      <alignment horizontal="right" vertical="center" wrapText="1"/>
    </xf>
    <xf numFmtId="9" fontId="19" fillId="14" borderId="3" xfId="2" applyFont="1" applyFill="1" applyBorder="1" applyAlignment="1">
      <alignment horizontal="center" vertical="center" wrapText="1"/>
    </xf>
    <xf numFmtId="4" fontId="19" fillId="14" borderId="3" xfId="1" applyNumberFormat="1" applyFont="1" applyFill="1" applyBorder="1" applyAlignment="1">
      <alignment horizontal="center" vertical="center" wrapText="1"/>
    </xf>
    <xf numFmtId="10" fontId="17" fillId="14" borderId="3" xfId="2" applyNumberFormat="1" applyFont="1" applyFill="1" applyBorder="1" applyAlignment="1">
      <alignment horizontal="center" vertical="top" wrapText="1"/>
    </xf>
    <xf numFmtId="164" fontId="16" fillId="14" borderId="3" xfId="1" applyFont="1" applyFill="1" applyBorder="1" applyAlignment="1">
      <alignment horizontal="right" vertical="top" wrapText="1"/>
    </xf>
    <xf numFmtId="0" fontId="19" fillId="2" borderId="3" xfId="0" applyFont="1" applyFill="1" applyBorder="1" applyAlignment="1">
      <alignment horizontal="center" wrapText="1"/>
    </xf>
    <xf numFmtId="4" fontId="19" fillId="2" borderId="3" xfId="10" applyNumberFormat="1" applyFont="1" applyFill="1" applyBorder="1" applyAlignment="1">
      <alignment horizontal="right" vertical="top" wrapText="1"/>
    </xf>
    <xf numFmtId="164" fontId="29" fillId="14" borderId="3" xfId="1" applyFont="1" applyFill="1" applyBorder="1" applyAlignment="1">
      <alignment horizontal="right" vertical="top" wrapText="1"/>
    </xf>
    <xf numFmtId="4" fontId="19" fillId="14" borderId="3" xfId="1" applyNumberFormat="1" applyFont="1" applyFill="1" applyBorder="1" applyAlignment="1">
      <alignment horizontal="right" vertical="top" wrapText="1"/>
    </xf>
    <xf numFmtId="4" fontId="19" fillId="14" borderId="3" xfId="1" applyNumberFormat="1" applyFont="1" applyFill="1" applyBorder="1" applyAlignment="1">
      <alignment horizontal="center" vertical="top" wrapText="1"/>
    </xf>
    <xf numFmtId="167" fontId="17" fillId="14" borderId="3" xfId="2" applyNumberFormat="1" applyFont="1" applyFill="1" applyBorder="1" applyAlignment="1">
      <alignment horizontal="center" vertical="top" wrapText="1"/>
    </xf>
    <xf numFmtId="10" fontId="17" fillId="14" borderId="3" xfId="1" applyNumberFormat="1" applyFont="1" applyFill="1" applyBorder="1" applyAlignment="1">
      <alignment horizontal="center" vertical="top" wrapText="1"/>
    </xf>
    <xf numFmtId="164" fontId="19" fillId="2" borderId="3" xfId="10" applyFont="1" applyFill="1" applyBorder="1" applyAlignment="1">
      <alignment horizontal="right" vertical="top" wrapText="1"/>
    </xf>
    <xf numFmtId="10" fontId="19" fillId="7" borderId="3" xfId="2" applyNumberFormat="1" applyFont="1" applyFill="1" applyBorder="1" applyAlignment="1">
      <alignment horizontal="center" vertical="top" wrapText="1"/>
    </xf>
    <xf numFmtId="164" fontId="19" fillId="9" borderId="3" xfId="1" applyFont="1" applyFill="1" applyBorder="1" applyAlignment="1">
      <alignment horizontal="center" vertical="top" wrapText="1"/>
    </xf>
    <xf numFmtId="164" fontId="19" fillId="2" borderId="3" xfId="1" applyFont="1" applyFill="1" applyBorder="1" applyAlignment="1">
      <alignment horizontal="right" vertical="top" wrapText="1"/>
    </xf>
    <xf numFmtId="0" fontId="19" fillId="14" borderId="3" xfId="0" applyFont="1" applyFill="1" applyBorder="1" applyAlignment="1">
      <alignment horizontal="right"/>
    </xf>
    <xf numFmtId="0" fontId="16" fillId="14" borderId="3" xfId="0" applyFont="1" applyFill="1" applyBorder="1" applyAlignment="1">
      <alignment horizontal="right"/>
    </xf>
    <xf numFmtId="0" fontId="19" fillId="15" borderId="3" xfId="0" applyFont="1" applyFill="1" applyBorder="1" applyAlignment="1">
      <alignment horizontal="right" vertical="top" wrapText="1"/>
    </xf>
    <xf numFmtId="0" fontId="26" fillId="15" borderId="3" xfId="0" applyFont="1" applyFill="1" applyBorder="1" applyAlignment="1">
      <alignment horizontal="right" vertical="top" wrapText="1"/>
    </xf>
    <xf numFmtId="164" fontId="26" fillId="15" borderId="3" xfId="1" applyFont="1" applyFill="1" applyBorder="1" applyAlignment="1">
      <alignment horizontal="right" vertical="top" wrapText="1"/>
    </xf>
    <xf numFmtId="164" fontId="11" fillId="15" borderId="3" xfId="1" applyFont="1" applyFill="1" applyBorder="1" applyAlignment="1">
      <alignment horizontal="right" vertical="top" wrapText="1"/>
    </xf>
    <xf numFmtId="4" fontId="11" fillId="15" borderId="3" xfId="0" applyNumberFormat="1" applyFont="1" applyFill="1" applyBorder="1" applyAlignment="1">
      <alignment horizontal="right"/>
    </xf>
    <xf numFmtId="9" fontId="11" fillId="15" borderId="3" xfId="2" applyFont="1" applyFill="1" applyBorder="1" applyAlignment="1">
      <alignment horizontal="center"/>
    </xf>
    <xf numFmtId="4" fontId="11" fillId="15" borderId="3" xfId="0" applyNumberFormat="1" applyFont="1" applyFill="1" applyBorder="1" applyAlignment="1">
      <alignment horizontal="center"/>
    </xf>
    <xf numFmtId="10" fontId="11" fillId="15" borderId="3" xfId="2" applyNumberFormat="1" applyFont="1" applyFill="1" applyBorder="1" applyAlignment="1">
      <alignment horizontal="center" vertical="top" wrapText="1"/>
    </xf>
    <xf numFmtId="167" fontId="11" fillId="15" borderId="3" xfId="2" applyNumberFormat="1" applyFont="1" applyFill="1" applyBorder="1" applyAlignment="1">
      <alignment horizontal="center" vertical="top" wrapText="1"/>
    </xf>
    <xf numFmtId="167" fontId="19" fillId="15" borderId="3" xfId="2" applyNumberFormat="1" applyFont="1" applyFill="1" applyBorder="1" applyAlignment="1">
      <alignment horizontal="center" vertical="top" wrapText="1"/>
    </xf>
    <xf numFmtId="0" fontId="30" fillId="5" borderId="3" xfId="0" applyFont="1" applyFill="1" applyBorder="1" applyAlignment="1">
      <alignment horizontal="left" vertical="center"/>
    </xf>
    <xf numFmtId="0" fontId="10" fillId="5" borderId="3" xfId="0" applyFont="1" applyFill="1" applyBorder="1"/>
    <xf numFmtId="0" fontId="55" fillId="0" borderId="0" xfId="0" applyFont="1"/>
    <xf numFmtId="10" fontId="17" fillId="2" borderId="3" xfId="2" applyNumberFormat="1" applyFont="1" applyFill="1" applyBorder="1" applyAlignment="1">
      <alignment horizontal="center"/>
    </xf>
    <xf numFmtId="10" fontId="19" fillId="2" borderId="3" xfId="2" applyNumberFormat="1" applyFont="1" applyFill="1" applyBorder="1" applyAlignment="1">
      <alignment horizontal="center"/>
    </xf>
    <xf numFmtId="10" fontId="22" fillId="2" borderId="3" xfId="2" applyNumberFormat="1" applyFont="1" applyFill="1" applyBorder="1" applyAlignment="1">
      <alignment horizontal="center" vertical="top" wrapText="1"/>
    </xf>
    <xf numFmtId="164" fontId="19" fillId="2" borderId="3" xfId="1" applyFont="1" applyFill="1" applyBorder="1" applyAlignment="1">
      <alignment horizontal="center"/>
    </xf>
    <xf numFmtId="164" fontId="19" fillId="2" borderId="3" xfId="1" applyFont="1" applyFill="1" applyBorder="1" applyAlignment="1">
      <alignment horizontal="center" wrapText="1"/>
    </xf>
    <xf numFmtId="0" fontId="57" fillId="5" borderId="3" xfId="0" applyFont="1" applyFill="1" applyBorder="1"/>
    <xf numFmtId="0" fontId="16" fillId="15" borderId="3" xfId="0" applyFont="1" applyFill="1" applyBorder="1" applyAlignment="1">
      <alignment horizontal="center" vertical="top" wrapText="1"/>
    </xf>
    <xf numFmtId="164" fontId="19" fillId="14" borderId="3" xfId="1" applyFont="1" applyFill="1" applyBorder="1" applyAlignment="1">
      <alignment horizontal="center" vertical="top" wrapText="1"/>
    </xf>
    <xf numFmtId="164" fontId="22" fillId="2" borderId="3" xfId="1" applyFont="1" applyFill="1" applyBorder="1" applyAlignment="1">
      <alignment horizontal="center" vertical="top" wrapText="1"/>
    </xf>
    <xf numFmtId="0" fontId="16" fillId="22" borderId="3" xfId="0" applyFont="1" applyFill="1" applyBorder="1" applyAlignment="1">
      <alignment vertical="top" wrapText="1"/>
    </xf>
    <xf numFmtId="0" fontId="14" fillId="22" borderId="3" xfId="0" applyFont="1" applyFill="1" applyBorder="1" applyAlignment="1">
      <alignment vertical="top" wrapText="1"/>
    </xf>
    <xf numFmtId="0" fontId="14" fillId="22" borderId="3" xfId="0" applyFont="1" applyFill="1" applyBorder="1" applyAlignment="1">
      <alignment horizontal="center" vertical="top"/>
    </xf>
    <xf numFmtId="0" fontId="14" fillId="22" borderId="3" xfId="0" applyFont="1" applyFill="1" applyBorder="1" applyAlignment="1">
      <alignment horizontal="center" vertical="top" wrapText="1"/>
    </xf>
    <xf numFmtId="164" fontId="14" fillId="22" borderId="3" xfId="1" applyFont="1" applyFill="1" applyBorder="1" applyAlignment="1">
      <alignment horizontal="center" vertical="top"/>
    </xf>
    <xf numFmtId="10" fontId="17" fillId="22" borderId="3" xfId="2" applyNumberFormat="1" applyFont="1" applyFill="1" applyBorder="1" applyAlignment="1">
      <alignment horizontal="center" vertical="top" wrapText="1"/>
    </xf>
    <xf numFmtId="10" fontId="17" fillId="22" borderId="3" xfId="1" applyNumberFormat="1" applyFont="1" applyFill="1" applyBorder="1" applyAlignment="1">
      <alignment horizontal="center" vertical="top" wrapText="1"/>
    </xf>
    <xf numFmtId="10" fontId="19" fillId="22" borderId="3" xfId="2" applyNumberFormat="1" applyFont="1" applyFill="1" applyBorder="1" applyAlignment="1">
      <alignment horizontal="center" vertical="top" wrapText="1"/>
    </xf>
    <xf numFmtId="10" fontId="19" fillId="22" borderId="3" xfId="1" applyNumberFormat="1" applyFont="1" applyFill="1" applyBorder="1" applyAlignment="1">
      <alignment horizontal="center" vertical="top" wrapText="1"/>
    </xf>
    <xf numFmtId="164" fontId="19" fillId="2" borderId="3" xfId="1" applyFont="1" applyFill="1" applyBorder="1" applyAlignment="1">
      <alignment wrapText="1"/>
    </xf>
    <xf numFmtId="2" fontId="19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7" fillId="2" borderId="3" xfId="1" applyFont="1" applyFill="1" applyBorder="1" applyAlignment="1">
      <alignment horizontal="center"/>
    </xf>
    <xf numFmtId="10" fontId="19" fillId="2" borderId="0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4" fontId="5" fillId="2" borderId="0" xfId="0" applyNumberFormat="1" applyFont="1" applyFill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" fillId="0" borderId="0" xfId="0" applyFont="1"/>
    <xf numFmtId="4" fontId="19" fillId="2" borderId="3" xfId="44" applyNumberFormat="1" applyFont="1" applyFill="1" applyBorder="1" applyAlignment="1">
      <alignment wrapText="1"/>
    </xf>
    <xf numFmtId="49" fontId="19" fillId="2" borderId="3" xfId="0" applyNumberFormat="1" applyFont="1" applyFill="1" applyBorder="1" applyAlignment="1">
      <alignment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164" fontId="58" fillId="0" borderId="0" xfId="1" applyFont="1"/>
    <xf numFmtId="4" fontId="19" fillId="0" borderId="3" xfId="0" applyNumberFormat="1" applyFont="1" applyBorder="1" applyAlignment="1">
      <alignment wrapText="1"/>
    </xf>
    <xf numFmtId="0" fontId="7" fillId="8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wrapText="1"/>
    </xf>
    <xf numFmtId="0" fontId="26" fillId="13" borderId="3" xfId="0" applyFont="1" applyFill="1" applyBorder="1" applyAlignment="1">
      <alignment horizontal="center" wrapText="1"/>
    </xf>
    <xf numFmtId="0" fontId="26" fillId="8" borderId="3" xfId="0" applyFont="1" applyFill="1" applyBorder="1" applyAlignment="1">
      <alignment horizontal="center"/>
    </xf>
    <xf numFmtId="0" fontId="24" fillId="12" borderId="3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center" vertical="top" wrapText="1"/>
    </xf>
    <xf numFmtId="0" fontId="14" fillId="7" borderId="6" xfId="0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164" fontId="5" fillId="2" borderId="0" xfId="1" applyFont="1" applyFill="1" applyBorder="1" applyAlignment="1">
      <alignment horizontal="right" vertical="top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8,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246.41309322244683</c:v>
                </c:pt>
                <c:pt idx="1">
                  <c:v>5722.0014617762681</c:v>
                </c:pt>
                <c:pt idx="2">
                  <c:v>234.90360018606745</c:v>
                </c:pt>
                <c:pt idx="3">
                  <c:v>1849.8559300856921</c:v>
                </c:pt>
                <c:pt idx="4">
                  <c:v>507.43341480949522</c:v>
                </c:pt>
                <c:pt idx="5" formatCode="_-* #,##0.00_-;\-* #,##0.00_-;_-* &quot;-&quot;??_-;_-@_-">
                  <c:v>147.59661937413927</c:v>
                </c:pt>
                <c:pt idx="6">
                  <c:v>19.560945940800003</c:v>
                </c:pt>
                <c:pt idx="7">
                  <c:v>136.61960519911767</c:v>
                </c:pt>
                <c:pt idx="8">
                  <c:v>32.017546923681479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15,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261.27421100901637</c:v>
                </c:pt>
                <c:pt idx="1">
                  <c:v>5750.770301084799</c:v>
                </c:pt>
                <c:pt idx="2">
                  <c:v>233.96329323405999</c:v>
                </c:pt>
                <c:pt idx="3">
                  <c:v>1834.9145695086283</c:v>
                </c:pt>
                <c:pt idx="4">
                  <c:v>507.83906669988863</c:v>
                </c:pt>
                <c:pt idx="5" formatCode="_-* #,##0.00_-;\-* #,##0.00_-;_-* &quot;-&quot;??_-;_-@_-">
                  <c:v>153.24818199054002</c:v>
                </c:pt>
                <c:pt idx="6">
                  <c:v>21.319511673420003</c:v>
                </c:pt>
                <c:pt idx="7">
                  <c:v>143.98419093653004</c:v>
                </c:pt>
                <c:pt idx="8">
                  <c:v>31.347647935149066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15TH MAY,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15-May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21319511673.420002</c:v>
                </c:pt>
                <c:pt idx="1">
                  <c:v>31347647935.149067</c:v>
                </c:pt>
                <c:pt idx="2">
                  <c:v>143984190936.53003</c:v>
                </c:pt>
                <c:pt idx="3" formatCode="_-* #,##0.00_-;\-* #,##0.00_-;_-* &quot;-&quot;??_-;_-@_-">
                  <c:v>153248181990.54001</c:v>
                </c:pt>
                <c:pt idx="4">
                  <c:v>261274211009.01639</c:v>
                </c:pt>
                <c:pt idx="5">
                  <c:v>233963293234.06</c:v>
                </c:pt>
                <c:pt idx="6">
                  <c:v>507839066699.88861</c:v>
                </c:pt>
                <c:pt idx="7">
                  <c:v>1834914569508.6284</c:v>
                </c:pt>
                <c:pt idx="8">
                  <c:v>5750770301084.7988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46108</c:v>
                </c:pt>
                <c:pt idx="1">
                  <c:v>46114</c:v>
                </c:pt>
                <c:pt idx="2">
                  <c:v>46122</c:v>
                </c:pt>
                <c:pt idx="3">
                  <c:v>46129</c:v>
                </c:pt>
                <c:pt idx="4">
                  <c:v>46136</c:v>
                </c:pt>
                <c:pt idx="5">
                  <c:v>46142</c:v>
                </c:pt>
                <c:pt idx="6">
                  <c:v>46150</c:v>
                </c:pt>
                <c:pt idx="7">
                  <c:v>46157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8440.5567676688224</c:v>
                </c:pt>
                <c:pt idx="1">
                  <c:v>8593.7769156229697</c:v>
                </c:pt>
                <c:pt idx="2">
                  <c:v>8623.4476305652915</c:v>
                </c:pt>
                <c:pt idx="3">
                  <c:v>8682.1345271243354</c:v>
                </c:pt>
                <c:pt idx="4">
                  <c:v>8768.912163579158</c:v>
                </c:pt>
                <c:pt idx="5">
                  <c:v>8856.6861092070776</c:v>
                </c:pt>
                <c:pt idx="6">
                  <c:v>8896.4022175177088</c:v>
                </c:pt>
                <c:pt idx="7">
                  <c:v>8938.6609740720305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46108</c:v>
                </c:pt>
                <c:pt idx="1">
                  <c:v>46114</c:v>
                </c:pt>
                <c:pt idx="2">
                  <c:v>46122</c:v>
                </c:pt>
                <c:pt idx="3">
                  <c:v>46129</c:v>
                </c:pt>
                <c:pt idx="4">
                  <c:v>46136</c:v>
                </c:pt>
                <c:pt idx="5">
                  <c:v>46142</c:v>
                </c:pt>
                <c:pt idx="6">
                  <c:v>46150</c:v>
                </c:pt>
                <c:pt idx="7">
                  <c:v>46157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24.226803601379999</c:v>
                </c:pt>
                <c:pt idx="1">
                  <c:v>24.882508960419997</c:v>
                </c:pt>
                <c:pt idx="2">
                  <c:v>25.247393537559997</c:v>
                </c:pt>
                <c:pt idx="3">
                  <c:v>27.644948093229999</c:v>
                </c:pt>
                <c:pt idx="4">
                  <c:v>28.90522929934</c:v>
                </c:pt>
                <c:pt idx="5">
                  <c:v>30.630921333499995</c:v>
                </c:pt>
                <c:pt idx="6">
                  <c:v>30.807819494499999</c:v>
                </c:pt>
                <c:pt idx="7">
                  <c:v>31.798755539750001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6"/>
  <sheetViews>
    <sheetView tabSelected="1" zoomScale="116" zoomScaleNormal="116" workbookViewId="0">
      <pane xSplit="3" ySplit="13" topLeftCell="D14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5546875" customWidth="1"/>
    <col min="2" max="2" width="34.6640625" customWidth="1"/>
    <col min="3" max="3" width="32.3320312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15" t="s">
        <v>342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</row>
    <row r="2" spans="1:32" ht="14.4" customHeight="1">
      <c r="A2" s="81"/>
      <c r="B2" s="82"/>
      <c r="C2" s="83"/>
      <c r="D2" s="216" t="s">
        <v>333</v>
      </c>
      <c r="E2" s="217"/>
      <c r="F2" s="217"/>
      <c r="G2" s="217"/>
      <c r="H2" s="217"/>
      <c r="I2" s="217"/>
      <c r="J2" s="217"/>
      <c r="K2" s="217"/>
      <c r="L2" s="217"/>
      <c r="M2" s="218"/>
      <c r="N2" s="216" t="s">
        <v>343</v>
      </c>
      <c r="O2" s="217"/>
      <c r="P2" s="217"/>
      <c r="Q2" s="217"/>
      <c r="R2" s="217"/>
      <c r="S2" s="217"/>
      <c r="T2" s="217"/>
      <c r="U2" s="217"/>
      <c r="V2" s="217"/>
      <c r="W2" s="218"/>
      <c r="X2" s="219" t="s">
        <v>0</v>
      </c>
      <c r="Y2" s="219"/>
      <c r="Z2" s="219"/>
      <c r="AA2" s="219" t="s">
        <v>1</v>
      </c>
      <c r="AB2" s="219"/>
    </row>
    <row r="3" spans="1:32" ht="20.399999999999999">
      <c r="A3" s="180" t="s">
        <v>2</v>
      </c>
      <c r="B3" s="180" t="s">
        <v>3</v>
      </c>
      <c r="C3" s="181" t="s">
        <v>4</v>
      </c>
      <c r="D3" s="182" t="s">
        <v>329</v>
      </c>
      <c r="E3" s="182" t="s">
        <v>5</v>
      </c>
      <c r="F3" s="183" t="s">
        <v>6</v>
      </c>
      <c r="G3" s="183" t="s">
        <v>331</v>
      </c>
      <c r="H3" s="183" t="s">
        <v>11</v>
      </c>
      <c r="I3" s="183" t="s">
        <v>332</v>
      </c>
      <c r="J3" s="183" t="s">
        <v>7</v>
      </c>
      <c r="K3" s="183" t="s">
        <v>8</v>
      </c>
      <c r="L3" s="183" t="s">
        <v>9</v>
      </c>
      <c r="M3" s="183" t="s">
        <v>10</v>
      </c>
      <c r="N3" s="182" t="s">
        <v>329</v>
      </c>
      <c r="O3" s="184" t="s">
        <v>5</v>
      </c>
      <c r="P3" s="183" t="s">
        <v>6</v>
      </c>
      <c r="Q3" s="183" t="s">
        <v>331</v>
      </c>
      <c r="R3" s="183" t="s">
        <v>11</v>
      </c>
      <c r="S3" s="183" t="s">
        <v>332</v>
      </c>
      <c r="T3" s="183" t="s">
        <v>7</v>
      </c>
      <c r="U3" s="183" t="s">
        <v>8</v>
      </c>
      <c r="V3" s="183" t="s">
        <v>9</v>
      </c>
      <c r="W3" s="183" t="s">
        <v>10</v>
      </c>
      <c r="X3" s="182" t="s">
        <v>12</v>
      </c>
      <c r="Y3" s="183" t="s">
        <v>13</v>
      </c>
      <c r="Z3" s="183" t="s">
        <v>14</v>
      </c>
      <c r="AA3" s="183" t="s">
        <v>15</v>
      </c>
      <c r="AB3" s="183" t="s">
        <v>16</v>
      </c>
      <c r="AD3" s="52"/>
      <c r="AF3" s="50"/>
    </row>
    <row r="4" spans="1:32" ht="5.55" customHeight="1"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</row>
    <row r="5" spans="1:32" ht="15" customHeight="1">
      <c r="A5" s="191"/>
      <c r="B5" s="213" t="s">
        <v>17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</row>
    <row r="6" spans="1:32">
      <c r="A6" s="198">
        <v>1</v>
      </c>
      <c r="B6" s="84" t="s">
        <v>18</v>
      </c>
      <c r="C6" s="85" t="s">
        <v>19</v>
      </c>
      <c r="D6" s="171" t="s">
        <v>330</v>
      </c>
      <c r="E6" s="86">
        <v>14193868557.91</v>
      </c>
      <c r="F6" s="87">
        <f t="shared" ref="F6:F24" si="0">(E6/$E$26)</f>
        <v>5.760192517487954E-2</v>
      </c>
      <c r="G6" s="171" t="s">
        <v>330</v>
      </c>
      <c r="H6" s="86">
        <v>912.8125</v>
      </c>
      <c r="I6" s="171" t="s">
        <v>330</v>
      </c>
      <c r="J6" s="86">
        <v>917.30139999999994</v>
      </c>
      <c r="K6" s="88">
        <v>1705</v>
      </c>
      <c r="L6" s="89">
        <v>-9.1000000000000004E-3</v>
      </c>
      <c r="M6" s="89">
        <v>0.4748</v>
      </c>
      <c r="N6" s="171" t="s">
        <v>330</v>
      </c>
      <c r="O6" s="86">
        <v>15226502963.76</v>
      </c>
      <c r="P6" s="87">
        <f t="shared" ref="P6:P25" si="1">(O6/$O$26)</f>
        <v>5.8277864106666633E-2</v>
      </c>
      <c r="Q6" s="171" t="s">
        <v>330</v>
      </c>
      <c r="R6" s="86">
        <v>934.71559999999999</v>
      </c>
      <c r="S6" s="171" t="s">
        <v>330</v>
      </c>
      <c r="T6" s="86">
        <v>939.34400000000005</v>
      </c>
      <c r="U6" s="88">
        <v>1705</v>
      </c>
      <c r="V6" s="89">
        <v>2.4E-2</v>
      </c>
      <c r="W6" s="89">
        <v>0.51019999999999999</v>
      </c>
      <c r="X6" s="185">
        <f>((O6-E6)/E6)</f>
        <v>7.275214657913194E-2</v>
      </c>
      <c r="Y6" s="185">
        <f>((T6-J6)/J6)</f>
        <v>2.4029833596678374E-2</v>
      </c>
      <c r="Z6" s="185">
        <f>((U6-K6)/K6)</f>
        <v>0</v>
      </c>
      <c r="AA6" s="185">
        <f>V6-L6</f>
        <v>3.3100000000000004E-2</v>
      </c>
      <c r="AB6" s="186">
        <f>W6-M6</f>
        <v>3.5399999999999987E-2</v>
      </c>
      <c r="AC6" s="45"/>
    </row>
    <row r="7" spans="1:32" ht="13.2" customHeight="1">
      <c r="A7" s="198">
        <v>2</v>
      </c>
      <c r="B7" s="84" t="s">
        <v>20</v>
      </c>
      <c r="C7" s="85" t="s">
        <v>21</v>
      </c>
      <c r="D7" s="171" t="s">
        <v>330</v>
      </c>
      <c r="E7" s="90">
        <v>2420010463.7199998</v>
      </c>
      <c r="F7" s="91">
        <f t="shared" si="0"/>
        <v>9.8209491714604663E-3</v>
      </c>
      <c r="G7" s="171" t="s">
        <v>330</v>
      </c>
      <c r="H7" s="90">
        <v>628.7097</v>
      </c>
      <c r="I7" s="171" t="s">
        <v>330</v>
      </c>
      <c r="J7" s="90">
        <v>637.04409999999996</v>
      </c>
      <c r="K7" s="92">
        <v>781</v>
      </c>
      <c r="L7" s="93">
        <v>1.5257E-2</v>
      </c>
      <c r="M7" s="93">
        <v>0.53469999999999995</v>
      </c>
      <c r="N7" s="171" t="s">
        <v>330</v>
      </c>
      <c r="O7" s="90">
        <v>2637622592.3000002</v>
      </c>
      <c r="P7" s="91">
        <f t="shared" si="1"/>
        <v>1.0095227470456231E-2</v>
      </c>
      <c r="Q7" s="171" t="s">
        <v>330</v>
      </c>
      <c r="R7" s="90">
        <v>642.05709999999999</v>
      </c>
      <c r="S7" s="171" t="s">
        <v>330</v>
      </c>
      <c r="T7" s="90">
        <v>650.12710000000004</v>
      </c>
      <c r="U7" s="92">
        <v>800</v>
      </c>
      <c r="V7" s="93">
        <v>1.5257E-2</v>
      </c>
      <c r="W7" s="93">
        <v>0.56730000000000003</v>
      </c>
      <c r="X7" s="187">
        <f t="shared" ref="X7:X26" si="2">((O7-E7)/E7)</f>
        <v>8.992197837256069E-2</v>
      </c>
      <c r="Y7" s="187">
        <f t="shared" ref="Y7:Y26" si="3">((T7-J7)/J7)</f>
        <v>2.0537039743402513E-2</v>
      </c>
      <c r="Z7" s="187">
        <f t="shared" ref="Z7:Z26" si="4">((U7-K7)/K7)</f>
        <v>2.4327784891165175E-2</v>
      </c>
      <c r="AA7" s="185">
        <f t="shared" ref="AA7:AA26" si="5">V7-L7</f>
        <v>0</v>
      </c>
      <c r="AB7" s="186">
        <f t="shared" ref="AB7:AB26" si="6">W7-M7</f>
        <v>3.2600000000000073E-2</v>
      </c>
      <c r="AC7" s="53"/>
      <c r="AD7" s="50"/>
      <c r="AE7" s="50"/>
    </row>
    <row r="8" spans="1:32">
      <c r="A8" s="203">
        <v>3</v>
      </c>
      <c r="B8" s="84" t="s">
        <v>22</v>
      </c>
      <c r="C8" s="85" t="s">
        <v>23</v>
      </c>
      <c r="D8" s="171" t="s">
        <v>330</v>
      </c>
      <c r="E8" s="90">
        <v>19528534142.970001</v>
      </c>
      <c r="F8" s="91">
        <f t="shared" si="0"/>
        <v>7.9251203284643731E-2</v>
      </c>
      <c r="G8" s="171" t="s">
        <v>330</v>
      </c>
      <c r="H8" s="90">
        <v>77.415999999999997</v>
      </c>
      <c r="I8" s="171" t="s">
        <v>330</v>
      </c>
      <c r="J8" s="94">
        <v>79.750100000000003</v>
      </c>
      <c r="K8" s="88">
        <v>11489</v>
      </c>
      <c r="L8" s="89">
        <v>-0.25650000000000001</v>
      </c>
      <c r="M8" s="89">
        <v>0.46168198605218075</v>
      </c>
      <c r="N8" s="171" t="s">
        <v>330</v>
      </c>
      <c r="O8" s="90">
        <v>20777732121.549999</v>
      </c>
      <c r="P8" s="91">
        <f t="shared" si="1"/>
        <v>7.9524619139823852E-2</v>
      </c>
      <c r="Q8" s="171" t="s">
        <v>330</v>
      </c>
      <c r="R8" s="90">
        <v>78.978099999999998</v>
      </c>
      <c r="S8" s="171" t="s">
        <v>330</v>
      </c>
      <c r="T8" s="94">
        <v>81.359399999999994</v>
      </c>
      <c r="U8" s="88">
        <v>11761</v>
      </c>
      <c r="V8" s="89">
        <v>2.0199999999999999E-2</v>
      </c>
      <c r="W8" s="89">
        <v>0.49120000000000003</v>
      </c>
      <c r="X8" s="187">
        <f t="shared" si="2"/>
        <v>6.3967831350500617E-2</v>
      </c>
      <c r="Y8" s="187">
        <f t="shared" si="3"/>
        <v>2.0179285041648728E-2</v>
      </c>
      <c r="Z8" s="187">
        <f t="shared" si="4"/>
        <v>2.3674819392462354E-2</v>
      </c>
      <c r="AA8" s="185">
        <f t="shared" si="5"/>
        <v>0.2767</v>
      </c>
      <c r="AB8" s="186">
        <f t="shared" si="6"/>
        <v>2.9518013947819277E-2</v>
      </c>
      <c r="AC8" s="41"/>
      <c r="AD8" s="49"/>
      <c r="AE8" s="22"/>
      <c r="AF8" s="51"/>
    </row>
    <row r="9" spans="1:32">
      <c r="A9" s="198">
        <v>4</v>
      </c>
      <c r="B9" s="84" t="s">
        <v>24</v>
      </c>
      <c r="C9" s="85" t="s">
        <v>25</v>
      </c>
      <c r="D9" s="171" t="s">
        <v>330</v>
      </c>
      <c r="E9" s="90">
        <v>3181653480.8600001</v>
      </c>
      <c r="F9" s="91">
        <f t="shared" si="0"/>
        <v>1.2911868599400259E-2</v>
      </c>
      <c r="G9" s="171" t="s">
        <v>330</v>
      </c>
      <c r="H9" s="90">
        <v>373.45740000000001</v>
      </c>
      <c r="I9" s="171" t="s">
        <v>330</v>
      </c>
      <c r="J9" s="90">
        <v>373.45740000000001</v>
      </c>
      <c r="K9" s="92">
        <v>2632</v>
      </c>
      <c r="L9" s="93">
        <v>-1.0943627684660839E-2</v>
      </c>
      <c r="M9" s="93">
        <v>0.49227107209230692</v>
      </c>
      <c r="N9" s="171" t="s">
        <v>330</v>
      </c>
      <c r="O9" s="90">
        <v>3237456041.2800002</v>
      </c>
      <c r="P9" s="91">
        <f t="shared" si="1"/>
        <v>1.2391027911929194E-2</v>
      </c>
      <c r="Q9" s="171" t="s">
        <v>330</v>
      </c>
      <c r="R9" s="90">
        <v>380.76589999999999</v>
      </c>
      <c r="S9" s="171" t="s">
        <v>330</v>
      </c>
      <c r="T9" s="90">
        <v>380.76589999999999</v>
      </c>
      <c r="U9" s="92">
        <v>2655</v>
      </c>
      <c r="V9" s="93">
        <v>1.9599999999999999E-2</v>
      </c>
      <c r="W9" s="93">
        <v>0.52149999999999996</v>
      </c>
      <c r="X9" s="187">
        <f t="shared" si="2"/>
        <v>1.7538855427121077E-2</v>
      </c>
      <c r="Y9" s="187">
        <f t="shared" si="3"/>
        <v>1.9569835809920971E-2</v>
      </c>
      <c r="Z9" s="187">
        <f t="shared" si="4"/>
        <v>8.7386018237082062E-3</v>
      </c>
      <c r="AA9" s="185">
        <f t="shared" si="5"/>
        <v>3.0543627684660839E-2</v>
      </c>
      <c r="AB9" s="186">
        <f t="shared" si="6"/>
        <v>2.9228927907693047E-2</v>
      </c>
    </row>
    <row r="10" spans="1:32">
      <c r="A10" s="198">
        <v>5</v>
      </c>
      <c r="B10" s="84" t="s">
        <v>26</v>
      </c>
      <c r="C10" s="85" t="s">
        <v>27</v>
      </c>
      <c r="D10" s="171" t="s">
        <v>330</v>
      </c>
      <c r="E10" s="90">
        <v>11698674980.889999</v>
      </c>
      <c r="F10" s="91">
        <f t="shared" si="0"/>
        <v>4.7475865944871458E-2</v>
      </c>
      <c r="G10" s="171" t="s">
        <v>330</v>
      </c>
      <c r="H10" s="90">
        <v>2.9382999999999999</v>
      </c>
      <c r="I10" s="171" t="s">
        <v>330</v>
      </c>
      <c r="J10" s="90">
        <v>2.9727000000000001</v>
      </c>
      <c r="K10" s="92">
        <v>2370</v>
      </c>
      <c r="L10" s="93">
        <v>-5.0900000000000001E-2</v>
      </c>
      <c r="M10" s="93">
        <v>0.58779999999999999</v>
      </c>
      <c r="N10" s="171" t="s">
        <v>330</v>
      </c>
      <c r="O10" s="90">
        <v>11871623989.290001</v>
      </c>
      <c r="P10" s="91">
        <f>(O10/$O$26)</f>
        <v>4.5437412071566145E-2</v>
      </c>
      <c r="Q10" s="171" t="s">
        <v>330</v>
      </c>
      <c r="R10" s="90">
        <v>2.9839000000000002</v>
      </c>
      <c r="S10" s="171" t="s">
        <v>330</v>
      </c>
      <c r="T10" s="90">
        <v>3.0215999999999998</v>
      </c>
      <c r="U10" s="92">
        <v>2483</v>
      </c>
      <c r="V10" s="93">
        <v>1.61E-2</v>
      </c>
      <c r="W10" s="93">
        <v>0.61319999999999997</v>
      </c>
      <c r="X10" s="187">
        <f t="shared" si="2"/>
        <v>1.4783640769789478E-2</v>
      </c>
      <c r="Y10" s="187">
        <f t="shared" si="3"/>
        <v>1.6449692199010907E-2</v>
      </c>
      <c r="Z10" s="187">
        <f t="shared" si="4"/>
        <v>4.767932489451477E-2</v>
      </c>
      <c r="AA10" s="185">
        <f t="shared" si="5"/>
        <v>6.7000000000000004E-2</v>
      </c>
      <c r="AB10" s="186">
        <f t="shared" si="6"/>
        <v>2.5399999999999978E-2</v>
      </c>
    </row>
    <row r="11" spans="1:32" ht="12.6" customHeight="1">
      <c r="A11" s="198">
        <v>6</v>
      </c>
      <c r="B11" s="84" t="s">
        <v>28</v>
      </c>
      <c r="C11" s="85" t="s">
        <v>29</v>
      </c>
      <c r="D11" s="171" t="s">
        <v>330</v>
      </c>
      <c r="E11" s="95">
        <v>791377879.53999996</v>
      </c>
      <c r="F11" s="91">
        <f t="shared" si="0"/>
        <v>3.2115902170246767E-3</v>
      </c>
      <c r="G11" s="171" t="s">
        <v>330</v>
      </c>
      <c r="H11" s="90">
        <v>342.32589999999999</v>
      </c>
      <c r="I11" s="171" t="s">
        <v>330</v>
      </c>
      <c r="J11" s="90">
        <v>345.0111</v>
      </c>
      <c r="K11" s="88">
        <v>215</v>
      </c>
      <c r="L11" s="89">
        <v>5.8999999999999998E-5</v>
      </c>
      <c r="M11" s="89">
        <v>0.5988</v>
      </c>
      <c r="N11" s="171" t="s">
        <v>330</v>
      </c>
      <c r="O11" s="95">
        <v>816915238.02999997</v>
      </c>
      <c r="P11" s="91">
        <f t="shared" si="1"/>
        <v>3.1266585204684011E-3</v>
      </c>
      <c r="Q11" s="171" t="s">
        <v>330</v>
      </c>
      <c r="R11" s="90">
        <v>346.66430000000003</v>
      </c>
      <c r="S11" s="171" t="s">
        <v>330</v>
      </c>
      <c r="T11" s="90">
        <v>349.33659999999998</v>
      </c>
      <c r="U11" s="88">
        <v>223</v>
      </c>
      <c r="V11" s="89">
        <v>6.5300000000000004E-4</v>
      </c>
      <c r="W11" s="89">
        <v>0.61909999999999998</v>
      </c>
      <c r="X11" s="187">
        <f t="shared" si="2"/>
        <v>3.2269487371625771E-2</v>
      </c>
      <c r="Y11" s="187">
        <f t="shared" si="3"/>
        <v>1.2537277786134929E-2</v>
      </c>
      <c r="Z11" s="187">
        <f t="shared" si="4"/>
        <v>3.7209302325581395E-2</v>
      </c>
      <c r="AA11" s="185">
        <f t="shared" si="5"/>
        <v>5.9400000000000002E-4</v>
      </c>
      <c r="AB11" s="186">
        <f t="shared" si="6"/>
        <v>2.0299999999999985E-2</v>
      </c>
    </row>
    <row r="12" spans="1:32">
      <c r="A12" s="198">
        <v>7</v>
      </c>
      <c r="B12" s="84" t="s">
        <v>321</v>
      </c>
      <c r="C12" s="85" t="s">
        <v>79</v>
      </c>
      <c r="D12" s="171" t="s">
        <v>330</v>
      </c>
      <c r="E12" s="95">
        <v>6443254025.6199999</v>
      </c>
      <c r="F12" s="91">
        <f t="shared" si="0"/>
        <v>2.6148180445117093E-2</v>
      </c>
      <c r="G12" s="171" t="s">
        <v>330</v>
      </c>
      <c r="H12" s="90">
        <v>633.95000000000005</v>
      </c>
      <c r="I12" s="171" t="s">
        <v>330</v>
      </c>
      <c r="J12" s="90">
        <v>643.29999999999995</v>
      </c>
      <c r="K12" s="88">
        <v>2093</v>
      </c>
      <c r="L12" s="89">
        <v>7.9000000000000008E-3</v>
      </c>
      <c r="M12" s="89">
        <v>0.39850000000000002</v>
      </c>
      <c r="N12" s="171" t="s">
        <v>330</v>
      </c>
      <c r="O12" s="95">
        <v>6481488598.4899998</v>
      </c>
      <c r="P12" s="91">
        <f t="shared" si="1"/>
        <v>2.4807226757892029E-2</v>
      </c>
      <c r="Q12" s="171" t="s">
        <v>330</v>
      </c>
      <c r="R12" s="90">
        <v>645.75</v>
      </c>
      <c r="S12" s="171" t="s">
        <v>330</v>
      </c>
      <c r="T12" s="90">
        <v>655.43</v>
      </c>
      <c r="U12" s="88">
        <v>2112</v>
      </c>
      <c r="V12" s="89">
        <v>1.8700000000000001E-2</v>
      </c>
      <c r="W12" s="89">
        <v>0.42449999999999999</v>
      </c>
      <c r="X12" s="187">
        <f t="shared" si="2"/>
        <v>5.9340471007304071E-3</v>
      </c>
      <c r="Y12" s="187">
        <f t="shared" si="3"/>
        <v>1.8855899269392191E-2</v>
      </c>
      <c r="Z12" s="187">
        <f t="shared" si="4"/>
        <v>9.0778786430960341E-3</v>
      </c>
      <c r="AA12" s="185">
        <f t="shared" si="5"/>
        <v>1.0800000000000001E-2</v>
      </c>
      <c r="AB12" s="186">
        <f t="shared" si="6"/>
        <v>2.5999999999999968E-2</v>
      </c>
      <c r="AC12" s="41"/>
      <c r="AD12" s="41"/>
      <c r="AE12" s="30"/>
    </row>
    <row r="13" spans="1:32" ht="14.4" customHeight="1">
      <c r="A13" s="198">
        <v>8</v>
      </c>
      <c r="B13" s="84" t="s">
        <v>30</v>
      </c>
      <c r="C13" s="85" t="s">
        <v>31</v>
      </c>
      <c r="D13" s="171" t="s">
        <v>330</v>
      </c>
      <c r="E13" s="96">
        <v>625590654.61000001</v>
      </c>
      <c r="F13" s="91">
        <f t="shared" si="0"/>
        <v>2.5387882049159403E-3</v>
      </c>
      <c r="G13" s="171" t="s">
        <v>330</v>
      </c>
      <c r="H13" s="90">
        <v>312.49</v>
      </c>
      <c r="I13" s="171" t="s">
        <v>330</v>
      </c>
      <c r="J13" s="90">
        <v>326.43</v>
      </c>
      <c r="K13" s="92">
        <v>2469</v>
      </c>
      <c r="L13" s="93">
        <v>9.6600000000000002E-3</v>
      </c>
      <c r="M13" s="93">
        <v>0.22409999999999999</v>
      </c>
      <c r="N13" s="171" t="s">
        <v>330</v>
      </c>
      <c r="O13" s="96">
        <v>713546165.73000002</v>
      </c>
      <c r="P13" s="91">
        <f t="shared" si="1"/>
        <v>2.7310240952383015E-3</v>
      </c>
      <c r="Q13" s="171" t="s">
        <v>330</v>
      </c>
      <c r="R13" s="90">
        <v>355.87</v>
      </c>
      <c r="S13" s="171" t="s">
        <v>330</v>
      </c>
      <c r="T13" s="90">
        <v>370.05</v>
      </c>
      <c r="U13" s="92">
        <v>2469</v>
      </c>
      <c r="V13" s="93">
        <v>9.6600000000000002E-3</v>
      </c>
      <c r="W13" s="93">
        <v>0.4083</v>
      </c>
      <c r="X13" s="187">
        <f t="shared" si="2"/>
        <v>0.14059594796030389</v>
      </c>
      <c r="Y13" s="187">
        <f t="shared" si="3"/>
        <v>0.1336274239500046</v>
      </c>
      <c r="Z13" s="187">
        <f t="shared" si="4"/>
        <v>0</v>
      </c>
      <c r="AA13" s="185">
        <f t="shared" si="5"/>
        <v>0</v>
      </c>
      <c r="AB13" s="186">
        <f t="shared" si="6"/>
        <v>0.1842</v>
      </c>
      <c r="AE13" s="30"/>
    </row>
    <row r="14" spans="1:32">
      <c r="A14" s="198">
        <v>9</v>
      </c>
      <c r="B14" s="84" t="s">
        <v>32</v>
      </c>
      <c r="C14" s="85" t="s">
        <v>33</v>
      </c>
      <c r="D14" s="171" t="s">
        <v>330</v>
      </c>
      <c r="E14" s="95">
        <v>146541303.57679999</v>
      </c>
      <c r="F14" s="91">
        <f t="shared" si="0"/>
        <v>5.9469771537063322E-4</v>
      </c>
      <c r="G14" s="171" t="s">
        <v>330</v>
      </c>
      <c r="H14" s="90">
        <v>506.76339999999999</v>
      </c>
      <c r="I14" s="171" t="s">
        <v>330</v>
      </c>
      <c r="J14" s="90">
        <v>524.13909999999998</v>
      </c>
      <c r="K14" s="92">
        <v>34</v>
      </c>
      <c r="L14" s="93">
        <v>5.0299999999999997E-2</v>
      </c>
      <c r="M14" s="93">
        <v>0.60089999999999999</v>
      </c>
      <c r="N14" s="171" t="s">
        <v>330</v>
      </c>
      <c r="O14" s="95">
        <v>154625913.10640001</v>
      </c>
      <c r="P14" s="91">
        <f t="shared" si="1"/>
        <v>5.9181467818522659E-4</v>
      </c>
      <c r="Q14" s="171" t="s">
        <v>330</v>
      </c>
      <c r="R14" s="90">
        <v>524.88610000000006</v>
      </c>
      <c r="S14" s="171" t="s">
        <v>330</v>
      </c>
      <c r="T14" s="90">
        <v>542.65729999999996</v>
      </c>
      <c r="U14" s="92">
        <v>34</v>
      </c>
      <c r="V14" s="93">
        <v>3.4000000000000002E-2</v>
      </c>
      <c r="W14" s="93">
        <v>0.65780000000000005</v>
      </c>
      <c r="X14" s="187">
        <f t="shared" si="2"/>
        <v>5.5169493735006986E-2</v>
      </c>
      <c r="Y14" s="187">
        <f t="shared" si="3"/>
        <v>3.5330697519036412E-2</v>
      </c>
      <c r="Z14" s="187">
        <f t="shared" si="4"/>
        <v>0</v>
      </c>
      <c r="AA14" s="185">
        <f t="shared" si="5"/>
        <v>-1.6299999999999995E-2</v>
      </c>
      <c r="AB14" s="186">
        <f t="shared" si="6"/>
        <v>5.6900000000000062E-2</v>
      </c>
    </row>
    <row r="15" spans="1:32" ht="14.25" customHeight="1">
      <c r="A15" s="198">
        <v>10</v>
      </c>
      <c r="B15" s="84" t="s">
        <v>34</v>
      </c>
      <c r="C15" s="85" t="s">
        <v>35</v>
      </c>
      <c r="D15" s="171" t="s">
        <v>330</v>
      </c>
      <c r="E15" s="96">
        <v>21965888313.869999</v>
      </c>
      <c r="F15" s="91">
        <f t="shared" si="0"/>
        <v>8.9142537137994221E-2</v>
      </c>
      <c r="G15" s="171" t="s">
        <v>330</v>
      </c>
      <c r="H15" s="90">
        <v>5.9513069999999999</v>
      </c>
      <c r="I15" s="171" t="s">
        <v>330</v>
      </c>
      <c r="J15" s="90">
        <v>6.0013829999999997</v>
      </c>
      <c r="K15" s="92">
        <v>10527</v>
      </c>
      <c r="L15" s="93">
        <v>-4.3719384887175305E-3</v>
      </c>
      <c r="M15" s="93">
        <v>0.49591290721997749</v>
      </c>
      <c r="N15" s="171" t="s">
        <v>330</v>
      </c>
      <c r="O15" s="96">
        <v>22757841222.57</v>
      </c>
      <c r="P15" s="91">
        <f t="shared" si="1"/>
        <v>8.7103281776955185E-2</v>
      </c>
      <c r="Q15" s="171" t="s">
        <v>330</v>
      </c>
      <c r="R15" s="90">
        <v>5.9732000000000003</v>
      </c>
      <c r="S15" s="171" t="s">
        <v>330</v>
      </c>
      <c r="T15" s="90">
        <v>6.0242000000000004</v>
      </c>
      <c r="U15" s="92">
        <v>10883</v>
      </c>
      <c r="V15" s="93">
        <v>3.7000000000000002E-3</v>
      </c>
      <c r="W15" s="93">
        <v>0.50139999999999996</v>
      </c>
      <c r="X15" s="187">
        <f t="shared" si="2"/>
        <v>3.6053761968731085E-2</v>
      </c>
      <c r="Y15" s="187">
        <f t="shared" si="3"/>
        <v>3.8019569822490508E-3</v>
      </c>
      <c r="Z15" s="187">
        <f t="shared" si="4"/>
        <v>3.3817801842880212E-2</v>
      </c>
      <c r="AA15" s="185">
        <f t="shared" si="5"/>
        <v>8.0719384887175307E-3</v>
      </c>
      <c r="AB15" s="186">
        <f t="shared" si="6"/>
        <v>5.4870927800224623E-3</v>
      </c>
      <c r="AD15" s="50"/>
    </row>
    <row r="16" spans="1:32" ht="14.25" customHeight="1">
      <c r="A16" s="198">
        <v>11</v>
      </c>
      <c r="B16" s="84" t="s">
        <v>36</v>
      </c>
      <c r="C16" s="85" t="s">
        <v>37</v>
      </c>
      <c r="D16" s="171" t="s">
        <v>330</v>
      </c>
      <c r="E16" s="96">
        <v>570191827.59000003</v>
      </c>
      <c r="F16" s="91">
        <f t="shared" si="0"/>
        <v>2.3139672496025419E-3</v>
      </c>
      <c r="G16" s="171" t="s">
        <v>330</v>
      </c>
      <c r="H16" s="90">
        <v>47</v>
      </c>
      <c r="I16" s="171" t="s">
        <v>330</v>
      </c>
      <c r="J16" s="90">
        <v>47.37</v>
      </c>
      <c r="K16" s="92">
        <v>121</v>
      </c>
      <c r="L16" s="93">
        <v>0</v>
      </c>
      <c r="M16" s="93">
        <v>0.79</v>
      </c>
      <c r="N16" s="171" t="s">
        <v>330</v>
      </c>
      <c r="O16" s="96">
        <v>586158174.05999994</v>
      </c>
      <c r="P16" s="91">
        <f t="shared" si="1"/>
        <v>2.2434597421471959E-3</v>
      </c>
      <c r="Q16" s="171" t="s">
        <v>330</v>
      </c>
      <c r="R16" s="90">
        <v>47.71</v>
      </c>
      <c r="S16" s="171" t="s">
        <v>330</v>
      </c>
      <c r="T16" s="90">
        <v>48.02</v>
      </c>
      <c r="U16" s="92">
        <v>122</v>
      </c>
      <c r="V16" s="93">
        <v>0.02</v>
      </c>
      <c r="W16" s="93">
        <v>0.82</v>
      </c>
      <c r="X16" s="187">
        <f t="shared" ref="X16" si="7">((O16-E16)/E16)</f>
        <v>2.8001710472568556E-2</v>
      </c>
      <c r="Y16" s="187">
        <f t="shared" ref="Y16" si="8">((T16-J16)/J16)</f>
        <v>1.3721764830061342E-2</v>
      </c>
      <c r="Z16" s="187">
        <f t="shared" ref="Z16" si="9">((U16-K16)/K16)</f>
        <v>8.2644628099173556E-3</v>
      </c>
      <c r="AA16" s="185">
        <f t="shared" ref="AA16" si="10">V16-L16</f>
        <v>0.02</v>
      </c>
      <c r="AB16" s="186">
        <f t="shared" ref="AB16" si="11">W16-M16</f>
        <v>2.9999999999999916E-2</v>
      </c>
      <c r="AD16" s="41"/>
    </row>
    <row r="17" spans="1:33">
      <c r="A17" s="198">
        <v>12</v>
      </c>
      <c r="B17" s="84" t="s">
        <v>319</v>
      </c>
      <c r="C17" s="85" t="s">
        <v>38</v>
      </c>
      <c r="D17" s="171" t="s">
        <v>330</v>
      </c>
      <c r="E17" s="96">
        <v>4149534319.1900001</v>
      </c>
      <c r="F17" s="91">
        <f t="shared" si="0"/>
        <v>1.6839747697351665E-2</v>
      </c>
      <c r="G17" s="171" t="s">
        <v>330</v>
      </c>
      <c r="H17" s="90">
        <v>8.23</v>
      </c>
      <c r="I17" s="171" t="s">
        <v>330</v>
      </c>
      <c r="J17" s="90">
        <v>8.4</v>
      </c>
      <c r="K17" s="92">
        <v>3803</v>
      </c>
      <c r="L17" s="93">
        <v>3.3599999999999998E-2</v>
      </c>
      <c r="M17" s="93">
        <v>0.4864</v>
      </c>
      <c r="N17" s="171" t="s">
        <v>330</v>
      </c>
      <c r="O17" s="96">
        <v>4365496342.5200005</v>
      </c>
      <c r="P17" s="91">
        <f t="shared" si="1"/>
        <v>1.6708485409489382E-2</v>
      </c>
      <c r="Q17" s="171" t="s">
        <v>330</v>
      </c>
      <c r="R17" s="90">
        <v>8.48</v>
      </c>
      <c r="S17" s="171" t="s">
        <v>330</v>
      </c>
      <c r="T17" s="90">
        <v>8.67</v>
      </c>
      <c r="U17" s="92">
        <v>3810</v>
      </c>
      <c r="V17" s="93">
        <v>2.0899999999999998E-2</v>
      </c>
      <c r="W17" s="93">
        <v>0.53339999999999999</v>
      </c>
      <c r="X17" s="187">
        <f t="shared" si="2"/>
        <v>5.2044881839212444E-2</v>
      </c>
      <c r="Y17" s="187">
        <f t="shared" si="3"/>
        <v>3.2142857142857091E-2</v>
      </c>
      <c r="Z17" s="187">
        <f t="shared" si="4"/>
        <v>1.8406521167499343E-3</v>
      </c>
      <c r="AA17" s="185">
        <f t="shared" si="5"/>
        <v>-1.2699999999999999E-2</v>
      </c>
      <c r="AB17" s="186">
        <f t="shared" si="6"/>
        <v>4.6999999999999986E-2</v>
      </c>
      <c r="AC17" s="41"/>
    </row>
    <row r="18" spans="1:33">
      <c r="A18" s="198">
        <v>13</v>
      </c>
      <c r="B18" s="84" t="s">
        <v>39</v>
      </c>
      <c r="C18" s="85" t="s">
        <v>40</v>
      </c>
      <c r="D18" s="171" t="s">
        <v>330</v>
      </c>
      <c r="E18" s="90">
        <v>10608176339.030001</v>
      </c>
      <c r="F18" s="91">
        <f t="shared" si="0"/>
        <v>4.3050376099347858E-2</v>
      </c>
      <c r="G18" s="171" t="s">
        <v>330</v>
      </c>
      <c r="H18" s="90">
        <v>50.541953999999997</v>
      </c>
      <c r="I18" s="171" t="s">
        <v>330</v>
      </c>
      <c r="J18" s="90">
        <v>50.769976999999997</v>
      </c>
      <c r="K18" s="92">
        <v>2119</v>
      </c>
      <c r="L18" s="93">
        <v>-9.2999999999999992E-3</v>
      </c>
      <c r="M18" s="93">
        <v>0.55369999999999997</v>
      </c>
      <c r="N18" s="171" t="s">
        <v>330</v>
      </c>
      <c r="O18" s="90">
        <v>11046423511.639999</v>
      </c>
      <c r="P18" s="91">
        <f>(O18/$O$26)</f>
        <v>4.2279042653998462E-2</v>
      </c>
      <c r="Q18" s="171" t="s">
        <v>330</v>
      </c>
      <c r="R18" s="90">
        <v>51.67</v>
      </c>
      <c r="S18" s="171" t="s">
        <v>330</v>
      </c>
      <c r="T18" s="90">
        <v>51.92</v>
      </c>
      <c r="U18" s="92">
        <v>2192</v>
      </c>
      <c r="V18" s="93">
        <v>2.23E-2</v>
      </c>
      <c r="W18" s="93">
        <v>0.58840000000000003</v>
      </c>
      <c r="X18" s="187">
        <f t="shared" si="2"/>
        <v>4.1312206604030823E-2</v>
      </c>
      <c r="Y18" s="187">
        <f t="shared" si="3"/>
        <v>2.2651635237100946E-2</v>
      </c>
      <c r="Z18" s="187">
        <f t="shared" si="4"/>
        <v>3.4450212364322795E-2</v>
      </c>
      <c r="AA18" s="185">
        <f t="shared" si="5"/>
        <v>3.1600000000000003E-2</v>
      </c>
      <c r="AB18" s="186">
        <f t="shared" si="6"/>
        <v>3.4700000000000064E-2</v>
      </c>
    </row>
    <row r="19" spans="1:33">
      <c r="A19" s="198">
        <v>14</v>
      </c>
      <c r="B19" s="84" t="s">
        <v>41</v>
      </c>
      <c r="C19" s="85" t="s">
        <v>42</v>
      </c>
      <c r="D19" s="171" t="s">
        <v>330</v>
      </c>
      <c r="E19" s="90">
        <v>356160261.12</v>
      </c>
      <c r="F19" s="91">
        <f t="shared" si="0"/>
        <v>1.4453788005432003E-3</v>
      </c>
      <c r="G19" s="171" t="s">
        <v>330</v>
      </c>
      <c r="H19" s="90">
        <v>3.2629280000000001</v>
      </c>
      <c r="I19" s="171" t="s">
        <v>330</v>
      </c>
      <c r="J19" s="90">
        <v>3.3300740000000002</v>
      </c>
      <c r="K19" s="92">
        <v>39</v>
      </c>
      <c r="L19" s="93">
        <v>4.5999999999999999E-2</v>
      </c>
      <c r="M19" s="93">
        <v>0.65649999999999997</v>
      </c>
      <c r="N19" s="171" t="s">
        <v>330</v>
      </c>
      <c r="O19" s="90">
        <v>367695760.44999999</v>
      </c>
      <c r="P19" s="91">
        <f t="shared" si="1"/>
        <v>1.4073174655469961E-3</v>
      </c>
      <c r="Q19" s="171" t="s">
        <v>330</v>
      </c>
      <c r="R19" s="90">
        <v>3.36</v>
      </c>
      <c r="S19" s="171" t="s">
        <v>330</v>
      </c>
      <c r="T19" s="90">
        <v>3.43</v>
      </c>
      <c r="U19" s="92">
        <v>41</v>
      </c>
      <c r="V19" s="93">
        <v>-4.3099999999999999E-2</v>
      </c>
      <c r="W19" s="93">
        <v>0.3332</v>
      </c>
      <c r="X19" s="187">
        <f t="shared" si="2"/>
        <v>3.2388507616556809E-2</v>
      </c>
      <c r="Y19" s="187">
        <f t="shared" si="3"/>
        <v>3.0007140982452628E-2</v>
      </c>
      <c r="Z19" s="187">
        <f t="shared" si="4"/>
        <v>5.128205128205128E-2</v>
      </c>
      <c r="AA19" s="185">
        <f t="shared" si="5"/>
        <v>-8.9099999999999999E-2</v>
      </c>
      <c r="AB19" s="186">
        <f t="shared" si="6"/>
        <v>-0.32329999999999998</v>
      </c>
    </row>
    <row r="20" spans="1:33">
      <c r="A20" s="198">
        <v>15</v>
      </c>
      <c r="B20" s="84" t="s">
        <v>43</v>
      </c>
      <c r="C20" s="85" t="s">
        <v>44</v>
      </c>
      <c r="D20" s="171" t="s">
        <v>330</v>
      </c>
      <c r="E20" s="97">
        <v>23921766377.080002</v>
      </c>
      <c r="F20" s="91">
        <f t="shared" si="0"/>
        <v>9.7079932175052397E-2</v>
      </c>
      <c r="G20" s="171" t="s">
        <v>330</v>
      </c>
      <c r="H20" s="90">
        <v>77.7</v>
      </c>
      <c r="I20" s="171" t="s">
        <v>330</v>
      </c>
      <c r="J20" s="90">
        <v>77.83</v>
      </c>
      <c r="K20" s="92">
        <v>18693</v>
      </c>
      <c r="L20" s="93">
        <v>-4.0399999999999998E-2</v>
      </c>
      <c r="M20" s="93">
        <v>0.63700000000000001</v>
      </c>
      <c r="N20" s="171" t="s">
        <v>330</v>
      </c>
      <c r="O20" s="97">
        <v>25432602882.889999</v>
      </c>
      <c r="P20" s="91">
        <f t="shared" si="1"/>
        <v>9.7340655186256939E-2</v>
      </c>
      <c r="Q20" s="171" t="s">
        <v>330</v>
      </c>
      <c r="R20" s="90">
        <v>78.680000000000007</v>
      </c>
      <c r="S20" s="171" t="s">
        <v>330</v>
      </c>
      <c r="T20" s="90">
        <v>78.84</v>
      </c>
      <c r="U20" s="92">
        <v>18918</v>
      </c>
      <c r="V20" s="93">
        <v>2.0799999999999999E-2</v>
      </c>
      <c r="W20" s="93">
        <v>0.65780000000000005</v>
      </c>
      <c r="X20" s="187">
        <f t="shared" si="2"/>
        <v>6.3157397409313601E-2</v>
      </c>
      <c r="Y20" s="187">
        <f t="shared" si="3"/>
        <v>1.2977001156366505E-2</v>
      </c>
      <c r="Z20" s="187">
        <f t="shared" si="4"/>
        <v>1.2036591237361579E-2</v>
      </c>
      <c r="AA20" s="185">
        <f t="shared" si="5"/>
        <v>6.1199999999999997E-2</v>
      </c>
      <c r="AB20" s="186">
        <f t="shared" si="6"/>
        <v>2.0800000000000041E-2</v>
      </c>
    </row>
    <row r="21" spans="1:33" ht="12.75" customHeight="1">
      <c r="A21" s="198">
        <v>16</v>
      </c>
      <c r="B21" s="84" t="s">
        <v>45</v>
      </c>
      <c r="C21" s="85" t="s">
        <v>46</v>
      </c>
      <c r="D21" s="171" t="s">
        <v>330</v>
      </c>
      <c r="E21" s="90">
        <v>5100026672.0799999</v>
      </c>
      <c r="F21" s="91">
        <f t="shared" si="0"/>
        <v>2.0697060393118007E-2</v>
      </c>
      <c r="G21" s="171" t="s">
        <v>330</v>
      </c>
      <c r="H21" s="90">
        <v>17907.04</v>
      </c>
      <c r="I21" s="171" t="s">
        <v>330</v>
      </c>
      <c r="J21" s="90">
        <v>18137.73</v>
      </c>
      <c r="K21" s="92">
        <v>77</v>
      </c>
      <c r="L21" s="93">
        <v>-3.6981025592407998E-4</v>
      </c>
      <c r="M21" s="93">
        <v>0.41025196441428302</v>
      </c>
      <c r="N21" s="171" t="s">
        <v>330</v>
      </c>
      <c r="O21" s="90">
        <v>5353135546.7700005</v>
      </c>
      <c r="P21" s="91">
        <f t="shared" si="1"/>
        <v>2.0488572240240227E-2</v>
      </c>
      <c r="Q21" s="171" t="s">
        <v>330</v>
      </c>
      <c r="R21" s="90">
        <v>18400.8</v>
      </c>
      <c r="S21" s="171" t="s">
        <v>330</v>
      </c>
      <c r="T21" s="90">
        <v>18657.63</v>
      </c>
      <c r="U21" s="92">
        <v>81</v>
      </c>
      <c r="V21" s="93">
        <v>2.87E-2</v>
      </c>
      <c r="W21" s="93">
        <v>0.45069999999999999</v>
      </c>
      <c r="X21" s="187">
        <f t="shared" si="2"/>
        <v>4.962893156532696E-2</v>
      </c>
      <c r="Y21" s="187">
        <f t="shared" si="3"/>
        <v>2.8664005914742444E-2</v>
      </c>
      <c r="Z21" s="187">
        <f t="shared" si="4"/>
        <v>5.1948051948051951E-2</v>
      </c>
      <c r="AA21" s="185">
        <f t="shared" si="5"/>
        <v>2.9069810255924079E-2</v>
      </c>
      <c r="AB21" s="186">
        <f t="shared" si="6"/>
        <v>4.0448035585716968E-2</v>
      </c>
      <c r="AD21" s="41"/>
    </row>
    <row r="22" spans="1:33">
      <c r="A22" s="198">
        <v>17</v>
      </c>
      <c r="B22" s="84" t="s">
        <v>47</v>
      </c>
      <c r="C22" s="85" t="s">
        <v>46</v>
      </c>
      <c r="D22" s="171" t="s">
        <v>330</v>
      </c>
      <c r="E22" s="90">
        <v>71391259149.580002</v>
      </c>
      <c r="F22" s="91">
        <f t="shared" si="0"/>
        <v>0.28972185777941717</v>
      </c>
      <c r="G22" s="171" t="s">
        <v>330</v>
      </c>
      <c r="H22" s="90">
        <v>63575.45</v>
      </c>
      <c r="I22" s="171" t="s">
        <v>330</v>
      </c>
      <c r="J22" s="90">
        <v>64363.14</v>
      </c>
      <c r="K22" s="92">
        <v>30116</v>
      </c>
      <c r="L22" s="93">
        <v>-1.71356092751851E-2</v>
      </c>
      <c r="M22" s="93">
        <v>0.48720639735587701</v>
      </c>
      <c r="N22" s="171" t="s">
        <v>330</v>
      </c>
      <c r="O22" s="90">
        <v>75107298182.220001</v>
      </c>
      <c r="P22" s="91">
        <f t="shared" si="1"/>
        <v>0.28746540996971226</v>
      </c>
      <c r="Q22" s="171" t="s">
        <v>330</v>
      </c>
      <c r="R22" s="90">
        <v>65112.29</v>
      </c>
      <c r="S22" s="171" t="s">
        <v>330</v>
      </c>
      <c r="T22" s="90">
        <v>65937.23</v>
      </c>
      <c r="U22" s="92">
        <v>30652</v>
      </c>
      <c r="V22" s="93">
        <v>2.4500000000000001E-2</v>
      </c>
      <c r="W22" s="93">
        <v>0.52359999999999995</v>
      </c>
      <c r="X22" s="187">
        <f t="shared" si="2"/>
        <v>5.2051736821928027E-2</v>
      </c>
      <c r="Y22" s="187">
        <f t="shared" si="3"/>
        <v>2.4456389169328852E-2</v>
      </c>
      <c r="Z22" s="187">
        <f t="shared" si="4"/>
        <v>1.779784831982999E-2</v>
      </c>
      <c r="AA22" s="185">
        <f t="shared" si="5"/>
        <v>4.1635609275185101E-2</v>
      </c>
      <c r="AB22" s="186">
        <f t="shared" si="6"/>
        <v>3.6393602644122947E-2</v>
      </c>
    </row>
    <row r="23" spans="1:33">
      <c r="A23" s="198">
        <v>18</v>
      </c>
      <c r="B23" s="85" t="s">
        <v>48</v>
      </c>
      <c r="C23" s="85" t="s">
        <v>49</v>
      </c>
      <c r="D23" s="171" t="s">
        <v>330</v>
      </c>
      <c r="E23" s="90">
        <v>17474552382.400002</v>
      </c>
      <c r="F23" s="91">
        <f t="shared" si="0"/>
        <v>7.0915681280884824E-2</v>
      </c>
      <c r="G23" s="171" t="s">
        <v>330</v>
      </c>
      <c r="H23" s="90">
        <v>2.7656800000000001</v>
      </c>
      <c r="I23" s="171" t="s">
        <v>330</v>
      </c>
      <c r="J23" s="98">
        <v>2.7908900000000001</v>
      </c>
      <c r="K23" s="92">
        <v>8512</v>
      </c>
      <c r="L23" s="93">
        <v>-0.1449</v>
      </c>
      <c r="M23" s="93">
        <v>0.43869999999999998</v>
      </c>
      <c r="N23" s="171" t="s">
        <v>330</v>
      </c>
      <c r="O23" s="90">
        <v>17968703772.27</v>
      </c>
      <c r="P23" s="91">
        <f t="shared" si="1"/>
        <v>6.8773353875518597E-2</v>
      </c>
      <c r="Q23" s="171" t="s">
        <v>330</v>
      </c>
      <c r="R23" s="90">
        <v>2.8043999999999998</v>
      </c>
      <c r="S23" s="171" t="s">
        <v>330</v>
      </c>
      <c r="T23" s="98">
        <v>2.8308</v>
      </c>
      <c r="U23" s="92">
        <v>8624</v>
      </c>
      <c r="V23" s="93">
        <v>1.4E-2</v>
      </c>
      <c r="W23" s="93">
        <v>0.45889999999999997</v>
      </c>
      <c r="X23" s="187">
        <f t="shared" ref="X23:X24" si="12">((O23-E23)/E23)</f>
        <v>2.8278343219120036E-2</v>
      </c>
      <c r="Y23" s="187">
        <f t="shared" ref="Y23:Y24" si="13">((T23-J23)/J23)</f>
        <v>1.4300097818258651E-2</v>
      </c>
      <c r="Z23" s="187">
        <f t="shared" ref="Z23:Z24" si="14">((U23-K23)/K23)</f>
        <v>1.3157894736842105E-2</v>
      </c>
      <c r="AA23" s="185">
        <f t="shared" ref="AA23:AA24" si="15">V23-L23</f>
        <v>0.15890000000000001</v>
      </c>
      <c r="AB23" s="186">
        <f t="shared" ref="AB23:AB24" si="16">W23-M23</f>
        <v>2.0199999999999996E-2</v>
      </c>
      <c r="AD23" s="50"/>
      <c r="AE23" s="50"/>
    </row>
    <row r="24" spans="1:33">
      <c r="A24" s="203">
        <v>19</v>
      </c>
      <c r="B24" s="84" t="s">
        <v>303</v>
      </c>
      <c r="C24" s="85" t="s">
        <v>119</v>
      </c>
      <c r="D24" s="171" t="s">
        <v>330</v>
      </c>
      <c r="E24" s="90">
        <v>11234718149.98</v>
      </c>
      <c r="F24" s="91">
        <f t="shared" si="0"/>
        <v>4.5593024311569252E-2</v>
      </c>
      <c r="G24" s="171" t="s">
        <v>330</v>
      </c>
      <c r="H24" s="90">
        <v>2.12</v>
      </c>
      <c r="I24" s="171" t="s">
        <v>330</v>
      </c>
      <c r="J24" s="98">
        <v>2.15</v>
      </c>
      <c r="K24" s="92">
        <v>3125</v>
      </c>
      <c r="L24" s="93">
        <v>3.2440999999999998E-2</v>
      </c>
      <c r="M24" s="93">
        <v>1.090581</v>
      </c>
      <c r="N24" s="171" t="s">
        <v>330</v>
      </c>
      <c r="O24" s="90">
        <v>14150624949.25</v>
      </c>
      <c r="P24" s="91">
        <f t="shared" si="1"/>
        <v>5.416005236261788E-2</v>
      </c>
      <c r="Q24" s="171" t="s">
        <v>330</v>
      </c>
      <c r="R24" s="90">
        <v>2.17</v>
      </c>
      <c r="S24" s="171" t="s">
        <v>330</v>
      </c>
      <c r="T24" s="98">
        <v>2.2000000000000002</v>
      </c>
      <c r="U24" s="92">
        <v>3706</v>
      </c>
      <c r="V24" s="93">
        <v>2.3800000000000002E-2</v>
      </c>
      <c r="W24" s="93">
        <v>1.1402000000000001</v>
      </c>
      <c r="X24" s="187">
        <f t="shared" si="12"/>
        <v>0.25954427697638249</v>
      </c>
      <c r="Y24" s="187">
        <f t="shared" si="13"/>
        <v>2.3255813953488497E-2</v>
      </c>
      <c r="Z24" s="187">
        <f t="shared" si="14"/>
        <v>0.18592</v>
      </c>
      <c r="AA24" s="185">
        <f t="shared" si="15"/>
        <v>-8.6409999999999959E-3</v>
      </c>
      <c r="AB24" s="186">
        <f t="shared" si="16"/>
        <v>4.961900000000008E-2</v>
      </c>
      <c r="AD24" s="41"/>
      <c r="AE24" s="41"/>
      <c r="AF24" s="41"/>
      <c r="AG24" s="41"/>
    </row>
    <row r="25" spans="1:33">
      <c r="A25" s="198">
        <v>20</v>
      </c>
      <c r="B25" s="85" t="s">
        <v>50</v>
      </c>
      <c r="C25" s="85" t="s">
        <v>51</v>
      </c>
      <c r="D25" s="171" t="s">
        <v>330</v>
      </c>
      <c r="E25" s="90">
        <v>20611313940.830002</v>
      </c>
      <c r="F25" s="91">
        <f>(E25/$E$26)</f>
        <v>8.3645368317434965E-2</v>
      </c>
      <c r="G25" s="171" t="s">
        <v>330</v>
      </c>
      <c r="H25" s="90">
        <v>351.89</v>
      </c>
      <c r="I25" s="171" t="s">
        <v>330</v>
      </c>
      <c r="J25" s="98">
        <v>357.36</v>
      </c>
      <c r="K25" s="92">
        <v>147</v>
      </c>
      <c r="L25" s="93">
        <v>-8.2000000000000007E-3</v>
      </c>
      <c r="M25" s="93">
        <v>0.66459999999999997</v>
      </c>
      <c r="N25" s="171" t="s">
        <v>330</v>
      </c>
      <c r="O25" s="90">
        <v>22220717040.84</v>
      </c>
      <c r="P25" s="91">
        <f t="shared" si="1"/>
        <v>8.504749456529094E-2</v>
      </c>
      <c r="Q25" s="171" t="s">
        <v>330</v>
      </c>
      <c r="R25" s="90">
        <v>363.01</v>
      </c>
      <c r="S25" s="171" t="s">
        <v>330</v>
      </c>
      <c r="T25" s="98">
        <v>368.81</v>
      </c>
      <c r="U25" s="92">
        <v>149</v>
      </c>
      <c r="V25" s="93">
        <v>3.1899999999999998E-2</v>
      </c>
      <c r="W25" s="93">
        <v>0.7177</v>
      </c>
      <c r="X25" s="187">
        <f t="shared" si="2"/>
        <v>7.8083479036329159E-2</v>
      </c>
      <c r="Y25" s="187">
        <f t="shared" si="3"/>
        <v>3.204051936422652E-2</v>
      </c>
      <c r="Z25" s="187">
        <f t="shared" si="4"/>
        <v>1.3605442176870748E-2</v>
      </c>
      <c r="AA25" s="185">
        <f t="shared" si="5"/>
        <v>4.0099999999999997E-2</v>
      </c>
      <c r="AB25" s="186">
        <f t="shared" si="6"/>
        <v>5.3100000000000036E-2</v>
      </c>
      <c r="AD25" s="41"/>
      <c r="AE25" s="41"/>
    </row>
    <row r="26" spans="1:33">
      <c r="B26" s="99"/>
      <c r="C26" s="100" t="s">
        <v>52</v>
      </c>
      <c r="D26" s="145" t="s">
        <v>330</v>
      </c>
      <c r="E26" s="101">
        <f>SUM(E6:E25)</f>
        <v>246413093222.44684</v>
      </c>
      <c r="F26" s="102">
        <f>(E26/$E$238)</f>
        <v>2.7798104705437383E-2</v>
      </c>
      <c r="G26" s="171"/>
      <c r="H26" s="103"/>
      <c r="I26" s="103"/>
      <c r="J26" s="104"/>
      <c r="K26" s="105">
        <f>SUM(K6:K25)</f>
        <v>101067</v>
      </c>
      <c r="L26" s="106"/>
      <c r="M26" s="92">
        <v>0</v>
      </c>
      <c r="N26" s="171" t="s">
        <v>330</v>
      </c>
      <c r="O26" s="101">
        <f>SUM(O6:O25)</f>
        <v>261274211009.01639</v>
      </c>
      <c r="P26" s="102">
        <f>(O26/$O$238)</f>
        <v>2.9332549719830219E-2</v>
      </c>
      <c r="Q26" s="173"/>
      <c r="R26" s="103"/>
      <c r="S26" s="103"/>
      <c r="T26" s="104"/>
      <c r="U26" s="105">
        <f>SUM(U6:U25)</f>
        <v>103420</v>
      </c>
      <c r="V26" s="106"/>
      <c r="W26" s="105"/>
      <c r="X26" s="187">
        <f t="shared" si="2"/>
        <v>6.0309773284465171E-2</v>
      </c>
      <c r="Y26" s="187" t="e">
        <f t="shared" si="3"/>
        <v>#DIV/0!</v>
      </c>
      <c r="Z26" s="187">
        <f t="shared" si="4"/>
        <v>2.3281585482897483E-2</v>
      </c>
      <c r="AA26" s="185">
        <f t="shared" si="5"/>
        <v>0</v>
      </c>
      <c r="AB26" s="186">
        <f t="shared" si="6"/>
        <v>0</v>
      </c>
    </row>
    <row r="27" spans="1:33" ht="4.5" customHeight="1"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</row>
    <row r="28" spans="1:33" ht="15" customHeight="1">
      <c r="A28" s="191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</row>
    <row r="29" spans="1:33" ht="16.8" customHeight="1">
      <c r="A29" s="199">
        <v>21</v>
      </c>
      <c r="B29" s="84" t="s">
        <v>54</v>
      </c>
      <c r="C29" s="85" t="s">
        <v>19</v>
      </c>
      <c r="D29" s="171" t="s">
        <v>330</v>
      </c>
      <c r="E29" s="107">
        <v>6063986673.3999996</v>
      </c>
      <c r="F29" s="91">
        <f t="shared" ref="F29:F36" si="17">(E29/$O$76)</f>
        <v>1.054465116135158E-3</v>
      </c>
      <c r="G29" s="171" t="s">
        <v>330</v>
      </c>
      <c r="H29" s="98">
        <v>100</v>
      </c>
      <c r="I29" s="171" t="s">
        <v>330</v>
      </c>
      <c r="J29" s="98">
        <v>100</v>
      </c>
      <c r="K29" s="92">
        <v>928</v>
      </c>
      <c r="L29" s="93">
        <v>0.13569999999999999</v>
      </c>
      <c r="M29" s="93">
        <v>0.13569999999999999</v>
      </c>
      <c r="N29" s="171" t="s">
        <v>330</v>
      </c>
      <c r="O29" s="107">
        <v>6020085805.5900002</v>
      </c>
      <c r="P29" s="91">
        <f t="shared" ref="P29:P36" si="18">(O29/$O$76)</f>
        <v>1.0468312052829512E-3</v>
      </c>
      <c r="Q29" s="171" t="s">
        <v>330</v>
      </c>
      <c r="R29" s="98">
        <v>100</v>
      </c>
      <c r="S29" s="171" t="s">
        <v>330</v>
      </c>
      <c r="T29" s="98">
        <v>100</v>
      </c>
      <c r="U29" s="92">
        <v>928</v>
      </c>
      <c r="V29" s="93">
        <v>0.1391</v>
      </c>
      <c r="W29" s="93">
        <v>0.1391</v>
      </c>
      <c r="X29" s="187">
        <f>((O29-E29)/E29)</f>
        <v>-7.2396049289773275E-3</v>
      </c>
      <c r="Y29" s="187">
        <f>((T29-J29)/J29)</f>
        <v>0</v>
      </c>
      <c r="Z29" s="187">
        <f>((U29-K29)/K29)</f>
        <v>0</v>
      </c>
      <c r="AA29" s="187">
        <f>V29-L29</f>
        <v>3.4000000000000141E-3</v>
      </c>
      <c r="AB29" s="188">
        <f>W29-M29</f>
        <v>3.4000000000000141E-3</v>
      </c>
    </row>
    <row r="30" spans="1:33" ht="15.6">
      <c r="A30" s="199">
        <v>22</v>
      </c>
      <c r="B30" s="84" t="s">
        <v>55</v>
      </c>
      <c r="C30" s="85" t="s">
        <v>56</v>
      </c>
      <c r="D30" s="171" t="s">
        <v>330</v>
      </c>
      <c r="E30" s="107">
        <v>40695677325.779999</v>
      </c>
      <c r="F30" s="91">
        <f t="shared" si="17"/>
        <v>7.0765610857563468E-3</v>
      </c>
      <c r="G30" s="171" t="s">
        <v>330</v>
      </c>
      <c r="H30" s="98">
        <v>100</v>
      </c>
      <c r="I30" s="171" t="s">
        <v>330</v>
      </c>
      <c r="J30" s="98">
        <v>100</v>
      </c>
      <c r="K30" s="92">
        <v>4863</v>
      </c>
      <c r="L30" s="93">
        <v>0.17488999999999999</v>
      </c>
      <c r="M30" s="93">
        <v>0.17488999999999999</v>
      </c>
      <c r="N30" s="171" t="s">
        <v>330</v>
      </c>
      <c r="O30" s="107">
        <v>40837866273.860001</v>
      </c>
      <c r="P30" s="91">
        <f t="shared" si="18"/>
        <v>7.1012862861444025E-3</v>
      </c>
      <c r="Q30" s="171" t="s">
        <v>330</v>
      </c>
      <c r="R30" s="98">
        <v>100</v>
      </c>
      <c r="S30" s="171" t="s">
        <v>330</v>
      </c>
      <c r="T30" s="98">
        <v>100</v>
      </c>
      <c r="U30" s="92">
        <v>4903</v>
      </c>
      <c r="V30" s="93">
        <v>0.17525099999999999</v>
      </c>
      <c r="W30" s="93">
        <v>0.17525099999999999</v>
      </c>
      <c r="X30" s="187">
        <f t="shared" ref="X30:X76" si="19">((O30-E30)/E30)</f>
        <v>3.493957034840347E-3</v>
      </c>
      <c r="Y30" s="187">
        <f t="shared" ref="Y30:Y76" si="20">((T30-J30)/J30)</f>
        <v>0</v>
      </c>
      <c r="Z30" s="187">
        <f t="shared" ref="Z30:Z76" si="21">((U30-K30)/K30)</f>
        <v>8.2253752827472753E-3</v>
      </c>
      <c r="AA30" s="185">
        <f t="shared" ref="AA30:AA76" si="22">V30-L30</f>
        <v>3.6100000000000021E-4</v>
      </c>
      <c r="AB30" s="186">
        <f t="shared" ref="AB30:AB76" si="23">W30-M30</f>
        <v>3.6100000000000021E-4</v>
      </c>
      <c r="AD30" s="170"/>
    </row>
    <row r="31" spans="1:33">
      <c r="A31" s="199">
        <v>23</v>
      </c>
      <c r="B31" s="84" t="s">
        <v>312</v>
      </c>
      <c r="C31" s="85" t="s">
        <v>311</v>
      </c>
      <c r="D31" s="171" t="s">
        <v>330</v>
      </c>
      <c r="E31" s="107">
        <v>1901440026.8900001</v>
      </c>
      <c r="F31" s="91">
        <f t="shared" si="17"/>
        <v>3.3064092762169988E-4</v>
      </c>
      <c r="G31" s="171" t="s">
        <v>330</v>
      </c>
      <c r="H31" s="98">
        <v>1</v>
      </c>
      <c r="I31" s="171" t="s">
        <v>330</v>
      </c>
      <c r="J31" s="98">
        <v>1</v>
      </c>
      <c r="K31" s="92">
        <v>179</v>
      </c>
      <c r="L31" s="93">
        <v>0.1709</v>
      </c>
      <c r="M31" s="93">
        <v>0.1709</v>
      </c>
      <c r="N31" s="171" t="s">
        <v>330</v>
      </c>
      <c r="O31" s="107">
        <v>1696696742.78</v>
      </c>
      <c r="P31" s="91">
        <f t="shared" si="18"/>
        <v>2.9503816948834541E-4</v>
      </c>
      <c r="Q31" s="171" t="s">
        <v>330</v>
      </c>
      <c r="R31" s="98">
        <v>1</v>
      </c>
      <c r="S31" s="171" t="s">
        <v>330</v>
      </c>
      <c r="T31" s="98">
        <v>1</v>
      </c>
      <c r="U31" s="92">
        <v>184</v>
      </c>
      <c r="V31" s="93">
        <v>0.1754</v>
      </c>
      <c r="W31" s="93">
        <v>0.1754</v>
      </c>
      <c r="X31" s="187">
        <f t="shared" ref="X31" si="24">((O31-E31)/E31)</f>
        <v>-0.1076780130924659</v>
      </c>
      <c r="Y31" s="187">
        <f t="shared" ref="Y31" si="25">((T31-J31)/J31)</f>
        <v>0</v>
      </c>
      <c r="Z31" s="187">
        <f t="shared" ref="Z31" si="26">((U31-K31)/K31)</f>
        <v>2.7932960893854747E-2</v>
      </c>
      <c r="AA31" s="185">
        <f t="shared" ref="AA31" si="27">V31-L31</f>
        <v>4.500000000000004E-3</v>
      </c>
      <c r="AB31" s="186">
        <f t="shared" ref="AB31" si="28">W31-M31</f>
        <v>4.500000000000004E-3</v>
      </c>
    </row>
    <row r="32" spans="1:33">
      <c r="A32" s="199">
        <v>24</v>
      </c>
      <c r="B32" s="84" t="s">
        <v>57</v>
      </c>
      <c r="C32" s="85" t="s">
        <v>21</v>
      </c>
      <c r="D32" s="171" t="s">
        <v>330</v>
      </c>
      <c r="E32" s="107">
        <v>3491046328.75</v>
      </c>
      <c r="F32" s="91">
        <f t="shared" si="17"/>
        <v>6.0705716729660814E-4</v>
      </c>
      <c r="G32" s="171" t="s">
        <v>330</v>
      </c>
      <c r="H32" s="98">
        <v>100</v>
      </c>
      <c r="I32" s="171" t="s">
        <v>330</v>
      </c>
      <c r="J32" s="98">
        <v>100</v>
      </c>
      <c r="K32" s="92">
        <v>2545</v>
      </c>
      <c r="L32" s="93">
        <v>0.16109999999999999</v>
      </c>
      <c r="M32" s="93">
        <v>0.16109999999999999</v>
      </c>
      <c r="N32" s="171" t="s">
        <v>330</v>
      </c>
      <c r="O32" s="107">
        <v>3501131712.3000002</v>
      </c>
      <c r="P32" s="91">
        <f t="shared" si="18"/>
        <v>6.0881091210329902E-4</v>
      </c>
      <c r="Q32" s="171" t="s">
        <v>330</v>
      </c>
      <c r="R32" s="98">
        <v>100</v>
      </c>
      <c r="S32" s="171" t="s">
        <v>330</v>
      </c>
      <c r="T32" s="98">
        <v>100</v>
      </c>
      <c r="U32" s="92">
        <v>2557</v>
      </c>
      <c r="V32" s="93">
        <v>0.1613</v>
      </c>
      <c r="W32" s="93">
        <v>0.1613</v>
      </c>
      <c r="X32" s="187">
        <f t="shared" si="19"/>
        <v>2.8889285905327276E-3</v>
      </c>
      <c r="Y32" s="187">
        <f t="shared" si="20"/>
        <v>0</v>
      </c>
      <c r="Z32" s="187">
        <f t="shared" si="21"/>
        <v>4.7151277013752456E-3</v>
      </c>
      <c r="AA32" s="185">
        <f t="shared" si="22"/>
        <v>2.0000000000000573E-4</v>
      </c>
      <c r="AB32" s="186">
        <f t="shared" si="23"/>
        <v>2.0000000000000573E-4</v>
      </c>
    </row>
    <row r="33" spans="1:28">
      <c r="A33" s="199">
        <v>25</v>
      </c>
      <c r="B33" s="84" t="s">
        <v>308</v>
      </c>
      <c r="C33" s="85" t="s">
        <v>309</v>
      </c>
      <c r="D33" s="171" t="s">
        <v>330</v>
      </c>
      <c r="E33" s="107">
        <v>970644309.34000003</v>
      </c>
      <c r="F33" s="91">
        <v>0</v>
      </c>
      <c r="G33" s="171" t="s">
        <v>330</v>
      </c>
      <c r="H33" s="98">
        <v>100</v>
      </c>
      <c r="I33" s="171" t="s">
        <v>330</v>
      </c>
      <c r="J33" s="98">
        <v>100</v>
      </c>
      <c r="K33" s="92">
        <v>149</v>
      </c>
      <c r="L33" s="93">
        <v>0.146649</v>
      </c>
      <c r="M33" s="93">
        <v>0.146649</v>
      </c>
      <c r="N33" s="171" t="s">
        <v>330</v>
      </c>
      <c r="O33" s="107">
        <v>1247702612.9000001</v>
      </c>
      <c r="P33" s="91">
        <f t="shared" si="18"/>
        <v>2.1696269326991537E-4</v>
      </c>
      <c r="Q33" s="171" t="s">
        <v>330</v>
      </c>
      <c r="R33" s="98">
        <v>100</v>
      </c>
      <c r="S33" s="171" t="s">
        <v>330</v>
      </c>
      <c r="T33" s="98">
        <v>100</v>
      </c>
      <c r="U33" s="92">
        <v>153</v>
      </c>
      <c r="V33" s="93">
        <v>0.15589700000000001</v>
      </c>
      <c r="W33" s="93">
        <v>0.15589700000000001</v>
      </c>
      <c r="X33" s="187">
        <f t="shared" ref="X33" si="29">((O33-E33)/E33)</f>
        <v>0.28543751907265474</v>
      </c>
      <c r="Y33" s="187">
        <f t="shared" ref="Y33" si="30">((T33-J33)/J33)</f>
        <v>0</v>
      </c>
      <c r="Z33" s="187">
        <f t="shared" ref="Z33" si="31">((U33-K33)/K33)</f>
        <v>2.6845637583892617E-2</v>
      </c>
      <c r="AA33" s="185">
        <f t="shared" ref="AA33" si="32">V33-L33</f>
        <v>9.2480000000000062E-3</v>
      </c>
      <c r="AB33" s="186">
        <f t="shared" ref="AB33" si="33">W33-M33</f>
        <v>9.2480000000000062E-3</v>
      </c>
    </row>
    <row r="34" spans="1:28">
      <c r="A34" s="199">
        <v>26</v>
      </c>
      <c r="B34" s="84" t="s">
        <v>58</v>
      </c>
      <c r="C34" s="85" t="s">
        <v>23</v>
      </c>
      <c r="D34" s="171" t="s">
        <v>330</v>
      </c>
      <c r="E34" s="107">
        <v>407314493321.71997</v>
      </c>
      <c r="F34" s="91">
        <f t="shared" si="17"/>
        <v>7.0827814709428755E-2</v>
      </c>
      <c r="G34" s="171" t="s">
        <v>330</v>
      </c>
      <c r="H34" s="98">
        <v>1</v>
      </c>
      <c r="I34" s="171" t="s">
        <v>330</v>
      </c>
      <c r="J34" s="98">
        <v>1</v>
      </c>
      <c r="K34" s="92">
        <v>84549</v>
      </c>
      <c r="L34" s="93">
        <v>0.1736</v>
      </c>
      <c r="M34" s="93">
        <v>0.1736</v>
      </c>
      <c r="N34" s="171" t="s">
        <v>330</v>
      </c>
      <c r="O34" s="107">
        <v>408167339905.44</v>
      </c>
      <c r="P34" s="91">
        <f t="shared" si="18"/>
        <v>7.0976115987182661E-2</v>
      </c>
      <c r="Q34" s="171" t="s">
        <v>330</v>
      </c>
      <c r="R34" s="98">
        <v>1</v>
      </c>
      <c r="S34" s="171" t="s">
        <v>330</v>
      </c>
      <c r="T34" s="98">
        <v>1</v>
      </c>
      <c r="U34" s="92">
        <v>84806</v>
      </c>
      <c r="V34" s="93">
        <v>0.1726</v>
      </c>
      <c r="W34" s="93">
        <v>0.1726</v>
      </c>
      <c r="X34" s="187">
        <f t="shared" si="19"/>
        <v>2.0938282278269078E-3</v>
      </c>
      <c r="Y34" s="187">
        <f t="shared" si="20"/>
        <v>0</v>
      </c>
      <c r="Z34" s="187">
        <f t="shared" si="21"/>
        <v>3.0396574767294704E-3</v>
      </c>
      <c r="AA34" s="185">
        <f t="shared" si="22"/>
        <v>-1.0000000000000009E-3</v>
      </c>
      <c r="AB34" s="186">
        <f t="shared" si="23"/>
        <v>-1.0000000000000009E-3</v>
      </c>
    </row>
    <row r="35" spans="1:28">
      <c r="A35" s="199">
        <v>27</v>
      </c>
      <c r="B35" s="84" t="s">
        <v>59</v>
      </c>
      <c r="C35" s="85" t="s">
        <v>60</v>
      </c>
      <c r="D35" s="171" t="s">
        <v>330</v>
      </c>
      <c r="E35" s="107">
        <v>2345607391.9200001</v>
      </c>
      <c r="F35" s="91">
        <f t="shared" si="17"/>
        <v>4.0787707891541686E-4</v>
      </c>
      <c r="G35" s="171" t="s">
        <v>330</v>
      </c>
      <c r="H35" s="98">
        <v>1</v>
      </c>
      <c r="I35" s="171" t="s">
        <v>330</v>
      </c>
      <c r="J35" s="98">
        <v>1</v>
      </c>
      <c r="K35" s="92">
        <v>597</v>
      </c>
      <c r="L35" s="93">
        <v>0.16880000000000001</v>
      </c>
      <c r="M35" s="93">
        <v>0.16880000000000001</v>
      </c>
      <c r="N35" s="171" t="s">
        <v>330</v>
      </c>
      <c r="O35" s="107">
        <v>2384290052.46</v>
      </c>
      <c r="P35" s="91">
        <f t="shared" si="18"/>
        <v>4.146035970190356E-4</v>
      </c>
      <c r="Q35" s="171" t="s">
        <v>330</v>
      </c>
      <c r="R35" s="98">
        <v>1</v>
      </c>
      <c r="S35" s="171" t="s">
        <v>330</v>
      </c>
      <c r="T35" s="98">
        <v>1</v>
      </c>
      <c r="U35" s="92">
        <v>597</v>
      </c>
      <c r="V35" s="93">
        <v>0.16900000000000001</v>
      </c>
      <c r="W35" s="93">
        <v>0.16900000000000001</v>
      </c>
      <c r="X35" s="187">
        <f t="shared" si="19"/>
        <v>1.6491532501667391E-2</v>
      </c>
      <c r="Y35" s="187">
        <f t="shared" si="20"/>
        <v>0</v>
      </c>
      <c r="Z35" s="187">
        <f t="shared" si="21"/>
        <v>0</v>
      </c>
      <c r="AA35" s="185">
        <f t="shared" si="22"/>
        <v>2.0000000000000573E-4</v>
      </c>
      <c r="AB35" s="186">
        <f t="shared" si="23"/>
        <v>2.0000000000000573E-4</v>
      </c>
    </row>
    <row r="36" spans="1:28">
      <c r="A36" s="199">
        <v>28</v>
      </c>
      <c r="B36" s="84" t="s">
        <v>61</v>
      </c>
      <c r="C36" s="85" t="s">
        <v>25</v>
      </c>
      <c r="D36" s="171" t="s">
        <v>330</v>
      </c>
      <c r="E36" s="107">
        <v>175975960859.74832</v>
      </c>
      <c r="F36" s="91">
        <f t="shared" si="17"/>
        <v>3.0600415535037631E-2</v>
      </c>
      <c r="G36" s="171" t="s">
        <v>330</v>
      </c>
      <c r="H36" s="98">
        <v>1</v>
      </c>
      <c r="I36" s="171" t="s">
        <v>330</v>
      </c>
      <c r="J36" s="98">
        <v>1</v>
      </c>
      <c r="K36" s="92">
        <v>40157</v>
      </c>
      <c r="L36" s="93">
        <v>0.15129999999999999</v>
      </c>
      <c r="M36" s="93">
        <v>0.15129999999999999</v>
      </c>
      <c r="N36" s="171" t="s">
        <v>330</v>
      </c>
      <c r="O36" s="107">
        <v>171988219511.26999</v>
      </c>
      <c r="P36" s="91">
        <f t="shared" si="18"/>
        <v>2.990698819579473E-2</v>
      </c>
      <c r="Q36" s="171" t="s">
        <v>330</v>
      </c>
      <c r="R36" s="98">
        <v>1</v>
      </c>
      <c r="S36" s="171" t="s">
        <v>330</v>
      </c>
      <c r="T36" s="98">
        <v>1</v>
      </c>
      <c r="U36" s="92">
        <v>40223</v>
      </c>
      <c r="V36" s="93">
        <v>0.15629999999999999</v>
      </c>
      <c r="W36" s="93">
        <v>0.15629999999999999</v>
      </c>
      <c r="X36" s="187">
        <f t="shared" si="19"/>
        <v>-2.26607164353348E-2</v>
      </c>
      <c r="Y36" s="187">
        <f t="shared" si="20"/>
        <v>0</v>
      </c>
      <c r="Z36" s="187">
        <f t="shared" si="21"/>
        <v>1.64354906990064E-3</v>
      </c>
      <c r="AA36" s="185">
        <f t="shared" si="22"/>
        <v>5.0000000000000044E-3</v>
      </c>
      <c r="AB36" s="186">
        <f t="shared" si="23"/>
        <v>5.0000000000000044E-3</v>
      </c>
    </row>
    <row r="37" spans="1:28">
      <c r="A37" s="199">
        <v>29</v>
      </c>
      <c r="B37" s="84" t="s">
        <v>62</v>
      </c>
      <c r="C37" s="85" t="s">
        <v>27</v>
      </c>
      <c r="D37" s="171" t="s">
        <v>330</v>
      </c>
      <c r="E37" s="90">
        <v>27325522737.360001</v>
      </c>
      <c r="F37" s="91">
        <f t="shared" ref="F37" si="34">(E37/$E$26)</f>
        <v>0.11089314443487047</v>
      </c>
      <c r="G37" s="171" t="s">
        <v>330</v>
      </c>
      <c r="H37" s="90">
        <v>1</v>
      </c>
      <c r="I37" s="171" t="s">
        <v>330</v>
      </c>
      <c r="J37" s="90">
        <v>1</v>
      </c>
      <c r="K37" s="92">
        <v>1852</v>
      </c>
      <c r="L37" s="93">
        <v>0.18110000000000001</v>
      </c>
      <c r="M37" s="93">
        <v>0.18110000000000001</v>
      </c>
      <c r="N37" s="171" t="s">
        <v>330</v>
      </c>
      <c r="O37" s="90">
        <v>26864563531.360001</v>
      </c>
      <c r="P37" s="91">
        <f t="shared" ref="P37" si="35">(O37/$O$26)</f>
        <v>0.10282133635620441</v>
      </c>
      <c r="Q37" s="171" t="s">
        <v>330</v>
      </c>
      <c r="R37" s="90">
        <v>1</v>
      </c>
      <c r="S37" s="171" t="s">
        <v>330</v>
      </c>
      <c r="T37" s="90">
        <v>1</v>
      </c>
      <c r="U37" s="92">
        <v>1889</v>
      </c>
      <c r="V37" s="93">
        <v>0.18140000000000001</v>
      </c>
      <c r="W37" s="93">
        <v>0.18140000000000001</v>
      </c>
      <c r="X37" s="187">
        <f t="shared" si="19"/>
        <v>-1.6869181623002123E-2</v>
      </c>
      <c r="Y37" s="187">
        <f t="shared" si="20"/>
        <v>0</v>
      </c>
      <c r="Z37" s="187">
        <f t="shared" si="21"/>
        <v>1.9978401727861771E-2</v>
      </c>
      <c r="AA37" s="185">
        <f t="shared" si="22"/>
        <v>2.9999999999999472E-4</v>
      </c>
      <c r="AB37" s="186">
        <f t="shared" si="23"/>
        <v>2.9999999999999472E-4</v>
      </c>
    </row>
    <row r="38" spans="1:28" ht="15" customHeight="1">
      <c r="A38" s="199">
        <v>30</v>
      </c>
      <c r="B38" s="84" t="s">
        <v>63</v>
      </c>
      <c r="C38" s="85" t="s">
        <v>44</v>
      </c>
      <c r="D38" s="171" t="s">
        <v>330</v>
      </c>
      <c r="E38" s="107">
        <v>39373832937.410004</v>
      </c>
      <c r="F38" s="91">
        <f>(E38/$O$76)</f>
        <v>6.8467058978138465E-3</v>
      </c>
      <c r="G38" s="171" t="s">
        <v>330</v>
      </c>
      <c r="H38" s="98">
        <v>100</v>
      </c>
      <c r="I38" s="171" t="s">
        <v>330</v>
      </c>
      <c r="J38" s="98">
        <v>100</v>
      </c>
      <c r="K38" s="92">
        <v>15508</v>
      </c>
      <c r="L38" s="93">
        <v>0.18060000000000001</v>
      </c>
      <c r="M38" s="93">
        <v>0.18060000000000001</v>
      </c>
      <c r="N38" s="171" t="s">
        <v>330</v>
      </c>
      <c r="O38" s="107">
        <v>40263958166.919998</v>
      </c>
      <c r="P38" s="91">
        <f t="shared" ref="P38:P52" si="36">(O38/$O$76)</f>
        <v>7.0014895498999134E-3</v>
      </c>
      <c r="Q38" s="171" t="s">
        <v>330</v>
      </c>
      <c r="R38" s="98">
        <v>100</v>
      </c>
      <c r="S38" s="171" t="s">
        <v>330</v>
      </c>
      <c r="T38" s="98">
        <v>100</v>
      </c>
      <c r="U38" s="92">
        <v>15660</v>
      </c>
      <c r="V38" s="93">
        <v>0.1762</v>
      </c>
      <c r="W38" s="93">
        <v>0.1762</v>
      </c>
      <c r="X38" s="187">
        <f t="shared" si="19"/>
        <v>2.2607025100273275E-2</v>
      </c>
      <c r="Y38" s="187">
        <f t="shared" si="20"/>
        <v>0</v>
      </c>
      <c r="Z38" s="187">
        <f t="shared" si="21"/>
        <v>9.8013928295073507E-3</v>
      </c>
      <c r="AA38" s="185">
        <f t="shared" si="22"/>
        <v>-4.400000000000015E-3</v>
      </c>
      <c r="AB38" s="186">
        <f t="shared" si="23"/>
        <v>-4.400000000000015E-3</v>
      </c>
    </row>
    <row r="39" spans="1:28" ht="15" customHeight="1">
      <c r="A39" s="199">
        <v>31</v>
      </c>
      <c r="B39" s="84" t="s">
        <v>64</v>
      </c>
      <c r="C39" s="85" t="s">
        <v>65</v>
      </c>
      <c r="D39" s="171" t="s">
        <v>330</v>
      </c>
      <c r="E39" s="107">
        <v>3521479520.5500002</v>
      </c>
      <c r="F39" s="91">
        <f>(E39/$O$76)</f>
        <v>6.1234918735768751E-4</v>
      </c>
      <c r="G39" s="171" t="s">
        <v>330</v>
      </c>
      <c r="H39" s="98">
        <v>1</v>
      </c>
      <c r="I39" s="171" t="s">
        <v>330</v>
      </c>
      <c r="J39" s="98">
        <v>1</v>
      </c>
      <c r="K39" s="92">
        <v>742</v>
      </c>
      <c r="L39" s="93">
        <v>0.15329999999999999</v>
      </c>
      <c r="M39" s="93">
        <v>0.15329999999999999</v>
      </c>
      <c r="N39" s="171" t="s">
        <v>330</v>
      </c>
      <c r="O39" s="107">
        <v>3619120333.7800002</v>
      </c>
      <c r="P39" s="91">
        <f t="shared" si="36"/>
        <v>6.2932792379088867E-4</v>
      </c>
      <c r="Q39" s="171" t="s">
        <v>330</v>
      </c>
      <c r="R39" s="98">
        <v>1</v>
      </c>
      <c r="S39" s="171" t="s">
        <v>330</v>
      </c>
      <c r="T39" s="98">
        <v>1</v>
      </c>
      <c r="U39" s="92">
        <v>749</v>
      </c>
      <c r="V39" s="93">
        <v>0.15329999999999999</v>
      </c>
      <c r="W39" s="93">
        <v>0.15329999999999999</v>
      </c>
      <c r="X39" s="187">
        <f t="shared" si="19"/>
        <v>2.7727213138740631E-2</v>
      </c>
      <c r="Y39" s="187">
        <f t="shared" si="20"/>
        <v>0</v>
      </c>
      <c r="Z39" s="187">
        <f t="shared" si="21"/>
        <v>9.433962264150943E-3</v>
      </c>
      <c r="AA39" s="185">
        <f t="shared" si="22"/>
        <v>0</v>
      </c>
      <c r="AB39" s="186">
        <f t="shared" si="23"/>
        <v>0</v>
      </c>
    </row>
    <row r="40" spans="1:28">
      <c r="A40" s="199">
        <v>32</v>
      </c>
      <c r="B40" s="84" t="s">
        <v>66</v>
      </c>
      <c r="C40" s="85" t="s">
        <v>67</v>
      </c>
      <c r="D40" s="171" t="s">
        <v>330</v>
      </c>
      <c r="E40" s="107">
        <v>99181767222.710007</v>
      </c>
      <c r="F40" s="91">
        <f>(E40/$O$76)</f>
        <v>1.7246692535085397E-2</v>
      </c>
      <c r="G40" s="171" t="s">
        <v>330</v>
      </c>
      <c r="H40" s="98">
        <v>100</v>
      </c>
      <c r="I40" s="171" t="s">
        <v>330</v>
      </c>
      <c r="J40" s="98">
        <v>100</v>
      </c>
      <c r="K40" s="92">
        <v>6193</v>
      </c>
      <c r="L40" s="93">
        <v>0.16118455317456401</v>
      </c>
      <c r="M40" s="93">
        <v>0.16118455317456401</v>
      </c>
      <c r="N40" s="171" t="s">
        <v>330</v>
      </c>
      <c r="O40" s="107">
        <v>100651541374.35001</v>
      </c>
      <c r="P40" s="91">
        <f t="shared" si="36"/>
        <v>1.7502271192324195E-2</v>
      </c>
      <c r="Q40" s="171" t="s">
        <v>330</v>
      </c>
      <c r="R40" s="98">
        <v>100</v>
      </c>
      <c r="S40" s="171" t="s">
        <v>330</v>
      </c>
      <c r="T40" s="98">
        <v>100</v>
      </c>
      <c r="U40" s="92">
        <v>6226</v>
      </c>
      <c r="V40" s="93">
        <v>0.1804</v>
      </c>
      <c r="W40" s="93">
        <v>0.1804</v>
      </c>
      <c r="X40" s="187">
        <f t="shared" si="19"/>
        <v>1.4818995393978622E-2</v>
      </c>
      <c r="Y40" s="187">
        <f t="shared" si="20"/>
        <v>0</v>
      </c>
      <c r="Z40" s="187">
        <f t="shared" si="21"/>
        <v>5.3285968028419185E-3</v>
      </c>
      <c r="AA40" s="185">
        <f t="shared" si="22"/>
        <v>1.9215446825435994E-2</v>
      </c>
      <c r="AB40" s="186">
        <f t="shared" si="23"/>
        <v>1.9215446825435994E-2</v>
      </c>
    </row>
    <row r="41" spans="1:28">
      <c r="A41" s="199">
        <v>33</v>
      </c>
      <c r="B41" s="84" t="s">
        <v>68</v>
      </c>
      <c r="C41" s="85" t="s">
        <v>69</v>
      </c>
      <c r="D41" s="171" t="s">
        <v>330</v>
      </c>
      <c r="E41" s="107">
        <v>43003294077.730003</v>
      </c>
      <c r="F41" s="91">
        <f>(E41/$O$76)</f>
        <v>7.4778319818508592E-3</v>
      </c>
      <c r="G41" s="171" t="s">
        <v>330</v>
      </c>
      <c r="H41" s="98">
        <v>100</v>
      </c>
      <c r="I41" s="171" t="s">
        <v>330</v>
      </c>
      <c r="J41" s="98">
        <v>100</v>
      </c>
      <c r="K41" s="92">
        <v>5898</v>
      </c>
      <c r="L41" s="93">
        <v>0.15989999999999999</v>
      </c>
      <c r="M41" s="93">
        <v>0.15989999999999999</v>
      </c>
      <c r="N41" s="171" t="s">
        <v>330</v>
      </c>
      <c r="O41" s="107">
        <v>43142210998.580002</v>
      </c>
      <c r="P41" s="91">
        <f>(O41/$O$76)</f>
        <v>7.5019882102475653E-3</v>
      </c>
      <c r="Q41" s="171" t="s">
        <v>330</v>
      </c>
      <c r="R41" s="98">
        <v>100</v>
      </c>
      <c r="S41" s="171" t="s">
        <v>330</v>
      </c>
      <c r="T41" s="98">
        <v>100</v>
      </c>
      <c r="U41" s="92">
        <v>5923</v>
      </c>
      <c r="V41" s="93">
        <v>0.161</v>
      </c>
      <c r="W41" s="93">
        <v>0.161</v>
      </c>
      <c r="X41" s="187">
        <f t="shared" si="19"/>
        <v>3.230378598413906E-3</v>
      </c>
      <c r="Y41" s="187">
        <f t="shared" si="20"/>
        <v>0</v>
      </c>
      <c r="Z41" s="187">
        <f t="shared" si="21"/>
        <v>4.23872499152255E-3</v>
      </c>
      <c r="AA41" s="185">
        <f t="shared" si="22"/>
        <v>1.1000000000000176E-3</v>
      </c>
      <c r="AB41" s="186">
        <f t="shared" si="23"/>
        <v>1.1000000000000176E-3</v>
      </c>
    </row>
    <row r="42" spans="1:28">
      <c r="A42" s="199">
        <v>34</v>
      </c>
      <c r="B42" s="84" t="s">
        <v>70</v>
      </c>
      <c r="C42" s="85" t="s">
        <v>71</v>
      </c>
      <c r="D42" s="171" t="s">
        <v>330</v>
      </c>
      <c r="E42" s="107">
        <v>70207811897.179993</v>
      </c>
      <c r="F42" s="91">
        <f>(E42/$O$76)</f>
        <v>1.2208418737214441E-2</v>
      </c>
      <c r="G42" s="171" t="s">
        <v>330</v>
      </c>
      <c r="H42" s="98">
        <v>1</v>
      </c>
      <c r="I42" s="171" t="s">
        <v>330</v>
      </c>
      <c r="J42" s="98">
        <v>1</v>
      </c>
      <c r="K42" s="92">
        <v>17018</v>
      </c>
      <c r="L42" s="93">
        <v>0.19904673403028506</v>
      </c>
      <c r="M42" s="93">
        <v>0.19904673403028506</v>
      </c>
      <c r="N42" s="171" t="s">
        <v>330</v>
      </c>
      <c r="O42" s="107">
        <v>72242049018.059998</v>
      </c>
      <c r="P42" s="91">
        <f t="shared" si="36"/>
        <v>1.2562151718080722E-2</v>
      </c>
      <c r="Q42" s="171" t="s">
        <v>330</v>
      </c>
      <c r="R42" s="98">
        <v>1</v>
      </c>
      <c r="S42" s="171" t="s">
        <v>330</v>
      </c>
      <c r="T42" s="98">
        <v>1</v>
      </c>
      <c r="U42" s="92">
        <v>17489</v>
      </c>
      <c r="V42" s="93">
        <v>0.20167299999999999</v>
      </c>
      <c r="W42" s="93">
        <v>0.20167299999999999</v>
      </c>
      <c r="X42" s="187">
        <f t="shared" si="19"/>
        <v>2.8974512463928723E-2</v>
      </c>
      <c r="Y42" s="187">
        <f t="shared" si="20"/>
        <v>0</v>
      </c>
      <c r="Z42" s="187">
        <f t="shared" si="21"/>
        <v>2.7676577741215184E-2</v>
      </c>
      <c r="AA42" s="185">
        <f t="shared" si="22"/>
        <v>2.626265969714936E-3</v>
      </c>
      <c r="AB42" s="186">
        <f t="shared" si="23"/>
        <v>2.626265969714936E-3</v>
      </c>
    </row>
    <row r="43" spans="1:28">
      <c r="A43" s="199">
        <v>35</v>
      </c>
      <c r="B43" s="84" t="s">
        <v>72</v>
      </c>
      <c r="C43" s="85" t="s">
        <v>73</v>
      </c>
      <c r="D43" s="171" t="s">
        <v>330</v>
      </c>
      <c r="E43" s="107">
        <v>1628773446.8499999</v>
      </c>
      <c r="F43" s="91">
        <v>0</v>
      </c>
      <c r="G43" s="171" t="s">
        <v>330</v>
      </c>
      <c r="H43" s="98">
        <v>1000</v>
      </c>
      <c r="I43" s="171" t="s">
        <v>330</v>
      </c>
      <c r="J43" s="98">
        <v>1000</v>
      </c>
      <c r="K43" s="92">
        <v>133</v>
      </c>
      <c r="L43" s="93">
        <v>0.20108554000000001</v>
      </c>
      <c r="M43" s="93">
        <v>0.20108554000000001</v>
      </c>
      <c r="N43" s="171" t="s">
        <v>330</v>
      </c>
      <c r="O43" s="107">
        <v>1640021001.9400001</v>
      </c>
      <c r="P43" s="91">
        <f t="shared" si="36"/>
        <v>2.8518283918080225E-4</v>
      </c>
      <c r="Q43" s="171" t="s">
        <v>330</v>
      </c>
      <c r="R43" s="98">
        <v>1000</v>
      </c>
      <c r="S43" s="171" t="s">
        <v>330</v>
      </c>
      <c r="T43" s="98">
        <v>1000</v>
      </c>
      <c r="U43" s="92">
        <v>137</v>
      </c>
      <c r="V43" s="93">
        <v>0.21049999999999999</v>
      </c>
      <c r="W43" s="93">
        <v>0.21049999999999999</v>
      </c>
      <c r="X43" s="187">
        <f t="shared" si="19"/>
        <v>6.9055368699389068E-3</v>
      </c>
      <c r="Y43" s="187">
        <f t="shared" si="20"/>
        <v>0</v>
      </c>
      <c r="Z43" s="187">
        <f t="shared" si="21"/>
        <v>3.007518796992481E-2</v>
      </c>
      <c r="AA43" s="185">
        <f t="shared" si="22"/>
        <v>9.4144599999999856E-3</v>
      </c>
      <c r="AB43" s="186">
        <f t="shared" si="23"/>
        <v>9.4144599999999856E-3</v>
      </c>
    </row>
    <row r="44" spans="1:28">
      <c r="A44" s="199">
        <v>36</v>
      </c>
      <c r="B44" s="84" t="s">
        <v>74</v>
      </c>
      <c r="C44" s="85" t="s">
        <v>75</v>
      </c>
      <c r="D44" s="171" t="s">
        <v>330</v>
      </c>
      <c r="E44" s="107">
        <v>87519804694.550003</v>
      </c>
      <c r="F44" s="91">
        <f t="shared" ref="F44:F52" si="37">(E44/$O$76)</f>
        <v>1.5218796806758335E-2</v>
      </c>
      <c r="G44" s="171" t="s">
        <v>330</v>
      </c>
      <c r="H44" s="108">
        <v>100</v>
      </c>
      <c r="I44" s="171" t="s">
        <v>330</v>
      </c>
      <c r="J44" s="108">
        <v>100</v>
      </c>
      <c r="K44" s="92">
        <v>4953</v>
      </c>
      <c r="L44" s="93">
        <v>0.15379999999999999</v>
      </c>
      <c r="M44" s="93">
        <v>0.15379999999999999</v>
      </c>
      <c r="N44" s="171" t="s">
        <v>330</v>
      </c>
      <c r="O44" s="107">
        <v>87424411694.740005</v>
      </c>
      <c r="P44" s="91">
        <f t="shared" si="36"/>
        <v>1.5202208942034889E-2</v>
      </c>
      <c r="Q44" s="171" t="s">
        <v>330</v>
      </c>
      <c r="R44" s="108">
        <v>100</v>
      </c>
      <c r="S44" s="171" t="s">
        <v>330</v>
      </c>
      <c r="T44" s="108">
        <v>100</v>
      </c>
      <c r="U44" s="92">
        <v>4953</v>
      </c>
      <c r="V44" s="93">
        <v>0.15160000000000001</v>
      </c>
      <c r="W44" s="93">
        <v>0.15160000000000001</v>
      </c>
      <c r="X44" s="187">
        <f t="shared" si="19"/>
        <v>-1.0899590114823215E-3</v>
      </c>
      <c r="Y44" s="187">
        <f t="shared" si="20"/>
        <v>0</v>
      </c>
      <c r="Z44" s="187">
        <f t="shared" si="21"/>
        <v>0</v>
      </c>
      <c r="AA44" s="185">
        <f t="shared" si="22"/>
        <v>-2.1999999999999797E-3</v>
      </c>
      <c r="AB44" s="186">
        <f t="shared" si="23"/>
        <v>-2.1999999999999797E-3</v>
      </c>
    </row>
    <row r="45" spans="1:28">
      <c r="A45" s="199">
        <v>37</v>
      </c>
      <c r="B45" s="84" t="s">
        <v>76</v>
      </c>
      <c r="C45" s="85" t="s">
        <v>75</v>
      </c>
      <c r="D45" s="171" t="s">
        <v>330</v>
      </c>
      <c r="E45" s="107">
        <v>10126745159.32</v>
      </c>
      <c r="F45" s="91">
        <f t="shared" si="37"/>
        <v>1.7609371665235417E-3</v>
      </c>
      <c r="G45" s="171" t="s">
        <v>330</v>
      </c>
      <c r="H45" s="108">
        <v>1000000</v>
      </c>
      <c r="I45" s="171" t="s">
        <v>330</v>
      </c>
      <c r="J45" s="108">
        <v>1000000</v>
      </c>
      <c r="K45" s="92">
        <v>50</v>
      </c>
      <c r="L45" s="93">
        <v>0.15459999999999999</v>
      </c>
      <c r="M45" s="93">
        <v>0.15459999999999999</v>
      </c>
      <c r="N45" s="171" t="s">
        <v>330</v>
      </c>
      <c r="O45" s="107">
        <v>10052405125.370001</v>
      </c>
      <c r="P45" s="91">
        <f t="shared" si="36"/>
        <v>1.748010196733777E-3</v>
      </c>
      <c r="Q45" s="171" t="s">
        <v>330</v>
      </c>
      <c r="R45" s="108">
        <v>1000000</v>
      </c>
      <c r="S45" s="171" t="s">
        <v>330</v>
      </c>
      <c r="T45" s="108">
        <v>1000000</v>
      </c>
      <c r="U45" s="92">
        <v>50</v>
      </c>
      <c r="V45" s="93">
        <v>0.15479999999999999</v>
      </c>
      <c r="W45" s="93">
        <v>0.15479999999999999</v>
      </c>
      <c r="X45" s="187">
        <f t="shared" si="19"/>
        <v>-7.3409602770127093E-3</v>
      </c>
      <c r="Y45" s="187">
        <f t="shared" si="20"/>
        <v>0</v>
      </c>
      <c r="Z45" s="187">
        <f t="shared" si="21"/>
        <v>0</v>
      </c>
      <c r="AA45" s="185">
        <f t="shared" si="22"/>
        <v>2.0000000000000573E-4</v>
      </c>
      <c r="AB45" s="186">
        <f t="shared" si="23"/>
        <v>2.0000000000000573E-4</v>
      </c>
    </row>
    <row r="46" spans="1:28">
      <c r="A46" s="199">
        <v>38</v>
      </c>
      <c r="B46" s="84" t="s">
        <v>77</v>
      </c>
      <c r="C46" s="85" t="s">
        <v>78</v>
      </c>
      <c r="D46" s="171" t="s">
        <v>330</v>
      </c>
      <c r="E46" s="107">
        <v>7988734305.1000004</v>
      </c>
      <c r="F46" s="91">
        <f t="shared" si="37"/>
        <v>1.3891589972899877E-3</v>
      </c>
      <c r="G46" s="171" t="s">
        <v>330</v>
      </c>
      <c r="H46" s="98">
        <v>1</v>
      </c>
      <c r="I46" s="171" t="s">
        <v>330</v>
      </c>
      <c r="J46" s="98">
        <v>1</v>
      </c>
      <c r="K46" s="92">
        <v>1243</v>
      </c>
      <c r="L46" s="93">
        <v>0.16289999999999999</v>
      </c>
      <c r="M46" s="93">
        <v>0.16289999999999999</v>
      </c>
      <c r="N46" s="171" t="s">
        <v>330</v>
      </c>
      <c r="O46" s="107">
        <v>8192260616.8299999</v>
      </c>
      <c r="P46" s="91">
        <f t="shared" si="36"/>
        <v>1.4245501364025354E-3</v>
      </c>
      <c r="Q46" s="171" t="s">
        <v>330</v>
      </c>
      <c r="R46" s="98">
        <v>1</v>
      </c>
      <c r="S46" s="171" t="s">
        <v>330</v>
      </c>
      <c r="T46" s="98">
        <v>1</v>
      </c>
      <c r="U46" s="92">
        <v>1249</v>
      </c>
      <c r="V46" s="93">
        <v>0.1769</v>
      </c>
      <c r="W46" s="93">
        <v>0.1769</v>
      </c>
      <c r="X46" s="187">
        <f t="shared" si="19"/>
        <v>2.547666550883643E-2</v>
      </c>
      <c r="Y46" s="187">
        <f t="shared" si="20"/>
        <v>0</v>
      </c>
      <c r="Z46" s="187">
        <f t="shared" si="21"/>
        <v>4.8270313757039418E-3</v>
      </c>
      <c r="AA46" s="185">
        <f t="shared" si="22"/>
        <v>1.4000000000000012E-2</v>
      </c>
      <c r="AB46" s="186">
        <f t="shared" si="23"/>
        <v>1.4000000000000012E-2</v>
      </c>
    </row>
    <row r="47" spans="1:28">
      <c r="A47" s="199">
        <v>39</v>
      </c>
      <c r="B47" s="84" t="s">
        <v>322</v>
      </c>
      <c r="C47" s="85" t="s">
        <v>79</v>
      </c>
      <c r="D47" s="171" t="s">
        <v>330</v>
      </c>
      <c r="E47" s="107">
        <v>724168933295.72998</v>
      </c>
      <c r="F47" s="91">
        <f t="shared" si="37"/>
        <v>0.12592555351395726</v>
      </c>
      <c r="G47" s="171" t="s">
        <v>330</v>
      </c>
      <c r="H47" s="98">
        <v>100</v>
      </c>
      <c r="I47" s="171" t="s">
        <v>330</v>
      </c>
      <c r="J47" s="98">
        <v>100</v>
      </c>
      <c r="K47" s="92">
        <v>41379</v>
      </c>
      <c r="L47" s="93">
        <v>0.158</v>
      </c>
      <c r="M47" s="93">
        <v>0.158</v>
      </c>
      <c r="N47" s="171" t="s">
        <v>330</v>
      </c>
      <c r="O47" s="107">
        <v>726340654768.29004</v>
      </c>
      <c r="P47" s="91">
        <f t="shared" si="36"/>
        <v>0.12630319361412792</v>
      </c>
      <c r="Q47" s="171" t="s">
        <v>330</v>
      </c>
      <c r="R47" s="98">
        <v>100</v>
      </c>
      <c r="S47" s="171" t="s">
        <v>330</v>
      </c>
      <c r="T47" s="98">
        <v>100</v>
      </c>
      <c r="U47" s="92">
        <v>41571</v>
      </c>
      <c r="V47" s="93">
        <v>0.1588</v>
      </c>
      <c r="W47" s="93">
        <v>0.1588</v>
      </c>
      <c r="X47" s="187">
        <f t="shared" si="19"/>
        <v>2.998915546786083E-3</v>
      </c>
      <c r="Y47" s="187">
        <f t="shared" si="20"/>
        <v>0</v>
      </c>
      <c r="Z47" s="187">
        <f t="shared" si="21"/>
        <v>4.6400348002610019E-3</v>
      </c>
      <c r="AA47" s="185">
        <f t="shared" si="22"/>
        <v>7.9999999999999516E-4</v>
      </c>
      <c r="AB47" s="186">
        <f t="shared" si="23"/>
        <v>7.9999999999999516E-4</v>
      </c>
    </row>
    <row r="48" spans="1:28">
      <c r="A48" s="199">
        <v>40</v>
      </c>
      <c r="B48" s="84" t="s">
        <v>80</v>
      </c>
      <c r="C48" s="85" t="s">
        <v>81</v>
      </c>
      <c r="D48" s="171" t="s">
        <v>330</v>
      </c>
      <c r="E48" s="109">
        <v>6684052330.8999996</v>
      </c>
      <c r="F48" s="91">
        <f t="shared" si="37"/>
        <v>1.1622881772271709E-3</v>
      </c>
      <c r="G48" s="171" t="s">
        <v>330</v>
      </c>
      <c r="H48" s="98">
        <v>1</v>
      </c>
      <c r="I48" s="171" t="s">
        <v>330</v>
      </c>
      <c r="J48" s="98">
        <v>1</v>
      </c>
      <c r="K48" s="110">
        <v>2334</v>
      </c>
      <c r="L48" s="111">
        <v>0.18</v>
      </c>
      <c r="M48" s="111">
        <v>0.18</v>
      </c>
      <c r="N48" s="171" t="s">
        <v>330</v>
      </c>
      <c r="O48" s="109">
        <v>7133281730.6999998</v>
      </c>
      <c r="P48" s="91">
        <f t="shared" si="36"/>
        <v>1.2404045644727646E-3</v>
      </c>
      <c r="Q48" s="171" t="s">
        <v>330</v>
      </c>
      <c r="R48" s="98">
        <v>1</v>
      </c>
      <c r="S48" s="171" t="s">
        <v>330</v>
      </c>
      <c r="T48" s="98">
        <v>1</v>
      </c>
      <c r="U48" s="110">
        <v>2354</v>
      </c>
      <c r="V48" s="111">
        <v>0.18290000000000001</v>
      </c>
      <c r="W48" s="111">
        <v>0.18290000000000001</v>
      </c>
      <c r="X48" s="187">
        <f t="shared" si="19"/>
        <v>6.7209138642322988E-2</v>
      </c>
      <c r="Y48" s="187">
        <f t="shared" si="20"/>
        <v>0</v>
      </c>
      <c r="Z48" s="187">
        <f t="shared" si="21"/>
        <v>8.5689802913453302E-3</v>
      </c>
      <c r="AA48" s="185">
        <f t="shared" si="22"/>
        <v>2.9000000000000137E-3</v>
      </c>
      <c r="AB48" s="186">
        <f t="shared" si="23"/>
        <v>2.9000000000000137E-3</v>
      </c>
    </row>
    <row r="49" spans="1:28">
      <c r="A49" s="199">
        <v>41</v>
      </c>
      <c r="B49" s="84" t="s">
        <v>82</v>
      </c>
      <c r="C49" s="85" t="s">
        <v>83</v>
      </c>
      <c r="D49" s="171" t="s">
        <v>330</v>
      </c>
      <c r="E49" s="107">
        <v>5371398041.25</v>
      </c>
      <c r="F49" s="91">
        <f t="shared" si="37"/>
        <v>9.3403105323764442E-4</v>
      </c>
      <c r="G49" s="171" t="s">
        <v>330</v>
      </c>
      <c r="H49" s="98">
        <v>1</v>
      </c>
      <c r="I49" s="171" t="s">
        <v>330</v>
      </c>
      <c r="J49" s="98">
        <v>1</v>
      </c>
      <c r="K49" s="110">
        <v>840</v>
      </c>
      <c r="L49" s="111">
        <v>0.14859890000000001</v>
      </c>
      <c r="M49" s="111">
        <v>0.14859890000000001</v>
      </c>
      <c r="N49" s="171" t="s">
        <v>330</v>
      </c>
      <c r="O49" s="107">
        <v>5499552690.5799999</v>
      </c>
      <c r="P49" s="91">
        <f>(O49/$O$76)</f>
        <v>9.5631583294895114E-4</v>
      </c>
      <c r="Q49" s="171" t="s">
        <v>330</v>
      </c>
      <c r="R49" s="98">
        <v>1</v>
      </c>
      <c r="S49" s="171" t="s">
        <v>330</v>
      </c>
      <c r="T49" s="98">
        <v>1</v>
      </c>
      <c r="U49" s="110">
        <v>851</v>
      </c>
      <c r="V49" s="111">
        <v>0.15670000000000001</v>
      </c>
      <c r="W49" s="111">
        <v>0.15670000000000001</v>
      </c>
      <c r="X49" s="187">
        <f t="shared" si="19"/>
        <v>2.3858713941105829E-2</v>
      </c>
      <c r="Y49" s="187">
        <f t="shared" si="20"/>
        <v>0</v>
      </c>
      <c r="Z49" s="187">
        <f t="shared" si="21"/>
        <v>1.3095238095238096E-2</v>
      </c>
      <c r="AA49" s="185">
        <f t="shared" si="22"/>
        <v>8.1011E-3</v>
      </c>
      <c r="AB49" s="186">
        <f t="shared" si="23"/>
        <v>8.1011E-3</v>
      </c>
    </row>
    <row r="50" spans="1:28">
      <c r="A50" s="199">
        <v>42</v>
      </c>
      <c r="B50" s="84" t="s">
        <v>84</v>
      </c>
      <c r="C50" s="85" t="s">
        <v>85</v>
      </c>
      <c r="D50" s="171" t="s">
        <v>330</v>
      </c>
      <c r="E50" s="107">
        <v>11416260.02</v>
      </c>
      <c r="F50" s="91">
        <f t="shared" si="37"/>
        <v>1.9851705810344204E-6</v>
      </c>
      <c r="G50" s="171" t="s">
        <v>330</v>
      </c>
      <c r="H50" s="98">
        <v>1</v>
      </c>
      <c r="I50" s="171" t="s">
        <v>330</v>
      </c>
      <c r="J50" s="98">
        <v>1</v>
      </c>
      <c r="K50" s="110">
        <v>26</v>
      </c>
      <c r="L50" s="111">
        <v>0.105</v>
      </c>
      <c r="M50" s="111">
        <v>0.105</v>
      </c>
      <c r="N50" s="171" t="s">
        <v>330</v>
      </c>
      <c r="O50" s="107">
        <v>11746351.869999999</v>
      </c>
      <c r="P50" s="91">
        <f t="shared" si="36"/>
        <v>2.0425701697360825E-6</v>
      </c>
      <c r="Q50" s="171" t="s">
        <v>330</v>
      </c>
      <c r="R50" s="98">
        <v>1</v>
      </c>
      <c r="S50" s="171" t="s">
        <v>330</v>
      </c>
      <c r="T50" s="98">
        <v>1</v>
      </c>
      <c r="U50" s="110">
        <v>26</v>
      </c>
      <c r="V50" s="111">
        <v>0.105</v>
      </c>
      <c r="W50" s="111">
        <v>0.105</v>
      </c>
      <c r="X50" s="187">
        <f t="shared" si="19"/>
        <v>2.8914184629792589E-2</v>
      </c>
      <c r="Y50" s="187">
        <f t="shared" si="20"/>
        <v>0</v>
      </c>
      <c r="Z50" s="187">
        <f t="shared" si="21"/>
        <v>0</v>
      </c>
      <c r="AA50" s="185">
        <f t="shared" si="22"/>
        <v>0</v>
      </c>
      <c r="AB50" s="186">
        <f t="shared" si="23"/>
        <v>0</v>
      </c>
    </row>
    <row r="51" spans="1:28">
      <c r="A51" s="199">
        <v>43</v>
      </c>
      <c r="B51" s="84" t="s">
        <v>86</v>
      </c>
      <c r="C51" s="85" t="s">
        <v>87</v>
      </c>
      <c r="D51" s="171" t="s">
        <v>330</v>
      </c>
      <c r="E51" s="107">
        <v>2026717393.49</v>
      </c>
      <c r="F51" s="91">
        <f t="shared" si="37"/>
        <v>3.5242537736339239E-4</v>
      </c>
      <c r="G51" s="171" t="s">
        <v>330</v>
      </c>
      <c r="H51" s="98">
        <v>10</v>
      </c>
      <c r="I51" s="171" t="s">
        <v>330</v>
      </c>
      <c r="J51" s="98">
        <v>10</v>
      </c>
      <c r="K51" s="92">
        <v>567</v>
      </c>
      <c r="L51" s="93">
        <v>0.16500000000000001</v>
      </c>
      <c r="M51" s="93">
        <v>0.16500000000000001</v>
      </c>
      <c r="N51" s="171" t="s">
        <v>330</v>
      </c>
      <c r="O51" s="107">
        <v>2074684846.53</v>
      </c>
      <c r="P51" s="91">
        <f t="shared" si="36"/>
        <v>3.607664256975524E-4</v>
      </c>
      <c r="Q51" s="171" t="s">
        <v>330</v>
      </c>
      <c r="R51" s="98">
        <v>10</v>
      </c>
      <c r="S51" s="171" t="s">
        <v>330</v>
      </c>
      <c r="T51" s="98">
        <v>10</v>
      </c>
      <c r="U51" s="92">
        <v>563</v>
      </c>
      <c r="V51" s="93">
        <v>0.16500000000000001</v>
      </c>
      <c r="W51" s="93">
        <v>0.16500000000000001</v>
      </c>
      <c r="X51" s="187">
        <f t="shared" si="19"/>
        <v>2.3667558779569251E-2</v>
      </c>
      <c r="Y51" s="187">
        <f t="shared" si="20"/>
        <v>0</v>
      </c>
      <c r="Z51" s="187">
        <f t="shared" si="21"/>
        <v>-7.0546737213403876E-3</v>
      </c>
      <c r="AA51" s="185">
        <f t="shared" si="22"/>
        <v>0</v>
      </c>
      <c r="AB51" s="186">
        <f t="shared" si="23"/>
        <v>0</v>
      </c>
    </row>
    <row r="52" spans="1:28">
      <c r="A52" s="199">
        <v>44</v>
      </c>
      <c r="B52" s="84" t="s">
        <v>88</v>
      </c>
      <c r="C52" s="85" t="s">
        <v>89</v>
      </c>
      <c r="D52" s="171" t="s">
        <v>330</v>
      </c>
      <c r="E52" s="107">
        <v>13941523199.01</v>
      </c>
      <c r="F52" s="91">
        <f t="shared" si="37"/>
        <v>2.4242879595417219E-3</v>
      </c>
      <c r="G52" s="171" t="s">
        <v>330</v>
      </c>
      <c r="H52" s="98">
        <v>100</v>
      </c>
      <c r="I52" s="171" t="s">
        <v>330</v>
      </c>
      <c r="J52" s="98">
        <v>100</v>
      </c>
      <c r="K52" s="92">
        <v>1082</v>
      </c>
      <c r="L52" s="93">
        <v>0.187</v>
      </c>
      <c r="M52" s="93">
        <v>0.187</v>
      </c>
      <c r="N52" s="171" t="s">
        <v>330</v>
      </c>
      <c r="O52" s="107">
        <v>14304899535.610001</v>
      </c>
      <c r="P52" s="91">
        <f t="shared" si="36"/>
        <v>2.4874753792394717E-3</v>
      </c>
      <c r="Q52" s="171" t="s">
        <v>330</v>
      </c>
      <c r="R52" s="98">
        <v>100</v>
      </c>
      <c r="S52" s="171" t="s">
        <v>330</v>
      </c>
      <c r="T52" s="98">
        <v>100</v>
      </c>
      <c r="U52" s="92">
        <v>1091</v>
      </c>
      <c r="V52" s="93">
        <v>0.1759</v>
      </c>
      <c r="W52" s="93">
        <v>0.1759</v>
      </c>
      <c r="X52" s="187">
        <f t="shared" si="19"/>
        <v>2.6064321051074538E-2</v>
      </c>
      <c r="Y52" s="187">
        <f t="shared" si="20"/>
        <v>0</v>
      </c>
      <c r="Z52" s="187">
        <f t="shared" si="21"/>
        <v>8.3179297597042508E-3</v>
      </c>
      <c r="AA52" s="185">
        <f t="shared" si="22"/>
        <v>-1.1099999999999999E-2</v>
      </c>
      <c r="AB52" s="186">
        <f t="shared" si="23"/>
        <v>-1.1099999999999999E-2</v>
      </c>
    </row>
    <row r="53" spans="1:28">
      <c r="A53" s="199">
        <v>45</v>
      </c>
      <c r="B53" s="84" t="s">
        <v>90</v>
      </c>
      <c r="C53" s="84" t="s">
        <v>91</v>
      </c>
      <c r="D53" s="171" t="s">
        <v>330</v>
      </c>
      <c r="E53" s="112">
        <v>127732362.3</v>
      </c>
      <c r="F53" s="91">
        <v>0</v>
      </c>
      <c r="G53" s="171" t="s">
        <v>330</v>
      </c>
      <c r="H53" s="90">
        <v>1</v>
      </c>
      <c r="I53" s="171" t="s">
        <v>330</v>
      </c>
      <c r="J53" s="90">
        <v>1</v>
      </c>
      <c r="K53" s="92">
        <v>173</v>
      </c>
      <c r="L53" s="93">
        <v>0.14330000000000001</v>
      </c>
      <c r="M53" s="93">
        <v>0.14330000000000001</v>
      </c>
      <c r="N53" s="171" t="s">
        <v>330</v>
      </c>
      <c r="O53" s="112">
        <v>135685076.94999999</v>
      </c>
      <c r="P53" s="113">
        <f>(O53/$O$203)</f>
        <v>8.8539436610331733E-4</v>
      </c>
      <c r="Q53" s="171" t="s">
        <v>330</v>
      </c>
      <c r="R53" s="90">
        <v>1</v>
      </c>
      <c r="S53" s="171" t="s">
        <v>330</v>
      </c>
      <c r="T53" s="90">
        <v>1</v>
      </c>
      <c r="U53" s="92">
        <v>173</v>
      </c>
      <c r="V53" s="93">
        <v>0.1772</v>
      </c>
      <c r="W53" s="93">
        <v>0.1772</v>
      </c>
      <c r="X53" s="185">
        <f t="shared" si="19"/>
        <v>6.2260765453642529E-2</v>
      </c>
      <c r="Y53" s="185">
        <f t="shared" si="20"/>
        <v>0</v>
      </c>
      <c r="Z53" s="185">
        <f t="shared" si="21"/>
        <v>0</v>
      </c>
      <c r="AA53" s="185">
        <f t="shared" si="22"/>
        <v>3.3899999999999986E-2</v>
      </c>
      <c r="AB53" s="186">
        <f t="shared" si="23"/>
        <v>3.3899999999999986E-2</v>
      </c>
    </row>
    <row r="54" spans="1:28">
      <c r="A54" s="199">
        <v>46</v>
      </c>
      <c r="B54" s="84" t="s">
        <v>92</v>
      </c>
      <c r="C54" s="85" t="s">
        <v>35</v>
      </c>
      <c r="D54" s="171" t="s">
        <v>330</v>
      </c>
      <c r="E54" s="107">
        <v>2488291242.96</v>
      </c>
      <c r="F54" s="91">
        <f t="shared" ref="F54:F75" si="38">(E54/$O$76)</f>
        <v>4.3268833785460364E-4</v>
      </c>
      <c r="G54" s="171" t="s">
        <v>330</v>
      </c>
      <c r="H54" s="98">
        <v>100</v>
      </c>
      <c r="I54" s="171" t="s">
        <v>330</v>
      </c>
      <c r="J54" s="98">
        <v>100</v>
      </c>
      <c r="K54" s="92">
        <v>9711</v>
      </c>
      <c r="L54" s="93">
        <v>0.15476604999999999</v>
      </c>
      <c r="M54" s="93">
        <v>0.15476604999999999</v>
      </c>
      <c r="N54" s="171" t="s">
        <v>330</v>
      </c>
      <c r="O54" s="107">
        <v>2594936331.21</v>
      </c>
      <c r="P54" s="91">
        <f t="shared" ref="P54:P67" si="39">(O54/$O$76)</f>
        <v>4.5123282540436419E-4</v>
      </c>
      <c r="Q54" s="171" t="s">
        <v>330</v>
      </c>
      <c r="R54" s="98">
        <v>100</v>
      </c>
      <c r="S54" s="171" t="s">
        <v>330</v>
      </c>
      <c r="T54" s="98">
        <v>100</v>
      </c>
      <c r="U54" s="92">
        <v>11326</v>
      </c>
      <c r="V54" s="93">
        <v>0.151</v>
      </c>
      <c r="W54" s="93">
        <v>0.151</v>
      </c>
      <c r="X54" s="187">
        <f t="shared" ref="X54" si="40">((O54-E54)/E54)</f>
        <v>4.2858764443963582E-2</v>
      </c>
      <c r="Y54" s="187">
        <f t="shared" ref="Y54" si="41">((T54-J54)/J54)</f>
        <v>0</v>
      </c>
      <c r="Z54" s="187">
        <f t="shared" ref="Z54" si="42">((U54-K54)/K54)</f>
        <v>0.16630625064360005</v>
      </c>
      <c r="AA54" s="185">
        <f t="shared" ref="AA54" si="43">V54-L54</f>
        <v>-3.766049999999993E-3</v>
      </c>
      <c r="AB54" s="186">
        <f t="shared" ref="AB54" si="44">W54-M54</f>
        <v>-3.766049999999993E-3</v>
      </c>
    </row>
    <row r="55" spans="1:28">
      <c r="A55" s="199">
        <v>47</v>
      </c>
      <c r="B55" s="84" t="s">
        <v>93</v>
      </c>
      <c r="C55" s="85" t="s">
        <v>35</v>
      </c>
      <c r="D55" s="171" t="s">
        <v>330</v>
      </c>
      <c r="E55" s="107">
        <v>460119829061.03003</v>
      </c>
      <c r="F55" s="91">
        <f t="shared" si="38"/>
        <v>8.0010121248319577E-2</v>
      </c>
      <c r="G55" s="171" t="s">
        <v>330</v>
      </c>
      <c r="H55" s="98">
        <v>100</v>
      </c>
      <c r="I55" s="171" t="s">
        <v>330</v>
      </c>
      <c r="J55" s="98">
        <v>100</v>
      </c>
      <c r="K55" s="92">
        <v>43221</v>
      </c>
      <c r="L55" s="93">
        <v>0.17328518000000001</v>
      </c>
      <c r="M55" s="93">
        <v>0.17328518000000001</v>
      </c>
      <c r="N55" s="171" t="s">
        <v>330</v>
      </c>
      <c r="O55" s="107">
        <v>484667822511.23999</v>
      </c>
      <c r="P55" s="91">
        <f t="shared" si="39"/>
        <v>8.4278765649849458E-2</v>
      </c>
      <c r="Q55" s="171" t="s">
        <v>330</v>
      </c>
      <c r="R55" s="98">
        <v>100</v>
      </c>
      <c r="S55" s="171" t="s">
        <v>330</v>
      </c>
      <c r="T55" s="98">
        <v>100</v>
      </c>
      <c r="U55" s="92">
        <v>44146</v>
      </c>
      <c r="V55" s="93">
        <v>0.17319999999999999</v>
      </c>
      <c r="W55" s="93">
        <v>0.17319999999999999</v>
      </c>
      <c r="X55" s="187">
        <f t="shared" si="19"/>
        <v>5.3351305246516399E-2</v>
      </c>
      <c r="Y55" s="187">
        <f t="shared" si="20"/>
        <v>0</v>
      </c>
      <c r="Z55" s="187">
        <f t="shared" si="21"/>
        <v>2.1401633465213669E-2</v>
      </c>
      <c r="AA55" s="185">
        <f t="shared" si="22"/>
        <v>-8.5180000000018019E-5</v>
      </c>
      <c r="AB55" s="186">
        <f t="shared" si="23"/>
        <v>-8.5180000000018019E-5</v>
      </c>
    </row>
    <row r="56" spans="1:28">
      <c r="A56" s="199">
        <v>48</v>
      </c>
      <c r="B56" s="84" t="s">
        <v>318</v>
      </c>
      <c r="C56" s="85" t="s">
        <v>38</v>
      </c>
      <c r="D56" s="171" t="s">
        <v>330</v>
      </c>
      <c r="E56" s="107">
        <v>69457136577.309998</v>
      </c>
      <c r="F56" s="91">
        <f t="shared" si="38"/>
        <v>1.2077883994811604E-2</v>
      </c>
      <c r="G56" s="171" t="s">
        <v>330</v>
      </c>
      <c r="H56" s="98">
        <v>1</v>
      </c>
      <c r="I56" s="171" t="s">
        <v>330</v>
      </c>
      <c r="J56" s="98">
        <v>1</v>
      </c>
      <c r="K56" s="92">
        <v>3692</v>
      </c>
      <c r="L56" s="93">
        <v>0.16009999999999999</v>
      </c>
      <c r="M56" s="93">
        <v>0.16009999999999999</v>
      </c>
      <c r="N56" s="171" t="s">
        <v>330</v>
      </c>
      <c r="O56" s="107">
        <v>68390947116.800003</v>
      </c>
      <c r="P56" s="91">
        <f t="shared" si="39"/>
        <v>1.1892484577918031E-2</v>
      </c>
      <c r="Q56" s="171" t="s">
        <v>330</v>
      </c>
      <c r="R56" s="98">
        <v>1</v>
      </c>
      <c r="S56" s="171" t="s">
        <v>330</v>
      </c>
      <c r="T56" s="98">
        <v>1</v>
      </c>
      <c r="U56" s="92">
        <v>3782</v>
      </c>
      <c r="V56" s="93">
        <v>0.16020000000000001</v>
      </c>
      <c r="W56" s="93">
        <v>0.16020000000000001</v>
      </c>
      <c r="X56" s="187">
        <f t="shared" si="19"/>
        <v>-1.5350322703315895E-2</v>
      </c>
      <c r="Y56" s="187">
        <f t="shared" si="20"/>
        <v>0</v>
      </c>
      <c r="Z56" s="187">
        <f t="shared" si="21"/>
        <v>2.437703141928494E-2</v>
      </c>
      <c r="AA56" s="185">
        <f t="shared" si="22"/>
        <v>1.0000000000001674E-4</v>
      </c>
      <c r="AB56" s="186">
        <f t="shared" si="23"/>
        <v>1.0000000000001674E-4</v>
      </c>
    </row>
    <row r="57" spans="1:28">
      <c r="A57" s="199">
        <v>49</v>
      </c>
      <c r="B57" s="84" t="s">
        <v>94</v>
      </c>
      <c r="C57" s="85" t="s">
        <v>95</v>
      </c>
      <c r="D57" s="171" t="s">
        <v>330</v>
      </c>
      <c r="E57" s="107">
        <v>6549940912.7309999</v>
      </c>
      <c r="F57" s="91">
        <f t="shared" si="38"/>
        <v>1.1389675764819627E-3</v>
      </c>
      <c r="G57" s="171" t="s">
        <v>330</v>
      </c>
      <c r="H57" s="98">
        <v>100</v>
      </c>
      <c r="I57" s="171" t="s">
        <v>330</v>
      </c>
      <c r="J57" s="98">
        <v>100</v>
      </c>
      <c r="K57" s="92">
        <v>998</v>
      </c>
      <c r="L57" s="93">
        <v>0.1653</v>
      </c>
      <c r="M57" s="93">
        <v>0.1653</v>
      </c>
      <c r="N57" s="171" t="s">
        <v>330</v>
      </c>
      <c r="O57" s="107">
        <v>6381836715.1899996</v>
      </c>
      <c r="P57" s="91">
        <f t="shared" si="39"/>
        <v>1.1097359798888436E-3</v>
      </c>
      <c r="Q57" s="171" t="s">
        <v>330</v>
      </c>
      <c r="R57" s="98">
        <v>100</v>
      </c>
      <c r="S57" s="171" t="s">
        <v>330</v>
      </c>
      <c r="T57" s="98">
        <v>100</v>
      </c>
      <c r="U57" s="92">
        <v>1000</v>
      </c>
      <c r="V57" s="93">
        <v>0.16600000000000001</v>
      </c>
      <c r="W57" s="93">
        <v>0.16600000000000001</v>
      </c>
      <c r="X57" s="187">
        <f t="shared" si="19"/>
        <v>-2.5664994506173228E-2</v>
      </c>
      <c r="Y57" s="187">
        <f t="shared" si="20"/>
        <v>0</v>
      </c>
      <c r="Z57" s="187">
        <f t="shared" si="21"/>
        <v>2.004008016032064E-3</v>
      </c>
      <c r="AA57" s="185">
        <f t="shared" si="22"/>
        <v>7.0000000000000617E-4</v>
      </c>
      <c r="AB57" s="186">
        <f t="shared" si="23"/>
        <v>7.0000000000000617E-4</v>
      </c>
    </row>
    <row r="58" spans="1:28">
      <c r="A58" s="199">
        <v>50</v>
      </c>
      <c r="B58" s="84" t="s">
        <v>96</v>
      </c>
      <c r="C58" s="85" t="s">
        <v>40</v>
      </c>
      <c r="D58" s="171" t="s">
        <v>330</v>
      </c>
      <c r="E58" s="109">
        <v>116307255291.42</v>
      </c>
      <c r="F58" s="91">
        <f t="shared" si="38"/>
        <v>2.0224639344311898E-2</v>
      </c>
      <c r="G58" s="171" t="s">
        <v>330</v>
      </c>
      <c r="H58" s="98">
        <v>10</v>
      </c>
      <c r="I58" s="171" t="s">
        <v>330</v>
      </c>
      <c r="J58" s="98">
        <v>10</v>
      </c>
      <c r="K58" s="92">
        <v>10988</v>
      </c>
      <c r="L58" s="93">
        <v>0.17630000000000001</v>
      </c>
      <c r="M58" s="93">
        <v>0.17630000000000001</v>
      </c>
      <c r="N58" s="171" t="s">
        <v>330</v>
      </c>
      <c r="O58" s="109">
        <v>114601448415.45</v>
      </c>
      <c r="P58" s="91">
        <f t="shared" si="39"/>
        <v>1.9928017016056458E-2</v>
      </c>
      <c r="Q58" s="171" t="s">
        <v>330</v>
      </c>
      <c r="R58" s="98">
        <v>10</v>
      </c>
      <c r="S58" s="171" t="s">
        <v>330</v>
      </c>
      <c r="T58" s="98">
        <v>10</v>
      </c>
      <c r="U58" s="92">
        <v>11110</v>
      </c>
      <c r="V58" s="93">
        <v>0.17069999999999999</v>
      </c>
      <c r="W58" s="93">
        <v>0.17069999999999999</v>
      </c>
      <c r="X58" s="187">
        <f t="shared" si="19"/>
        <v>-1.4666384067751609E-2</v>
      </c>
      <c r="Y58" s="187">
        <f t="shared" si="20"/>
        <v>0</v>
      </c>
      <c r="Z58" s="187">
        <f t="shared" si="21"/>
        <v>1.1103021477975974E-2</v>
      </c>
      <c r="AA58" s="185">
        <f t="shared" si="22"/>
        <v>-5.6000000000000216E-3</v>
      </c>
      <c r="AB58" s="186">
        <f t="shared" si="23"/>
        <v>-5.6000000000000216E-3</v>
      </c>
    </row>
    <row r="59" spans="1:28">
      <c r="A59" s="199">
        <v>51</v>
      </c>
      <c r="B59" s="84" t="s">
        <v>340</v>
      </c>
      <c r="C59" s="85" t="s">
        <v>313</v>
      </c>
      <c r="D59" s="171" t="s">
        <v>330</v>
      </c>
      <c r="E59" s="109">
        <v>465481553.76999998</v>
      </c>
      <c r="F59" s="91">
        <f t="shared" si="38"/>
        <v>8.0942470208242133E-5</v>
      </c>
      <c r="G59" s="171" t="s">
        <v>330</v>
      </c>
      <c r="H59" s="98">
        <v>1</v>
      </c>
      <c r="I59" s="171" t="s">
        <v>330</v>
      </c>
      <c r="J59" s="98">
        <v>1</v>
      </c>
      <c r="K59" s="92">
        <v>292</v>
      </c>
      <c r="L59" s="93">
        <v>0.1870551</v>
      </c>
      <c r="M59" s="93">
        <v>0.1870551</v>
      </c>
      <c r="N59" s="171" t="s">
        <v>330</v>
      </c>
      <c r="O59" s="109">
        <v>564983319.46000004</v>
      </c>
      <c r="P59" s="91">
        <f t="shared" si="39"/>
        <v>9.8244807196250599E-5</v>
      </c>
      <c r="Q59" s="171" t="s">
        <v>330</v>
      </c>
      <c r="R59" s="98">
        <v>1</v>
      </c>
      <c r="S59" s="171" t="s">
        <v>330</v>
      </c>
      <c r="T59" s="98">
        <v>1</v>
      </c>
      <c r="U59" s="92">
        <v>298</v>
      </c>
      <c r="V59" s="93">
        <v>0.18789</v>
      </c>
      <c r="W59" s="93">
        <v>0.18789</v>
      </c>
      <c r="X59" s="187">
        <f t="shared" ref="X59" si="45">((O59-E59)/E59)</f>
        <v>0.21376092110228942</v>
      </c>
      <c r="Y59" s="187">
        <f t="shared" ref="Y59" si="46">((T59-J59)/J59)</f>
        <v>0</v>
      </c>
      <c r="Z59" s="187">
        <f t="shared" ref="Z59" si="47">((U59-K59)/K59)</f>
        <v>2.0547945205479451E-2</v>
      </c>
      <c r="AA59" s="185">
        <f t="shared" ref="AA59" si="48">V59-L59</f>
        <v>8.3489999999999953E-4</v>
      </c>
      <c r="AB59" s="186">
        <f t="shared" ref="AB59" si="49">W59-M59</f>
        <v>8.3489999999999953E-4</v>
      </c>
    </row>
    <row r="60" spans="1:28">
      <c r="A60" s="199">
        <v>52</v>
      </c>
      <c r="B60" s="84" t="s">
        <v>97</v>
      </c>
      <c r="C60" s="85" t="s">
        <v>98</v>
      </c>
      <c r="D60" s="171" t="s">
        <v>330</v>
      </c>
      <c r="E60" s="107">
        <v>44395611610</v>
      </c>
      <c r="F60" s="91">
        <f t="shared" si="38"/>
        <v>7.7199417270457519E-3</v>
      </c>
      <c r="G60" s="171" t="s">
        <v>330</v>
      </c>
      <c r="H60" s="98">
        <v>100</v>
      </c>
      <c r="I60" s="171" t="s">
        <v>330</v>
      </c>
      <c r="J60" s="98">
        <v>100</v>
      </c>
      <c r="K60" s="92">
        <v>6403</v>
      </c>
      <c r="L60" s="93">
        <v>0.17469999999999999</v>
      </c>
      <c r="M60" s="93">
        <v>0.17469999999999999</v>
      </c>
      <c r="N60" s="171" t="s">
        <v>330</v>
      </c>
      <c r="O60" s="107">
        <v>44779293511</v>
      </c>
      <c r="P60" s="91">
        <f t="shared" si="39"/>
        <v>7.7866600762254478E-3</v>
      </c>
      <c r="Q60" s="171" t="s">
        <v>330</v>
      </c>
      <c r="R60" s="98">
        <v>100</v>
      </c>
      <c r="S60" s="171" t="s">
        <v>330</v>
      </c>
      <c r="T60" s="98">
        <v>100</v>
      </c>
      <c r="U60" s="92">
        <v>6472</v>
      </c>
      <c r="V60" s="93">
        <v>0.18190000000000001</v>
      </c>
      <c r="W60" s="93">
        <v>0.18190000000000001</v>
      </c>
      <c r="X60" s="187">
        <f t="shared" si="19"/>
        <v>8.6423384448560368E-3</v>
      </c>
      <c r="Y60" s="187">
        <f t="shared" si="20"/>
        <v>0</v>
      </c>
      <c r="Z60" s="187">
        <f t="shared" si="21"/>
        <v>1.0776198656879588E-2</v>
      </c>
      <c r="AA60" s="185">
        <f t="shared" si="22"/>
        <v>7.2000000000000119E-3</v>
      </c>
      <c r="AB60" s="186">
        <f t="shared" si="23"/>
        <v>7.2000000000000119E-3</v>
      </c>
    </row>
    <row r="61" spans="1:28">
      <c r="A61" s="199">
        <v>53</v>
      </c>
      <c r="B61" s="84" t="s">
        <v>99</v>
      </c>
      <c r="C61" s="85" t="s">
        <v>100</v>
      </c>
      <c r="D61" s="171" t="s">
        <v>330</v>
      </c>
      <c r="E61" s="107">
        <v>186459945.36000001</v>
      </c>
      <c r="F61" s="91">
        <f t="shared" si="38"/>
        <v>3.2423472960627041E-5</v>
      </c>
      <c r="G61" s="171" t="s">
        <v>330</v>
      </c>
      <c r="H61" s="98">
        <v>1.01</v>
      </c>
      <c r="I61" s="171" t="s">
        <v>330</v>
      </c>
      <c r="J61" s="98">
        <v>1.01</v>
      </c>
      <c r="K61" s="92">
        <v>107</v>
      </c>
      <c r="L61" s="93">
        <v>0.15160000000000001</v>
      </c>
      <c r="M61" s="93">
        <v>0.15160000000000001</v>
      </c>
      <c r="N61" s="171" t="s">
        <v>330</v>
      </c>
      <c r="O61" s="107">
        <v>187419945.36000001</v>
      </c>
      <c r="P61" s="91">
        <f t="shared" si="39"/>
        <v>3.2590407118963871E-5</v>
      </c>
      <c r="Q61" s="171" t="s">
        <v>330</v>
      </c>
      <c r="R61" s="98">
        <v>1.01</v>
      </c>
      <c r="S61" s="171" t="s">
        <v>330</v>
      </c>
      <c r="T61" s="98">
        <v>1.01</v>
      </c>
      <c r="U61" s="92">
        <v>113</v>
      </c>
      <c r="V61" s="93">
        <v>0.15179999999999999</v>
      </c>
      <c r="W61" s="93">
        <v>0.15179999999999999</v>
      </c>
      <c r="X61" s="187">
        <f t="shared" si="19"/>
        <v>5.1485588400582158E-3</v>
      </c>
      <c r="Y61" s="187">
        <f t="shared" si="20"/>
        <v>0</v>
      </c>
      <c r="Z61" s="187">
        <f t="shared" si="21"/>
        <v>5.6074766355140186E-2</v>
      </c>
      <c r="AA61" s="185">
        <f t="shared" si="22"/>
        <v>1.9999999999997797E-4</v>
      </c>
      <c r="AB61" s="186">
        <f t="shared" si="23"/>
        <v>1.9999999999997797E-4</v>
      </c>
    </row>
    <row r="62" spans="1:28">
      <c r="A62" s="199">
        <v>54</v>
      </c>
      <c r="B62" s="84" t="s">
        <v>101</v>
      </c>
      <c r="C62" s="85" t="s">
        <v>42</v>
      </c>
      <c r="D62" s="171" t="s">
        <v>330</v>
      </c>
      <c r="E62" s="109">
        <v>2889395811.9400001</v>
      </c>
      <c r="F62" s="91">
        <f t="shared" si="38"/>
        <v>5.0243631038349027E-4</v>
      </c>
      <c r="G62" s="171" t="s">
        <v>330</v>
      </c>
      <c r="H62" s="98">
        <v>10</v>
      </c>
      <c r="I62" s="171" t="s">
        <v>330</v>
      </c>
      <c r="J62" s="98">
        <v>10</v>
      </c>
      <c r="K62" s="92">
        <v>993</v>
      </c>
      <c r="L62" s="93">
        <v>0.1479</v>
      </c>
      <c r="M62" s="93">
        <v>0.1479</v>
      </c>
      <c r="N62" s="171" t="s">
        <v>330</v>
      </c>
      <c r="O62" s="109">
        <v>2755847134.27</v>
      </c>
      <c r="P62" s="91">
        <f t="shared" si="39"/>
        <v>4.7921356444199302E-4</v>
      </c>
      <c r="Q62" s="171" t="s">
        <v>330</v>
      </c>
      <c r="R62" s="98">
        <v>10</v>
      </c>
      <c r="S62" s="171" t="s">
        <v>330</v>
      </c>
      <c r="T62" s="98">
        <v>10</v>
      </c>
      <c r="U62" s="92">
        <v>994</v>
      </c>
      <c r="V62" s="93">
        <v>0.15939999999999999</v>
      </c>
      <c r="W62" s="93">
        <v>0.15939999999999999</v>
      </c>
      <c r="X62" s="187">
        <f t="shared" si="19"/>
        <v>-4.6220277996572828E-2</v>
      </c>
      <c r="Y62" s="187">
        <f t="shared" si="20"/>
        <v>0</v>
      </c>
      <c r="Z62" s="187">
        <f t="shared" si="21"/>
        <v>1.0070493454179255E-3</v>
      </c>
      <c r="AA62" s="185">
        <f t="shared" si="22"/>
        <v>1.1499999999999982E-2</v>
      </c>
      <c r="AB62" s="186">
        <f t="shared" si="23"/>
        <v>1.1499999999999982E-2</v>
      </c>
    </row>
    <row r="63" spans="1:28" ht="15.6" customHeight="1">
      <c r="A63" s="199">
        <v>55</v>
      </c>
      <c r="B63" s="84" t="s">
        <v>102</v>
      </c>
      <c r="C63" s="85" t="s">
        <v>103</v>
      </c>
      <c r="D63" s="171" t="s">
        <v>330</v>
      </c>
      <c r="E63" s="109">
        <v>1752149775</v>
      </c>
      <c r="F63" s="91">
        <f t="shared" si="38"/>
        <v>3.0468088330175221E-4</v>
      </c>
      <c r="G63" s="171" t="s">
        <v>330</v>
      </c>
      <c r="H63" s="98">
        <v>1</v>
      </c>
      <c r="I63" s="171" t="s">
        <v>330</v>
      </c>
      <c r="J63" s="98">
        <v>1</v>
      </c>
      <c r="K63" s="92">
        <v>256</v>
      </c>
      <c r="L63" s="93">
        <v>0.1888</v>
      </c>
      <c r="M63" s="93">
        <v>0.1888</v>
      </c>
      <c r="N63" s="171" t="s">
        <v>330</v>
      </c>
      <c r="O63" s="109">
        <v>1941703429</v>
      </c>
      <c r="P63" s="91">
        <f t="shared" si="39"/>
        <v>3.3764232047900193E-4</v>
      </c>
      <c r="Q63" s="171" t="s">
        <v>330</v>
      </c>
      <c r="R63" s="98">
        <v>1</v>
      </c>
      <c r="S63" s="171" t="s">
        <v>330</v>
      </c>
      <c r="T63" s="98">
        <v>1</v>
      </c>
      <c r="U63" s="92">
        <v>261</v>
      </c>
      <c r="V63" s="93">
        <v>0.19059999999999999</v>
      </c>
      <c r="W63" s="93">
        <v>0.19059999999999999</v>
      </c>
      <c r="X63" s="187">
        <f t="shared" si="19"/>
        <v>0.10818347649532416</v>
      </c>
      <c r="Y63" s="187">
        <f t="shared" si="20"/>
        <v>0</v>
      </c>
      <c r="Z63" s="187">
        <f t="shared" si="21"/>
        <v>1.953125E-2</v>
      </c>
      <c r="AA63" s="185">
        <f t="shared" si="22"/>
        <v>1.799999999999996E-3</v>
      </c>
      <c r="AB63" s="186">
        <f t="shared" si="23"/>
        <v>1.799999999999996E-3</v>
      </c>
    </row>
    <row r="64" spans="1:28">
      <c r="A64" s="199">
        <v>56</v>
      </c>
      <c r="B64" s="84" t="s">
        <v>104</v>
      </c>
      <c r="C64" s="85" t="s">
        <v>105</v>
      </c>
      <c r="D64" s="171" t="s">
        <v>330</v>
      </c>
      <c r="E64" s="109">
        <v>2407418420.4809456</v>
      </c>
      <c r="F64" s="91">
        <f t="shared" si="38"/>
        <v>4.1862538311203656E-4</v>
      </c>
      <c r="G64" s="171" t="s">
        <v>330</v>
      </c>
      <c r="H64" s="98">
        <v>1</v>
      </c>
      <c r="I64" s="171" t="s">
        <v>330</v>
      </c>
      <c r="J64" s="98">
        <v>1</v>
      </c>
      <c r="K64" s="92">
        <v>2916</v>
      </c>
      <c r="L64" s="93">
        <v>0.16400000000000001</v>
      </c>
      <c r="M64" s="93">
        <v>0.16400000000000001</v>
      </c>
      <c r="N64" s="171" t="s">
        <v>330</v>
      </c>
      <c r="O64" s="109">
        <v>2414431131.4499998</v>
      </c>
      <c r="P64" s="91">
        <f t="shared" si="39"/>
        <v>4.1984482165711827E-4</v>
      </c>
      <c r="Q64" s="171" t="s">
        <v>330</v>
      </c>
      <c r="R64" s="98">
        <v>1</v>
      </c>
      <c r="S64" s="171" t="s">
        <v>330</v>
      </c>
      <c r="T64" s="98">
        <v>1</v>
      </c>
      <c r="U64" s="92">
        <v>2957</v>
      </c>
      <c r="V64" s="93">
        <v>0.1658</v>
      </c>
      <c r="W64" s="93">
        <v>0.1658</v>
      </c>
      <c r="X64" s="187">
        <f t="shared" si="19"/>
        <v>2.9129589228835623E-3</v>
      </c>
      <c r="Y64" s="187">
        <f t="shared" si="20"/>
        <v>0</v>
      </c>
      <c r="Z64" s="187">
        <f t="shared" si="21"/>
        <v>1.4060356652949246E-2</v>
      </c>
      <c r="AA64" s="185">
        <f t="shared" si="22"/>
        <v>1.799999999999996E-3</v>
      </c>
      <c r="AB64" s="186">
        <f t="shared" si="23"/>
        <v>1.799999999999996E-3</v>
      </c>
    </row>
    <row r="65" spans="1:28">
      <c r="A65" s="199">
        <v>57</v>
      </c>
      <c r="B65" s="84" t="s">
        <v>106</v>
      </c>
      <c r="C65" s="85" t="s">
        <v>107</v>
      </c>
      <c r="D65" s="171" t="s">
        <v>330</v>
      </c>
      <c r="E65" s="109">
        <v>15465045123.289</v>
      </c>
      <c r="F65" s="91">
        <f t="shared" si="38"/>
        <v>2.6892128034346537E-3</v>
      </c>
      <c r="G65" s="171" t="s">
        <v>330</v>
      </c>
      <c r="H65" s="98">
        <v>100</v>
      </c>
      <c r="I65" s="171" t="s">
        <v>330</v>
      </c>
      <c r="J65" s="98">
        <v>100</v>
      </c>
      <c r="K65" s="92">
        <v>164</v>
      </c>
      <c r="L65" s="93">
        <v>0.1565</v>
      </c>
      <c r="M65" s="93">
        <v>0.1565</v>
      </c>
      <c r="N65" s="171" t="s">
        <v>330</v>
      </c>
      <c r="O65" s="109">
        <v>14070547345.51</v>
      </c>
      <c r="P65" s="91">
        <f t="shared" si="39"/>
        <v>2.4467239358970392E-3</v>
      </c>
      <c r="Q65" s="171" t="s">
        <v>330</v>
      </c>
      <c r="R65" s="98">
        <v>100</v>
      </c>
      <c r="S65" s="171" t="s">
        <v>330</v>
      </c>
      <c r="T65" s="98">
        <v>100</v>
      </c>
      <c r="U65" s="92">
        <v>162</v>
      </c>
      <c r="V65" s="93">
        <v>0.1598</v>
      </c>
      <c r="W65" s="93">
        <v>0.1598</v>
      </c>
      <c r="X65" s="187">
        <f t="shared" si="19"/>
        <v>-9.0170947880327104E-2</v>
      </c>
      <c r="Y65" s="187">
        <f t="shared" si="20"/>
        <v>0</v>
      </c>
      <c r="Z65" s="187">
        <f t="shared" si="21"/>
        <v>-1.2195121951219513E-2</v>
      </c>
      <c r="AA65" s="185">
        <f t="shared" si="22"/>
        <v>3.2999999999999974E-3</v>
      </c>
      <c r="AB65" s="186">
        <f t="shared" si="23"/>
        <v>3.2999999999999974E-3</v>
      </c>
    </row>
    <row r="66" spans="1:28">
      <c r="A66" s="199">
        <v>58</v>
      </c>
      <c r="B66" s="84" t="s">
        <v>305</v>
      </c>
      <c r="C66" s="85" t="s">
        <v>73</v>
      </c>
      <c r="D66" s="171" t="s">
        <v>330</v>
      </c>
      <c r="E66" s="109">
        <v>125722941.51000001</v>
      </c>
      <c r="F66" s="91">
        <f t="shared" si="38"/>
        <v>2.1861930650626786E-5</v>
      </c>
      <c r="G66" s="171" t="s">
        <v>330</v>
      </c>
      <c r="H66" s="98">
        <v>1000</v>
      </c>
      <c r="I66" s="171" t="s">
        <v>330</v>
      </c>
      <c r="J66" s="98">
        <v>1000</v>
      </c>
      <c r="K66" s="92">
        <v>30</v>
      </c>
      <c r="L66" s="93">
        <v>0.23131618000000001</v>
      </c>
      <c r="M66" s="93">
        <v>0.23131618000000001</v>
      </c>
      <c r="N66" s="171" t="s">
        <v>330</v>
      </c>
      <c r="O66" s="109">
        <v>326334272.94999999</v>
      </c>
      <c r="P66" s="91">
        <f t="shared" si="39"/>
        <v>5.6746184574341598E-5</v>
      </c>
      <c r="Q66" s="171" t="s">
        <v>330</v>
      </c>
      <c r="R66" s="98">
        <v>1000</v>
      </c>
      <c r="S66" s="171" t="s">
        <v>330</v>
      </c>
      <c r="T66" s="98">
        <v>1000</v>
      </c>
      <c r="U66" s="92">
        <v>31</v>
      </c>
      <c r="V66" s="93">
        <v>0.18890000000000001</v>
      </c>
      <c r="W66" s="93">
        <v>0.18890000000000001</v>
      </c>
      <c r="X66" s="187">
        <f t="shared" si="19"/>
        <v>1.5956620886415021</v>
      </c>
      <c r="Y66" s="187">
        <f t="shared" si="20"/>
        <v>0</v>
      </c>
      <c r="Z66" s="187">
        <f t="shared" si="21"/>
        <v>3.3333333333333333E-2</v>
      </c>
      <c r="AA66" s="185">
        <f t="shared" si="22"/>
        <v>-4.2416179999999998E-2</v>
      </c>
      <c r="AB66" s="186">
        <f t="shared" si="23"/>
        <v>-4.2416179999999998E-2</v>
      </c>
    </row>
    <row r="67" spans="1:28">
      <c r="A67" s="199">
        <v>59</v>
      </c>
      <c r="B67" s="84" t="s">
        <v>307</v>
      </c>
      <c r="C67" s="85" t="s">
        <v>31</v>
      </c>
      <c r="D67" s="171" t="s">
        <v>330</v>
      </c>
      <c r="E67" s="96">
        <v>2163386968</v>
      </c>
      <c r="F67" s="91">
        <f t="shared" si="38"/>
        <v>3.761908152707662E-4</v>
      </c>
      <c r="G67" s="171" t="s">
        <v>330</v>
      </c>
      <c r="H67" s="90">
        <v>1</v>
      </c>
      <c r="I67" s="171" t="s">
        <v>330</v>
      </c>
      <c r="J67" s="90">
        <v>1</v>
      </c>
      <c r="K67" s="92">
        <v>345</v>
      </c>
      <c r="L67" s="93">
        <v>0.1772</v>
      </c>
      <c r="M67" s="93">
        <v>0.1772</v>
      </c>
      <c r="N67" s="171" t="s">
        <v>330</v>
      </c>
      <c r="O67" s="96">
        <v>2196707968</v>
      </c>
      <c r="P67" s="91">
        <f t="shared" si="39"/>
        <v>3.8198499557278841E-4</v>
      </c>
      <c r="Q67" s="171" t="s">
        <v>330</v>
      </c>
      <c r="R67" s="90">
        <v>1</v>
      </c>
      <c r="S67" s="171" t="s">
        <v>330</v>
      </c>
      <c r="T67" s="90">
        <v>1</v>
      </c>
      <c r="U67" s="92">
        <v>345</v>
      </c>
      <c r="V67" s="93">
        <v>0.1772</v>
      </c>
      <c r="W67" s="93">
        <v>0.1772</v>
      </c>
      <c r="X67" s="187">
        <f t="shared" si="19"/>
        <v>1.5402237552907363E-2</v>
      </c>
      <c r="Y67" s="187">
        <f t="shared" si="20"/>
        <v>0</v>
      </c>
      <c r="Z67" s="187">
        <f t="shared" si="21"/>
        <v>0</v>
      </c>
      <c r="AA67" s="185">
        <f t="shared" si="22"/>
        <v>0</v>
      </c>
      <c r="AB67" s="186">
        <f t="shared" si="23"/>
        <v>0</v>
      </c>
    </row>
    <row r="68" spans="1:28">
      <c r="A68" s="199">
        <v>60</v>
      </c>
      <c r="B68" s="84" t="s">
        <v>108</v>
      </c>
      <c r="C68" s="85" t="s">
        <v>46</v>
      </c>
      <c r="D68" s="171" t="s">
        <v>330</v>
      </c>
      <c r="E68" s="107">
        <v>2779117717596.1201</v>
      </c>
      <c r="F68" s="91">
        <f t="shared" si="38"/>
        <v>0.48326008031861056</v>
      </c>
      <c r="G68" s="171" t="s">
        <v>330</v>
      </c>
      <c r="H68" s="98">
        <v>100</v>
      </c>
      <c r="I68" s="171" t="s">
        <v>330</v>
      </c>
      <c r="J68" s="98">
        <v>100</v>
      </c>
      <c r="K68" s="92">
        <v>326282</v>
      </c>
      <c r="L68" s="93">
        <v>0.152972</v>
      </c>
      <c r="M68" s="93">
        <v>0.152972</v>
      </c>
      <c r="N68" s="171" t="s">
        <v>330</v>
      </c>
      <c r="O68" s="107">
        <v>2780510571066.6401</v>
      </c>
      <c r="P68" s="91">
        <f>(O68/$O$76)</f>
        <v>0.48350228325797284</v>
      </c>
      <c r="Q68" s="171" t="s">
        <v>330</v>
      </c>
      <c r="R68" s="98">
        <v>100</v>
      </c>
      <c r="S68" s="171" t="s">
        <v>330</v>
      </c>
      <c r="T68" s="98">
        <v>100</v>
      </c>
      <c r="U68" s="92">
        <v>329074</v>
      </c>
      <c r="V68" s="93">
        <v>0.15740000000000001</v>
      </c>
      <c r="W68" s="93">
        <v>0.15740000000000001</v>
      </c>
      <c r="X68" s="187">
        <f t="shared" si="19"/>
        <v>5.0118548836600174E-4</v>
      </c>
      <c r="Y68" s="187">
        <f t="shared" si="20"/>
        <v>0</v>
      </c>
      <c r="Z68" s="187">
        <f t="shared" si="21"/>
        <v>8.5570150973697592E-3</v>
      </c>
      <c r="AA68" s="185">
        <f t="shared" si="22"/>
        <v>4.4280000000000153E-3</v>
      </c>
      <c r="AB68" s="186">
        <f t="shared" si="23"/>
        <v>4.4280000000000153E-3</v>
      </c>
    </row>
    <row r="69" spans="1:28">
      <c r="A69" s="199">
        <v>61</v>
      </c>
      <c r="B69" s="84" t="s">
        <v>109</v>
      </c>
      <c r="C69" s="84" t="s">
        <v>110</v>
      </c>
      <c r="D69" s="171" t="s">
        <v>330</v>
      </c>
      <c r="E69" s="107">
        <v>13980321305.940001</v>
      </c>
      <c r="F69" s="91">
        <f t="shared" si="38"/>
        <v>2.431034552589036E-3</v>
      </c>
      <c r="G69" s="171" t="s">
        <v>330</v>
      </c>
      <c r="H69" s="98">
        <v>100</v>
      </c>
      <c r="I69" s="171" t="s">
        <v>330</v>
      </c>
      <c r="J69" s="98">
        <v>100</v>
      </c>
      <c r="K69" s="92">
        <v>1566</v>
      </c>
      <c r="L69" s="93">
        <v>0.19586400000000001</v>
      </c>
      <c r="M69" s="93">
        <v>0.19586400000000001</v>
      </c>
      <c r="N69" s="171" t="s">
        <v>330</v>
      </c>
      <c r="O69" s="107">
        <v>14428883423.629999</v>
      </c>
      <c r="P69" s="91">
        <f t="shared" ref="P69:P75" si="50">(O69/$O$76)</f>
        <v>2.5090349063164982E-3</v>
      </c>
      <c r="Q69" s="171" t="s">
        <v>330</v>
      </c>
      <c r="R69" s="98">
        <v>100</v>
      </c>
      <c r="S69" s="171" t="s">
        <v>330</v>
      </c>
      <c r="T69" s="98">
        <v>100</v>
      </c>
      <c r="U69" s="92">
        <v>1596</v>
      </c>
      <c r="V69" s="93">
        <v>0.1943</v>
      </c>
      <c r="W69" s="93">
        <v>0.1943</v>
      </c>
      <c r="X69" s="187">
        <f t="shared" si="19"/>
        <v>3.2085250966257278E-2</v>
      </c>
      <c r="Y69" s="187">
        <f t="shared" si="20"/>
        <v>0</v>
      </c>
      <c r="Z69" s="187">
        <f t="shared" si="21"/>
        <v>1.9157088122605363E-2</v>
      </c>
      <c r="AA69" s="185">
        <f t="shared" si="22"/>
        <v>-1.5640000000000098E-3</v>
      </c>
      <c r="AB69" s="186">
        <f t="shared" si="23"/>
        <v>-1.5640000000000098E-3</v>
      </c>
    </row>
    <row r="70" spans="1:28">
      <c r="A70" s="199">
        <v>62</v>
      </c>
      <c r="B70" s="201" t="s">
        <v>111</v>
      </c>
      <c r="C70" s="85" t="s">
        <v>112</v>
      </c>
      <c r="D70" s="171" t="s">
        <v>330</v>
      </c>
      <c r="E70" s="107">
        <v>16347427064.450001</v>
      </c>
      <c r="F70" s="91">
        <f t="shared" si="38"/>
        <v>2.8426499770589512E-3</v>
      </c>
      <c r="G70" s="171" t="s">
        <v>330</v>
      </c>
      <c r="H70" s="98">
        <v>1</v>
      </c>
      <c r="I70" s="171" t="s">
        <v>330</v>
      </c>
      <c r="J70" s="98">
        <v>1</v>
      </c>
      <c r="K70" s="92">
        <v>921</v>
      </c>
      <c r="L70" s="93">
        <v>0.19059309999999999</v>
      </c>
      <c r="M70" s="93">
        <v>0.19059309999999999</v>
      </c>
      <c r="N70" s="171" t="s">
        <v>330</v>
      </c>
      <c r="O70" s="107">
        <v>17321875680.459999</v>
      </c>
      <c r="P70" s="91">
        <f t="shared" si="50"/>
        <v>3.0120966015965687E-3</v>
      </c>
      <c r="Q70" s="171" t="s">
        <v>330</v>
      </c>
      <c r="R70" s="98">
        <v>1</v>
      </c>
      <c r="S70" s="171" t="s">
        <v>330</v>
      </c>
      <c r="T70" s="98">
        <v>1</v>
      </c>
      <c r="U70" s="92">
        <v>929</v>
      </c>
      <c r="V70" s="93">
        <v>0.188611</v>
      </c>
      <c r="W70" s="93">
        <v>0.18859999999999999</v>
      </c>
      <c r="X70" s="187">
        <f t="shared" si="19"/>
        <v>5.9608684116969513E-2</v>
      </c>
      <c r="Y70" s="187">
        <f t="shared" si="20"/>
        <v>0</v>
      </c>
      <c r="Z70" s="187">
        <f t="shared" si="21"/>
        <v>8.6862106406080351E-3</v>
      </c>
      <c r="AA70" s="185">
        <f t="shared" si="22"/>
        <v>-1.9820999999999867E-3</v>
      </c>
      <c r="AB70" s="186">
        <f t="shared" si="23"/>
        <v>-1.9930999999999977E-3</v>
      </c>
    </row>
    <row r="71" spans="1:28">
      <c r="A71" s="199">
        <v>63</v>
      </c>
      <c r="B71" s="84" t="s">
        <v>113</v>
      </c>
      <c r="C71" s="85" t="s">
        <v>49</v>
      </c>
      <c r="D71" s="171" t="s">
        <v>330</v>
      </c>
      <c r="E71" s="107">
        <v>226477592014.85001</v>
      </c>
      <c r="F71" s="91">
        <f t="shared" si="38"/>
        <v>3.9382131463697713E-2</v>
      </c>
      <c r="G71" s="171" t="s">
        <v>330</v>
      </c>
      <c r="H71" s="98">
        <v>1</v>
      </c>
      <c r="I71" s="171" t="s">
        <v>330</v>
      </c>
      <c r="J71" s="98">
        <v>1</v>
      </c>
      <c r="K71" s="92">
        <v>89423</v>
      </c>
      <c r="L71" s="93">
        <v>0.1532</v>
      </c>
      <c r="M71" s="93">
        <v>0.1532</v>
      </c>
      <c r="N71" s="171" t="s">
        <v>330</v>
      </c>
      <c r="O71" s="107">
        <v>225150547283.88</v>
      </c>
      <c r="P71" s="91">
        <f t="shared" si="50"/>
        <v>3.9151371989489592E-2</v>
      </c>
      <c r="Q71" s="171" t="s">
        <v>330</v>
      </c>
      <c r="R71" s="98">
        <v>1</v>
      </c>
      <c r="S71" s="171" t="s">
        <v>330</v>
      </c>
      <c r="T71" s="98">
        <v>1</v>
      </c>
      <c r="U71" s="92">
        <v>90008</v>
      </c>
      <c r="V71" s="93">
        <v>0.15240000000000001</v>
      </c>
      <c r="W71" s="93">
        <v>0.15240000000000001</v>
      </c>
      <c r="X71" s="187">
        <f t="shared" si="19"/>
        <v>-5.8594968233457185E-3</v>
      </c>
      <c r="Y71" s="187">
        <f t="shared" si="20"/>
        <v>0</v>
      </c>
      <c r="Z71" s="187">
        <f t="shared" si="21"/>
        <v>6.5419411113471927E-3</v>
      </c>
      <c r="AA71" s="185">
        <f t="shared" si="22"/>
        <v>-7.9999999999999516E-4</v>
      </c>
      <c r="AB71" s="186">
        <f t="shared" si="23"/>
        <v>-7.9999999999999516E-4</v>
      </c>
    </row>
    <row r="72" spans="1:28">
      <c r="A72" s="199">
        <v>64</v>
      </c>
      <c r="B72" s="84" t="s">
        <v>114</v>
      </c>
      <c r="C72" s="85" t="s">
        <v>115</v>
      </c>
      <c r="D72" s="171" t="s">
        <v>330</v>
      </c>
      <c r="E72" s="109">
        <v>3026665271.5100002</v>
      </c>
      <c r="F72" s="91">
        <f t="shared" si="38"/>
        <v>5.2630606215293702E-4</v>
      </c>
      <c r="G72" s="171" t="s">
        <v>330</v>
      </c>
      <c r="H72" s="98">
        <v>1</v>
      </c>
      <c r="I72" s="171" t="s">
        <v>330</v>
      </c>
      <c r="J72" s="98">
        <v>1</v>
      </c>
      <c r="K72" s="92">
        <v>165</v>
      </c>
      <c r="L72" s="93">
        <v>0.155</v>
      </c>
      <c r="M72" s="93">
        <v>0.155</v>
      </c>
      <c r="N72" s="171" t="s">
        <v>330</v>
      </c>
      <c r="O72" s="109">
        <v>3031572389.5100002</v>
      </c>
      <c r="P72" s="91">
        <f t="shared" si="50"/>
        <v>5.2715935966667603E-4</v>
      </c>
      <c r="Q72" s="171" t="s">
        <v>330</v>
      </c>
      <c r="R72" s="98">
        <v>1</v>
      </c>
      <c r="S72" s="171" t="s">
        <v>330</v>
      </c>
      <c r="T72" s="98">
        <v>1</v>
      </c>
      <c r="U72" s="92">
        <v>164</v>
      </c>
      <c r="V72" s="93">
        <v>0.15190000000000001</v>
      </c>
      <c r="W72" s="93">
        <v>0.15190000000000001</v>
      </c>
      <c r="X72" s="187">
        <f t="shared" si="19"/>
        <v>1.6212952407359681E-3</v>
      </c>
      <c r="Y72" s="187">
        <f t="shared" si="20"/>
        <v>0</v>
      </c>
      <c r="Z72" s="187">
        <f t="shared" si="21"/>
        <v>-6.0606060606060606E-3</v>
      </c>
      <c r="AA72" s="185">
        <f t="shared" si="22"/>
        <v>-3.0999999999999917E-3</v>
      </c>
      <c r="AB72" s="186">
        <f t="shared" si="23"/>
        <v>-3.0999999999999917E-3</v>
      </c>
    </row>
    <row r="73" spans="1:28">
      <c r="A73" s="199">
        <v>65</v>
      </c>
      <c r="B73" s="84" t="s">
        <v>116</v>
      </c>
      <c r="C73" s="85" t="s">
        <v>117</v>
      </c>
      <c r="D73" s="171" t="s">
        <v>330</v>
      </c>
      <c r="E73" s="107">
        <v>10539121056.68</v>
      </c>
      <c r="F73" s="91">
        <f t="shared" si="38"/>
        <v>1.8326451075070672E-3</v>
      </c>
      <c r="G73" s="171" t="s">
        <v>330</v>
      </c>
      <c r="H73" s="98">
        <v>1</v>
      </c>
      <c r="I73" s="171" t="s">
        <v>330</v>
      </c>
      <c r="J73" s="98">
        <v>1</v>
      </c>
      <c r="K73" s="92">
        <v>669</v>
      </c>
      <c r="L73" s="93">
        <v>0.16139999999999999</v>
      </c>
      <c r="M73" s="93">
        <v>0.16370000000000001</v>
      </c>
      <c r="N73" s="171" t="s">
        <v>330</v>
      </c>
      <c r="O73" s="107">
        <v>10468313423.219999</v>
      </c>
      <c r="P73" s="91">
        <f>(O73/$O$76)</f>
        <v>1.8203323859492884E-3</v>
      </c>
      <c r="Q73" s="171" t="s">
        <v>330</v>
      </c>
      <c r="R73" s="98">
        <v>1</v>
      </c>
      <c r="S73" s="171" t="s">
        <v>330</v>
      </c>
      <c r="T73" s="98">
        <v>1</v>
      </c>
      <c r="U73" s="92">
        <v>683</v>
      </c>
      <c r="V73" s="93">
        <v>0.16450000000000001</v>
      </c>
      <c r="W73" s="93">
        <v>0.16370000000000001</v>
      </c>
      <c r="X73" s="187">
        <f t="shared" si="19"/>
        <v>-6.7185520575381436E-3</v>
      </c>
      <c r="Y73" s="187">
        <f t="shared" si="20"/>
        <v>0</v>
      </c>
      <c r="Z73" s="187">
        <f t="shared" si="21"/>
        <v>2.0926756352765322E-2</v>
      </c>
      <c r="AA73" s="185">
        <f t="shared" si="22"/>
        <v>3.1000000000000194E-3</v>
      </c>
      <c r="AB73" s="186">
        <f t="shared" si="23"/>
        <v>0</v>
      </c>
    </row>
    <row r="74" spans="1:28">
      <c r="A74" s="199">
        <v>66</v>
      </c>
      <c r="B74" s="84" t="s">
        <v>118</v>
      </c>
      <c r="C74" s="85" t="s">
        <v>119</v>
      </c>
      <c r="D74" s="171" t="s">
        <v>330</v>
      </c>
      <c r="E74" s="107">
        <v>16209183755.370001</v>
      </c>
      <c r="F74" s="91">
        <f t="shared" si="38"/>
        <v>2.8186108828433601E-3</v>
      </c>
      <c r="G74" s="171" t="s">
        <v>330</v>
      </c>
      <c r="H74" s="98">
        <v>1</v>
      </c>
      <c r="I74" s="171" t="s">
        <v>330</v>
      </c>
      <c r="J74" s="98">
        <v>1</v>
      </c>
      <c r="K74" s="92">
        <v>7505</v>
      </c>
      <c r="L74" s="93">
        <v>0.17699999999999999</v>
      </c>
      <c r="M74" s="93">
        <v>0.17699999999999999</v>
      </c>
      <c r="N74" s="171" t="s">
        <v>330</v>
      </c>
      <c r="O74" s="107">
        <v>17004253679.620001</v>
      </c>
      <c r="P74" s="91">
        <f t="shared" si="50"/>
        <v>2.9568653918262736E-3</v>
      </c>
      <c r="Q74" s="171" t="s">
        <v>330</v>
      </c>
      <c r="R74" s="98">
        <v>1</v>
      </c>
      <c r="S74" s="171" t="s">
        <v>330</v>
      </c>
      <c r="T74" s="98">
        <v>1</v>
      </c>
      <c r="U74" s="92">
        <v>7677</v>
      </c>
      <c r="V74" s="93">
        <v>0.17630000000000001</v>
      </c>
      <c r="W74" s="93">
        <v>0.17630000000000001</v>
      </c>
      <c r="X74" s="187">
        <f t="shared" si="19"/>
        <v>4.9050583684486788E-2</v>
      </c>
      <c r="Y74" s="187">
        <f t="shared" si="20"/>
        <v>0</v>
      </c>
      <c r="Z74" s="187">
        <f t="shared" si="21"/>
        <v>2.2918054630246501E-2</v>
      </c>
      <c r="AA74" s="185">
        <f t="shared" si="22"/>
        <v>-6.9999999999997842E-4</v>
      </c>
      <c r="AB74" s="186">
        <f t="shared" si="23"/>
        <v>-6.9999999999997842E-4</v>
      </c>
    </row>
    <row r="75" spans="1:28">
      <c r="A75" s="199">
        <v>67</v>
      </c>
      <c r="B75" s="84" t="s">
        <v>120</v>
      </c>
      <c r="C75" s="85" t="s">
        <v>121</v>
      </c>
      <c r="D75" s="171" t="s">
        <v>330</v>
      </c>
      <c r="E75" s="107">
        <v>150561913357.54001</v>
      </c>
      <c r="F75" s="91">
        <f t="shared" si="38"/>
        <v>2.6181173212419681E-2</v>
      </c>
      <c r="G75" s="171" t="s">
        <v>330</v>
      </c>
      <c r="H75" s="98">
        <v>1</v>
      </c>
      <c r="I75" s="171" t="s">
        <v>330</v>
      </c>
      <c r="J75" s="98">
        <v>1</v>
      </c>
      <c r="K75" s="92">
        <v>8448</v>
      </c>
      <c r="L75" s="93">
        <v>0.15609999999999999</v>
      </c>
      <c r="M75" s="93">
        <v>0.15609999999999999</v>
      </c>
      <c r="N75" s="171" t="s">
        <v>330</v>
      </c>
      <c r="O75" s="107">
        <v>151543645511.89001</v>
      </c>
      <c r="P75" s="91">
        <f t="shared" si="50"/>
        <v>2.635188636960574E-2</v>
      </c>
      <c r="Q75" s="171" t="s">
        <v>330</v>
      </c>
      <c r="R75" s="98">
        <v>1</v>
      </c>
      <c r="S75" s="171" t="s">
        <v>330</v>
      </c>
      <c r="T75" s="98">
        <v>1</v>
      </c>
      <c r="U75" s="92">
        <v>8501</v>
      </c>
      <c r="V75" s="93">
        <v>0.16009999999999999</v>
      </c>
      <c r="W75" s="93">
        <v>0.16009999999999999</v>
      </c>
      <c r="X75" s="187">
        <f t="shared" si="19"/>
        <v>6.520454824578927E-3</v>
      </c>
      <c r="Y75" s="187">
        <f t="shared" si="20"/>
        <v>0</v>
      </c>
      <c r="Z75" s="187">
        <f t="shared" si="21"/>
        <v>6.2736742424242421E-3</v>
      </c>
      <c r="AA75" s="185">
        <f t="shared" si="22"/>
        <v>4.0000000000000036E-3</v>
      </c>
      <c r="AB75" s="186">
        <f t="shared" si="23"/>
        <v>4.0000000000000036E-3</v>
      </c>
    </row>
    <row r="76" spans="1:28">
      <c r="B76" s="99"/>
      <c r="C76" s="100" t="s">
        <v>52</v>
      </c>
      <c r="D76" s="145" t="s">
        <v>330</v>
      </c>
      <c r="E76" s="114">
        <f>SUM(E29:E75)</f>
        <v>5722001461776.2686</v>
      </c>
      <c r="F76" s="102">
        <f>(E76/$E$238)</f>
        <v>0.64550464295146848</v>
      </c>
      <c r="G76" s="171" t="s">
        <v>330</v>
      </c>
      <c r="H76" s="103"/>
      <c r="I76" s="171"/>
      <c r="J76" s="108"/>
      <c r="K76" s="105">
        <f>SUM(K29:K75)</f>
        <v>749053</v>
      </c>
      <c r="L76" s="115"/>
      <c r="M76" s="115"/>
      <c r="N76" s="171"/>
      <c r="O76" s="114">
        <f>SUM(O29:O75)</f>
        <v>5750770301084.7988</v>
      </c>
      <c r="P76" s="102">
        <f>(O76/$O$238)</f>
        <v>0.64562344340242472</v>
      </c>
      <c r="Q76" s="171"/>
      <c r="R76" s="103"/>
      <c r="S76" s="103"/>
      <c r="T76" s="108"/>
      <c r="U76" s="105">
        <f>SUM(U29:U75)</f>
        <v>756934</v>
      </c>
      <c r="V76" s="115"/>
      <c r="W76" s="115"/>
      <c r="X76" s="187">
        <f t="shared" si="19"/>
        <v>5.0277581193765766E-3</v>
      </c>
      <c r="Y76" s="187" t="e">
        <f t="shared" si="20"/>
        <v>#DIV/0!</v>
      </c>
      <c r="Z76" s="187">
        <f t="shared" si="21"/>
        <v>1.0521284875703054E-2</v>
      </c>
      <c r="AA76" s="185">
        <f t="shared" si="22"/>
        <v>0</v>
      </c>
      <c r="AB76" s="186">
        <f t="shared" si="23"/>
        <v>0</v>
      </c>
    </row>
    <row r="77" spans="1:28" ht="3" customHeight="1">
      <c r="B77" s="209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</row>
    <row r="78" spans="1:28" ht="15" customHeight="1">
      <c r="A78" s="191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</row>
    <row r="79" spans="1:28" ht="17.399999999999999" customHeight="1">
      <c r="A79" s="199">
        <v>68</v>
      </c>
      <c r="B79" s="84" t="s">
        <v>122</v>
      </c>
      <c r="C79" s="85" t="s">
        <v>21</v>
      </c>
      <c r="D79" s="171" t="s">
        <v>330</v>
      </c>
      <c r="E79" s="96">
        <v>1139983341.5899999</v>
      </c>
      <c r="F79" s="91">
        <f>(E79/$E$117)</f>
        <v>4.8529836949583478E-3</v>
      </c>
      <c r="G79" s="171" t="s">
        <v>330</v>
      </c>
      <c r="H79" s="116">
        <v>1.7744</v>
      </c>
      <c r="I79" s="171" t="s">
        <v>330</v>
      </c>
      <c r="J79" s="116">
        <v>1.7744</v>
      </c>
      <c r="K79" s="92">
        <v>559</v>
      </c>
      <c r="L79" s="93">
        <v>6.2E-4</v>
      </c>
      <c r="M79" s="93">
        <v>6.3E-2</v>
      </c>
      <c r="N79" s="171" t="s">
        <v>330</v>
      </c>
      <c r="O79" s="96">
        <v>1141603395.0799999</v>
      </c>
      <c r="P79" s="91">
        <f t="shared" ref="P79:P116" si="51">(O79/$O$117)</f>
        <v>4.879412403970244E-3</v>
      </c>
      <c r="Q79" s="171" t="s">
        <v>330</v>
      </c>
      <c r="R79" s="116">
        <v>1.7744</v>
      </c>
      <c r="S79" s="171" t="s">
        <v>330</v>
      </c>
      <c r="T79" s="116">
        <v>1.7744</v>
      </c>
      <c r="U79" s="92">
        <v>562</v>
      </c>
      <c r="V79" s="93">
        <v>6.2E-4</v>
      </c>
      <c r="W79" s="93">
        <v>6.3E-2</v>
      </c>
      <c r="X79" s="187">
        <f>((O79-E79)/E79)</f>
        <v>1.4211203189517035E-3</v>
      </c>
      <c r="Y79" s="187">
        <f>((T79-J79)/J79)</f>
        <v>0</v>
      </c>
      <c r="Z79" s="187">
        <f>((U79-K79)/K79)</f>
        <v>5.3667262969588547E-3</v>
      </c>
      <c r="AA79" s="185">
        <f>V79-L79</f>
        <v>0</v>
      </c>
      <c r="AB79" s="186">
        <f>W79-M79</f>
        <v>0</v>
      </c>
    </row>
    <row r="80" spans="1:28" ht="15" customHeight="1">
      <c r="A80" s="199">
        <v>69</v>
      </c>
      <c r="B80" s="84" t="s">
        <v>123</v>
      </c>
      <c r="C80" s="85" t="s">
        <v>23</v>
      </c>
      <c r="D80" s="171" t="s">
        <v>330</v>
      </c>
      <c r="E80" s="96">
        <v>1207348617.9100001</v>
      </c>
      <c r="F80" s="91">
        <f>(E80/$E$117)</f>
        <v>5.139762085185828E-3</v>
      </c>
      <c r="G80" s="171" t="s">
        <v>330</v>
      </c>
      <c r="H80" s="116">
        <v>1.3828</v>
      </c>
      <c r="I80" s="171" t="s">
        <v>330</v>
      </c>
      <c r="J80" s="116">
        <v>1.3828</v>
      </c>
      <c r="K80" s="92">
        <v>1545</v>
      </c>
      <c r="L80" s="93">
        <v>0.12470000000000001</v>
      </c>
      <c r="M80" s="93">
        <v>0.115</v>
      </c>
      <c r="N80" s="171" t="s">
        <v>330</v>
      </c>
      <c r="O80" s="96">
        <v>1199389932.8199999</v>
      </c>
      <c r="P80" s="91">
        <f t="shared" si="51"/>
        <v>5.1264021643776161E-3</v>
      </c>
      <c r="Q80" s="171" t="s">
        <v>330</v>
      </c>
      <c r="R80" s="116">
        <v>1.3862000000000001</v>
      </c>
      <c r="S80" s="171" t="s">
        <v>330</v>
      </c>
      <c r="T80" s="116">
        <v>1.3862000000000001</v>
      </c>
      <c r="U80" s="92">
        <v>1564</v>
      </c>
      <c r="V80" s="93">
        <v>0.12820000000000001</v>
      </c>
      <c r="W80" s="93">
        <v>0.1159</v>
      </c>
      <c r="X80" s="187">
        <f t="shared" ref="X80:X117" si="52">((O80-E80)/E80)</f>
        <v>-6.5918699636043484E-3</v>
      </c>
      <c r="Y80" s="187">
        <f t="shared" ref="Y80:Y117" si="53">((T80-J80)/J80)</f>
        <v>2.4587792884003972E-3</v>
      </c>
      <c r="Z80" s="187">
        <f t="shared" ref="Z80:Z117" si="54">((U80-K80)/K80)</f>
        <v>1.2297734627831715E-2</v>
      </c>
      <c r="AA80" s="185">
        <f t="shared" ref="AA80:AA117" si="55">V80-L80</f>
        <v>3.5000000000000031E-3</v>
      </c>
      <c r="AB80" s="186">
        <f t="shared" ref="AB80:AB117" si="56">W80-M80</f>
        <v>8.9999999999999802E-4</v>
      </c>
    </row>
    <row r="81" spans="1:28" ht="15.6" customHeight="1">
      <c r="A81" s="199">
        <v>70</v>
      </c>
      <c r="B81" s="84" t="s">
        <v>124</v>
      </c>
      <c r="C81" s="85" t="s">
        <v>23</v>
      </c>
      <c r="D81" s="171" t="s">
        <v>330</v>
      </c>
      <c r="E81" s="96">
        <v>678289986.27999997</v>
      </c>
      <c r="F81" s="91">
        <f>(E81/$E$117)</f>
        <v>2.8875248644240686E-3</v>
      </c>
      <c r="G81" s="171" t="s">
        <v>330</v>
      </c>
      <c r="H81" s="116">
        <v>1.2411000000000001</v>
      </c>
      <c r="I81" s="171" t="s">
        <v>330</v>
      </c>
      <c r="J81" s="116">
        <v>1.2411000000000001</v>
      </c>
      <c r="K81" s="92">
        <v>807</v>
      </c>
      <c r="L81" s="93">
        <v>0.13059999999999999</v>
      </c>
      <c r="M81" s="93">
        <v>0.14230000000000001</v>
      </c>
      <c r="N81" s="171" t="s">
        <v>330</v>
      </c>
      <c r="O81" s="96">
        <v>681699904.10000002</v>
      </c>
      <c r="P81" s="91">
        <f t="shared" si="51"/>
        <v>2.9137045161097912E-3</v>
      </c>
      <c r="Q81" s="171" t="s">
        <v>330</v>
      </c>
      <c r="R81" s="116">
        <v>1.2411000000000001</v>
      </c>
      <c r="S81" s="171" t="s">
        <v>330</v>
      </c>
      <c r="T81" s="116">
        <v>1.2411000000000001</v>
      </c>
      <c r="U81" s="92">
        <v>822</v>
      </c>
      <c r="V81" s="93">
        <v>8.8200000000000001E-2</v>
      </c>
      <c r="W81" s="93">
        <v>0.13969999999999999</v>
      </c>
      <c r="X81" s="187">
        <f t="shared" si="52"/>
        <v>5.0272271284754443E-3</v>
      </c>
      <c r="Y81" s="187">
        <f t="shared" si="53"/>
        <v>0</v>
      </c>
      <c r="Z81" s="187">
        <f t="shared" si="54"/>
        <v>1.858736059479554E-2</v>
      </c>
      <c r="AA81" s="185">
        <f t="shared" si="55"/>
        <v>-4.2399999999999993E-2</v>
      </c>
      <c r="AB81" s="186">
        <f t="shared" si="56"/>
        <v>-2.600000000000019E-3</v>
      </c>
    </row>
    <row r="82" spans="1:28" ht="16.2" customHeight="1">
      <c r="A82" s="199">
        <v>71</v>
      </c>
      <c r="B82" s="84" t="s">
        <v>125</v>
      </c>
      <c r="C82" s="85" t="s">
        <v>60</v>
      </c>
      <c r="D82" s="171" t="s">
        <v>330</v>
      </c>
      <c r="E82" s="96">
        <v>330106204.06999999</v>
      </c>
      <c r="F82" s="91">
        <f>(E82/$E$117)</f>
        <v>1.4052837155689502E-3</v>
      </c>
      <c r="G82" s="171" t="s">
        <v>330</v>
      </c>
      <c r="H82" s="95">
        <v>1259.73</v>
      </c>
      <c r="I82" s="171" t="s">
        <v>330</v>
      </c>
      <c r="J82" s="95">
        <v>1259.73</v>
      </c>
      <c r="K82" s="92">
        <v>287</v>
      </c>
      <c r="L82" s="93">
        <v>2.8E-3</v>
      </c>
      <c r="M82" s="93">
        <v>7.8100000000000003E-2</v>
      </c>
      <c r="N82" s="171" t="s">
        <v>330</v>
      </c>
      <c r="O82" s="96">
        <v>330438894.38999999</v>
      </c>
      <c r="P82" s="91">
        <f t="shared" si="51"/>
        <v>1.4123535783000991E-3</v>
      </c>
      <c r="Q82" s="171" t="s">
        <v>330</v>
      </c>
      <c r="R82" s="95">
        <v>1261</v>
      </c>
      <c r="S82" s="171" t="s">
        <v>330</v>
      </c>
      <c r="T82" s="95">
        <v>1261</v>
      </c>
      <c r="U82" s="92">
        <v>287</v>
      </c>
      <c r="V82" s="93">
        <v>2.0000000000000001E-4</v>
      </c>
      <c r="W82" s="93">
        <v>7.6700000000000004E-2</v>
      </c>
      <c r="X82" s="187">
        <f t="shared" si="52"/>
        <v>1.0078281350005918E-3</v>
      </c>
      <c r="Y82" s="187">
        <f t="shared" si="53"/>
        <v>1.0081525406237699E-3</v>
      </c>
      <c r="Z82" s="187">
        <f t="shared" si="54"/>
        <v>0</v>
      </c>
      <c r="AA82" s="185">
        <f t="shared" si="55"/>
        <v>-2.5999999999999999E-3</v>
      </c>
      <c r="AB82" s="186">
        <f t="shared" si="56"/>
        <v>-1.3999999999999985E-3</v>
      </c>
    </row>
    <row r="83" spans="1:28" ht="15" customHeight="1">
      <c r="A83" s="199">
        <v>72</v>
      </c>
      <c r="B83" s="84" t="s">
        <v>126</v>
      </c>
      <c r="C83" s="85" t="s">
        <v>27</v>
      </c>
      <c r="D83" s="171" t="s">
        <v>330</v>
      </c>
      <c r="E83" s="96">
        <v>1908538160.27</v>
      </c>
      <c r="F83" s="91">
        <f>(E83/$O$117)</f>
        <v>8.1574256110366547E-3</v>
      </c>
      <c r="G83" s="171" t="s">
        <v>330</v>
      </c>
      <c r="H83" s="95">
        <v>1.1652</v>
      </c>
      <c r="I83" s="171" t="s">
        <v>330</v>
      </c>
      <c r="J83" s="95">
        <v>1.1652</v>
      </c>
      <c r="K83" s="92">
        <v>1081</v>
      </c>
      <c r="L83" s="93">
        <v>1.0500000000000001E-2</v>
      </c>
      <c r="M83" s="93">
        <v>7.3800000000000004E-2</v>
      </c>
      <c r="N83" s="171" t="s">
        <v>330</v>
      </c>
      <c r="O83" s="96">
        <v>1899644187.4400001</v>
      </c>
      <c r="P83" s="91">
        <f t="shared" si="51"/>
        <v>8.1194112169534673E-3</v>
      </c>
      <c r="Q83" s="171" t="s">
        <v>330</v>
      </c>
      <c r="R83" s="95">
        <v>1.1647000000000001</v>
      </c>
      <c r="S83" s="171" t="s">
        <v>330</v>
      </c>
      <c r="T83" s="95">
        <v>1.1647000000000001</v>
      </c>
      <c r="U83" s="92">
        <v>1081</v>
      </c>
      <c r="V83" s="93">
        <v>4.7000000000000002E-3</v>
      </c>
      <c r="W83" s="93">
        <v>7.3400000000000007E-2</v>
      </c>
      <c r="X83" s="187">
        <f t="shared" si="52"/>
        <v>-4.6600969344735019E-3</v>
      </c>
      <c r="Y83" s="187">
        <f t="shared" si="53"/>
        <v>-4.2911088225192664E-4</v>
      </c>
      <c r="Z83" s="187">
        <f t="shared" si="54"/>
        <v>0</v>
      </c>
      <c r="AA83" s="185">
        <f t="shared" si="55"/>
        <v>-5.8000000000000005E-3</v>
      </c>
      <c r="AB83" s="186">
        <f t="shared" si="56"/>
        <v>-3.9999999999999758E-4</v>
      </c>
    </row>
    <row r="84" spans="1:28" ht="15.6" customHeight="1">
      <c r="A84" s="199">
        <v>73</v>
      </c>
      <c r="B84" s="84" t="s">
        <v>127</v>
      </c>
      <c r="C84" s="85" t="s">
        <v>128</v>
      </c>
      <c r="D84" s="171" t="s">
        <v>330</v>
      </c>
      <c r="E84" s="96">
        <v>504819074.90954459</v>
      </c>
      <c r="F84" s="91">
        <f t="shared" ref="F84:F102" si="57">(E84/$E$117)</f>
        <v>2.1490478413684453E-3</v>
      </c>
      <c r="G84" s="171" t="s">
        <v>330</v>
      </c>
      <c r="H84" s="95">
        <v>2.8748</v>
      </c>
      <c r="I84" s="171" t="s">
        <v>330</v>
      </c>
      <c r="J84" s="95">
        <v>2.8748</v>
      </c>
      <c r="K84" s="92">
        <v>1390</v>
      </c>
      <c r="L84" s="93">
        <v>0.14169999999999999</v>
      </c>
      <c r="M84" s="93">
        <v>0.14030000000000001</v>
      </c>
      <c r="N84" s="171" t="s">
        <v>330</v>
      </c>
      <c r="O84" s="96">
        <v>506165869.29000002</v>
      </c>
      <c r="P84" s="91">
        <f t="shared" si="51"/>
        <v>2.163441377035264E-3</v>
      </c>
      <c r="Q84" s="171" t="s">
        <v>330</v>
      </c>
      <c r="R84" s="95">
        <v>2.8826999999999998</v>
      </c>
      <c r="S84" s="171" t="s">
        <v>330</v>
      </c>
      <c r="T84" s="95">
        <v>2.8826999999999998</v>
      </c>
      <c r="U84" s="92">
        <v>1390</v>
      </c>
      <c r="V84" s="93">
        <v>0.14369999999999999</v>
      </c>
      <c r="W84" s="93">
        <v>0.14080000000000001</v>
      </c>
      <c r="X84" s="187">
        <f t="shared" si="52"/>
        <v>2.6678753783159997E-3</v>
      </c>
      <c r="Y84" s="187">
        <f t="shared" si="53"/>
        <v>2.7480172533740767E-3</v>
      </c>
      <c r="Z84" s="187">
        <f t="shared" si="54"/>
        <v>0</v>
      </c>
      <c r="AA84" s="185">
        <f t="shared" si="55"/>
        <v>2.0000000000000018E-3</v>
      </c>
      <c r="AB84" s="186">
        <f t="shared" si="56"/>
        <v>5.0000000000000044E-4</v>
      </c>
    </row>
    <row r="85" spans="1:28" ht="15" customHeight="1">
      <c r="A85" s="199">
        <v>74</v>
      </c>
      <c r="B85" s="85" t="s">
        <v>129</v>
      </c>
      <c r="C85" s="85" t="s">
        <v>130</v>
      </c>
      <c r="D85" s="171" t="s">
        <v>330</v>
      </c>
      <c r="E85" s="96">
        <v>3319514387.4699998</v>
      </c>
      <c r="F85" s="91">
        <f t="shared" si="57"/>
        <v>1.4131390003561495E-2</v>
      </c>
      <c r="G85" s="171" t="s">
        <v>330</v>
      </c>
      <c r="H85" s="95">
        <v>1200.24</v>
      </c>
      <c r="I85" s="171" t="s">
        <v>330</v>
      </c>
      <c r="J85" s="95">
        <v>1200.24</v>
      </c>
      <c r="K85" s="92">
        <v>325</v>
      </c>
      <c r="L85" s="93">
        <v>1.91E-3</v>
      </c>
      <c r="M85" s="93">
        <v>7.2580000000000006E-2</v>
      </c>
      <c r="N85" s="171" t="s">
        <v>330</v>
      </c>
      <c r="O85" s="96">
        <v>3574420509.96</v>
      </c>
      <c r="P85" s="91">
        <f t="shared" si="51"/>
        <v>1.5277697883933024E-2</v>
      </c>
      <c r="Q85" s="171" t="s">
        <v>330</v>
      </c>
      <c r="R85" s="95">
        <v>1209.6600000000001</v>
      </c>
      <c r="S85" s="171" t="s">
        <v>330</v>
      </c>
      <c r="T85" s="95">
        <v>1209.6600000000001</v>
      </c>
      <c r="U85" s="92">
        <v>323</v>
      </c>
      <c r="V85" s="93">
        <v>7.0699999999999999E-3</v>
      </c>
      <c r="W85" s="93">
        <v>8.1009999999999999E-2</v>
      </c>
      <c r="X85" s="187">
        <f t="shared" ref="X85" si="58">((O85-E85)/E85)</f>
        <v>7.6790184568014314E-2</v>
      </c>
      <c r="Y85" s="187">
        <f t="shared" si="53"/>
        <v>7.8484303139372737E-3</v>
      </c>
      <c r="Z85" s="187">
        <f t="shared" ref="Z85" si="59">((U85-K85)/K85)</f>
        <v>-6.1538461538461538E-3</v>
      </c>
      <c r="AA85" s="185">
        <f t="shared" si="55"/>
        <v>5.1599999999999997E-3</v>
      </c>
      <c r="AB85" s="186">
        <f t="shared" si="56"/>
        <v>8.4299999999999931E-3</v>
      </c>
    </row>
    <row r="86" spans="1:28" ht="16.2" customHeight="1">
      <c r="A86" s="199">
        <v>75</v>
      </c>
      <c r="B86" s="84" t="s">
        <v>131</v>
      </c>
      <c r="C86" s="85" t="s">
        <v>65</v>
      </c>
      <c r="D86" s="171" t="s">
        <v>330</v>
      </c>
      <c r="E86" s="96">
        <v>198797591.74000001</v>
      </c>
      <c r="F86" s="91">
        <f t="shared" si="57"/>
        <v>8.4629435897334989E-4</v>
      </c>
      <c r="G86" s="171" t="s">
        <v>330</v>
      </c>
      <c r="H86" s="95">
        <v>12.0532</v>
      </c>
      <c r="I86" s="171" t="s">
        <v>330</v>
      </c>
      <c r="J86" s="95">
        <v>12.1127</v>
      </c>
      <c r="K86" s="92">
        <v>47</v>
      </c>
      <c r="L86" s="93">
        <v>-2.9399999999999999E-4</v>
      </c>
      <c r="M86" s="93">
        <v>0.13933999999999999</v>
      </c>
      <c r="N86" s="171" t="s">
        <v>330</v>
      </c>
      <c r="O86" s="96">
        <v>199406469.87</v>
      </c>
      <c r="P86" s="91">
        <f t="shared" si="51"/>
        <v>8.5229809819145912E-4</v>
      </c>
      <c r="Q86" s="171" t="s">
        <v>330</v>
      </c>
      <c r="R86" s="95">
        <v>12.09</v>
      </c>
      <c r="S86" s="171" t="s">
        <v>330</v>
      </c>
      <c r="T86" s="95">
        <v>12.132</v>
      </c>
      <c r="U86" s="92">
        <v>47</v>
      </c>
      <c r="V86" s="93">
        <v>2.2100000000000002E-3</v>
      </c>
      <c r="W86" s="93">
        <v>0.14019999999999999</v>
      </c>
      <c r="X86" s="187">
        <f t="shared" si="52"/>
        <v>3.0628043562837739E-3</v>
      </c>
      <c r="Y86" s="187">
        <f t="shared" si="53"/>
        <v>1.5933689433404136E-3</v>
      </c>
      <c r="Z86" s="187">
        <f t="shared" si="54"/>
        <v>0</v>
      </c>
      <c r="AA86" s="185">
        <f t="shared" si="55"/>
        <v>2.5040000000000001E-3</v>
      </c>
      <c r="AB86" s="186">
        <f t="shared" si="56"/>
        <v>8.5999999999999965E-4</v>
      </c>
    </row>
    <row r="87" spans="1:28">
      <c r="A87" s="199">
        <v>76</v>
      </c>
      <c r="B87" s="84" t="s">
        <v>132</v>
      </c>
      <c r="C87" s="85" t="s">
        <v>67</v>
      </c>
      <c r="D87" s="171" t="s">
        <v>330</v>
      </c>
      <c r="E87" s="96">
        <v>2108480541.6954701</v>
      </c>
      <c r="F87" s="91">
        <f t="shared" si="57"/>
        <v>8.97593966216499E-3</v>
      </c>
      <c r="G87" s="171" t="s">
        <v>330</v>
      </c>
      <c r="H87" s="96">
        <v>4969.1446410396102</v>
      </c>
      <c r="I87" s="171" t="s">
        <v>330</v>
      </c>
      <c r="J87" s="96">
        <v>4969.1446410396102</v>
      </c>
      <c r="K87" s="92">
        <v>1231</v>
      </c>
      <c r="L87" s="93">
        <v>0.1236963208533204</v>
      </c>
      <c r="M87" s="93">
        <v>0.12988845387723916</v>
      </c>
      <c r="N87" s="171" t="s">
        <v>330</v>
      </c>
      <c r="O87" s="96">
        <v>2133600620.45</v>
      </c>
      <c r="P87" s="91">
        <f t="shared" si="51"/>
        <v>9.1193818951570225E-3</v>
      </c>
      <c r="Q87" s="171" t="s">
        <v>330</v>
      </c>
      <c r="R87" s="96">
        <v>4981.9399999999996</v>
      </c>
      <c r="S87" s="171" t="s">
        <v>330</v>
      </c>
      <c r="T87" s="96">
        <v>4981.9399999999996</v>
      </c>
      <c r="U87" s="92">
        <v>1232</v>
      </c>
      <c r="V87" s="93">
        <v>0.1343</v>
      </c>
      <c r="W87" s="93">
        <v>0.13039999999999999</v>
      </c>
      <c r="X87" s="187">
        <f t="shared" si="52"/>
        <v>1.1913830010653268E-2</v>
      </c>
      <c r="Y87" s="187">
        <f t="shared" si="53"/>
        <v>2.5749620678605293E-3</v>
      </c>
      <c r="Z87" s="187">
        <f t="shared" si="54"/>
        <v>8.1234768480909826E-4</v>
      </c>
      <c r="AA87" s="185">
        <f t="shared" si="55"/>
        <v>1.0603679146679604E-2</v>
      </c>
      <c r="AB87" s="186">
        <f t="shared" si="56"/>
        <v>5.1154612276083089E-4</v>
      </c>
    </row>
    <row r="88" spans="1:28" ht="15.6" customHeight="1">
      <c r="A88" s="199">
        <v>77</v>
      </c>
      <c r="B88" s="84" t="s">
        <v>133</v>
      </c>
      <c r="C88" s="85" t="s">
        <v>69</v>
      </c>
      <c r="D88" s="171" t="s">
        <v>330</v>
      </c>
      <c r="E88" s="96">
        <v>385679037.73000002</v>
      </c>
      <c r="F88" s="91">
        <f t="shared" si="57"/>
        <v>1.6418609055991614E-3</v>
      </c>
      <c r="G88" s="171" t="s">
        <v>330</v>
      </c>
      <c r="H88" s="116">
        <v>116.76</v>
      </c>
      <c r="I88" s="171" t="s">
        <v>330</v>
      </c>
      <c r="J88" s="116">
        <v>116.76</v>
      </c>
      <c r="K88" s="92">
        <v>97</v>
      </c>
      <c r="L88" s="93">
        <v>2E-3</v>
      </c>
      <c r="M88" s="93">
        <v>0.1202</v>
      </c>
      <c r="N88" s="171" t="s">
        <v>330</v>
      </c>
      <c r="O88" s="96">
        <v>385955753.25999999</v>
      </c>
      <c r="P88" s="91">
        <f t="shared" si="51"/>
        <v>1.6496423345942763E-3</v>
      </c>
      <c r="Q88" s="171" t="s">
        <v>330</v>
      </c>
      <c r="R88" s="116">
        <v>112.83</v>
      </c>
      <c r="S88" s="171" t="s">
        <v>330</v>
      </c>
      <c r="T88" s="116">
        <v>112.83</v>
      </c>
      <c r="U88" s="92">
        <v>98</v>
      </c>
      <c r="V88" s="93">
        <v>2.3E-3</v>
      </c>
      <c r="W88" s="93">
        <v>0.1202</v>
      </c>
      <c r="X88" s="187">
        <f t="shared" si="52"/>
        <v>7.1747619893640672E-4</v>
      </c>
      <c r="Y88" s="187">
        <f t="shared" si="53"/>
        <v>-3.3658787255909615E-2</v>
      </c>
      <c r="Z88" s="187">
        <f t="shared" si="54"/>
        <v>1.0309278350515464E-2</v>
      </c>
      <c r="AA88" s="185">
        <f t="shared" si="55"/>
        <v>2.9999999999999992E-4</v>
      </c>
      <c r="AB88" s="186">
        <f t="shared" si="56"/>
        <v>0</v>
      </c>
    </row>
    <row r="89" spans="1:28" ht="13.5" customHeight="1">
      <c r="A89" s="199">
        <v>78</v>
      </c>
      <c r="B89" s="84" t="s">
        <v>134</v>
      </c>
      <c r="C89" s="85" t="s">
        <v>71</v>
      </c>
      <c r="D89" s="171" t="s">
        <v>330</v>
      </c>
      <c r="E89" s="96">
        <v>1113044646.1199999</v>
      </c>
      <c r="F89" s="91">
        <f t="shared" si="57"/>
        <v>4.7383039052545633E-3</v>
      </c>
      <c r="G89" s="171" t="s">
        <v>330</v>
      </c>
      <c r="H89" s="116">
        <v>1.5657000000000001</v>
      </c>
      <c r="I89" s="171" t="s">
        <v>330</v>
      </c>
      <c r="J89" s="116">
        <v>1.5657000000000001</v>
      </c>
      <c r="K89" s="92">
        <v>2782</v>
      </c>
      <c r="L89" s="93">
        <v>3.7181870632732039E-3</v>
      </c>
      <c r="M89" s="93">
        <v>7.512554402410454E-2</v>
      </c>
      <c r="N89" s="171" t="s">
        <v>330</v>
      </c>
      <c r="O89" s="96">
        <v>1104785771.6900001</v>
      </c>
      <c r="P89" s="91">
        <f t="shared" si="51"/>
        <v>4.7220474477795869E-3</v>
      </c>
      <c r="Q89" s="171" t="s">
        <v>330</v>
      </c>
      <c r="R89" s="116">
        <v>1.5670999999999999</v>
      </c>
      <c r="S89" s="171" t="s">
        <v>330</v>
      </c>
      <c r="T89" s="116">
        <v>1.5670999999999999</v>
      </c>
      <c r="U89" s="92">
        <v>2846</v>
      </c>
      <c r="V89" s="93">
        <v>8.9999999999999998E-4</v>
      </c>
      <c r="W89" s="93">
        <v>7.6100000000000001E-2</v>
      </c>
      <c r="X89" s="187">
        <f t="shared" si="52"/>
        <v>-7.4200747102011761E-3</v>
      </c>
      <c r="Y89" s="187">
        <f t="shared" si="53"/>
        <v>8.9416874241543445E-4</v>
      </c>
      <c r="Z89" s="187">
        <f t="shared" si="54"/>
        <v>2.3005032350826744E-2</v>
      </c>
      <c r="AA89" s="185">
        <f t="shared" si="55"/>
        <v>-2.8181870632732042E-3</v>
      </c>
      <c r="AB89" s="186">
        <f t="shared" si="56"/>
        <v>9.7445597589546074E-4</v>
      </c>
    </row>
    <row r="90" spans="1:28" ht="13.5" customHeight="1">
      <c r="A90" s="199">
        <v>79</v>
      </c>
      <c r="B90" s="84" t="s">
        <v>135</v>
      </c>
      <c r="C90" s="85" t="s">
        <v>71</v>
      </c>
      <c r="D90" s="171" t="s">
        <v>330</v>
      </c>
      <c r="E90" s="96">
        <v>173134771.59999999</v>
      </c>
      <c r="F90" s="91">
        <f t="shared" si="57"/>
        <v>7.3704605405306572E-4</v>
      </c>
      <c r="G90" s="171" t="s">
        <v>330</v>
      </c>
      <c r="H90" s="116">
        <v>1.0499000000000001</v>
      </c>
      <c r="I90" s="171" t="s">
        <v>330</v>
      </c>
      <c r="J90" s="116">
        <v>1.0499000000000001</v>
      </c>
      <c r="K90" s="92">
        <v>100</v>
      </c>
      <c r="L90" s="93">
        <v>3.6325399101424516E-3</v>
      </c>
      <c r="M90" s="93">
        <v>0.13384630960818078</v>
      </c>
      <c r="N90" s="171" t="s">
        <v>330</v>
      </c>
      <c r="O90" s="96">
        <v>173780604.13</v>
      </c>
      <c r="P90" s="91">
        <f t="shared" si="51"/>
        <v>7.4276866993895304E-4</v>
      </c>
      <c r="Q90" s="171" t="s">
        <v>330</v>
      </c>
      <c r="R90" s="116">
        <v>1.0499000000000001</v>
      </c>
      <c r="S90" s="171" t="s">
        <v>330</v>
      </c>
      <c r="T90" s="116">
        <v>1.0499000000000001</v>
      </c>
      <c r="U90" s="92">
        <v>100</v>
      </c>
      <c r="V90" s="93">
        <v>5.9999999999999995E-4</v>
      </c>
      <c r="W90" s="93">
        <v>0.13450000000000001</v>
      </c>
      <c r="X90" s="187">
        <f t="shared" ref="X90" si="60">((O90-E90)/E90)</f>
        <v>3.730230063156194E-3</v>
      </c>
      <c r="Y90" s="187">
        <f t="shared" ref="Y90" si="61">((T90-J90)/J90)</f>
        <v>0</v>
      </c>
      <c r="Z90" s="187">
        <f t="shared" ref="Z90" si="62">((U90-K90)/K90)</f>
        <v>0</v>
      </c>
      <c r="AA90" s="185">
        <f t="shared" ref="AA90" si="63">V90-L90</f>
        <v>-3.0325399101424518E-3</v>
      </c>
      <c r="AB90" s="186">
        <f t="shared" ref="AB90" si="64">W90-M90</f>
        <v>6.5369039181922828E-4</v>
      </c>
    </row>
    <row r="91" spans="1:28" ht="15.6" customHeight="1">
      <c r="A91" s="199">
        <v>80</v>
      </c>
      <c r="B91" s="84" t="s">
        <v>136</v>
      </c>
      <c r="C91" s="85" t="s">
        <v>29</v>
      </c>
      <c r="D91" s="171" t="s">
        <v>330</v>
      </c>
      <c r="E91" s="96">
        <v>241915751.69999999</v>
      </c>
      <c r="F91" s="91">
        <f t="shared" si="57"/>
        <v>1.0298511879272103E-3</v>
      </c>
      <c r="G91" s="171" t="s">
        <v>330</v>
      </c>
      <c r="H91" s="116">
        <v>147.3648</v>
      </c>
      <c r="I91" s="171" t="s">
        <v>330</v>
      </c>
      <c r="J91" s="116">
        <v>147.3648</v>
      </c>
      <c r="K91" s="92">
        <v>478</v>
      </c>
      <c r="L91" s="93">
        <v>6.29E-4</v>
      </c>
      <c r="M91" s="93">
        <v>8.3500000000000005E-2</v>
      </c>
      <c r="N91" s="171" t="s">
        <v>330</v>
      </c>
      <c r="O91" s="96">
        <v>242309451.91999999</v>
      </c>
      <c r="P91" s="91">
        <f t="shared" si="51"/>
        <v>1.0356729407018151E-3</v>
      </c>
      <c r="Q91" s="171" t="s">
        <v>330</v>
      </c>
      <c r="R91" s="116">
        <v>147.79220000000001</v>
      </c>
      <c r="S91" s="171" t="s">
        <v>330</v>
      </c>
      <c r="T91" s="116">
        <v>147.79220000000001</v>
      </c>
      <c r="U91" s="92">
        <v>486</v>
      </c>
      <c r="V91" s="93">
        <v>3.2899999999999997E-4</v>
      </c>
      <c r="W91" s="93">
        <v>8.4500000000000006E-2</v>
      </c>
      <c r="X91" s="187">
        <f t="shared" si="52"/>
        <v>1.6274269750248711E-3</v>
      </c>
      <c r="Y91" s="187">
        <f t="shared" si="53"/>
        <v>2.9002855498735502E-3</v>
      </c>
      <c r="Z91" s="187">
        <f t="shared" si="54"/>
        <v>1.6736401673640166E-2</v>
      </c>
      <c r="AA91" s="185">
        <f t="shared" si="55"/>
        <v>-3.0000000000000003E-4</v>
      </c>
      <c r="AB91" s="186">
        <f t="shared" si="56"/>
        <v>1.0000000000000009E-3</v>
      </c>
    </row>
    <row r="92" spans="1:28">
      <c r="A92" s="199">
        <v>81</v>
      </c>
      <c r="B92" s="84" t="s">
        <v>137</v>
      </c>
      <c r="C92" s="85" t="s">
        <v>73</v>
      </c>
      <c r="D92" s="171" t="s">
        <v>330</v>
      </c>
      <c r="E92" s="96">
        <v>2733032723.8200002</v>
      </c>
      <c r="F92" s="91">
        <f t="shared" si="57"/>
        <v>1.1634699177258933E-2</v>
      </c>
      <c r="G92" s="171" t="s">
        <v>330</v>
      </c>
      <c r="H92" s="95">
        <v>1366.6036240000001</v>
      </c>
      <c r="I92" s="171" t="s">
        <v>330</v>
      </c>
      <c r="J92" s="95">
        <v>1366.6036240000001</v>
      </c>
      <c r="K92" s="92">
        <v>327</v>
      </c>
      <c r="L92" s="93">
        <v>4.1399999999999996E-3</v>
      </c>
      <c r="M92" s="93">
        <v>0.2155</v>
      </c>
      <c r="N92" s="171" t="s">
        <v>330</v>
      </c>
      <c r="O92" s="96">
        <v>2758041312.6700001</v>
      </c>
      <c r="P92" s="91">
        <f t="shared" si="51"/>
        <v>1.1788350533734447E-2</v>
      </c>
      <c r="Q92" s="171" t="s">
        <v>330</v>
      </c>
      <c r="R92" s="95">
        <v>1370.12</v>
      </c>
      <c r="S92" s="171" t="s">
        <v>330</v>
      </c>
      <c r="T92" s="95">
        <v>1370.12</v>
      </c>
      <c r="U92" s="92">
        <v>328</v>
      </c>
      <c r="V92" s="93">
        <v>2.5999999999999999E-3</v>
      </c>
      <c r="W92" s="93">
        <v>0.20760000000000001</v>
      </c>
      <c r="X92" s="187">
        <f t="shared" si="52"/>
        <v>9.1504900881849045E-3</v>
      </c>
      <c r="Y92" s="187">
        <f t="shared" si="53"/>
        <v>2.5730767416725429E-3</v>
      </c>
      <c r="Z92" s="187">
        <f t="shared" si="54"/>
        <v>3.0581039755351682E-3</v>
      </c>
      <c r="AA92" s="185">
        <f t="shared" si="55"/>
        <v>-1.5399999999999997E-3</v>
      </c>
      <c r="AB92" s="186">
        <f t="shared" si="56"/>
        <v>-7.8999999999999904E-3</v>
      </c>
    </row>
    <row r="93" spans="1:28">
      <c r="A93" s="199">
        <v>82</v>
      </c>
      <c r="B93" s="84" t="s">
        <v>138</v>
      </c>
      <c r="C93" s="85" t="s">
        <v>75</v>
      </c>
      <c r="D93" s="171" t="s">
        <v>330</v>
      </c>
      <c r="E93" s="96">
        <v>148194011.81</v>
      </c>
      <c r="F93" s="91">
        <f t="shared" si="57"/>
        <v>6.308716073002514E-4</v>
      </c>
      <c r="G93" s="171" t="s">
        <v>330</v>
      </c>
      <c r="H93" s="95">
        <v>1016</v>
      </c>
      <c r="I93" s="171" t="s">
        <v>330</v>
      </c>
      <c r="J93" s="95">
        <v>1031.3499999999999</v>
      </c>
      <c r="K93" s="92">
        <v>72</v>
      </c>
      <c r="L93" s="93">
        <v>-1.8E-3</v>
      </c>
      <c r="M93" s="93">
        <v>4.4400000000000002E-2</v>
      </c>
      <c r="N93" s="171" t="s">
        <v>330</v>
      </c>
      <c r="O93" s="96">
        <v>148412667.90000001</v>
      </c>
      <c r="P93" s="91">
        <f t="shared" si="51"/>
        <v>6.3434167748496338E-4</v>
      </c>
      <c r="Q93" s="171" t="s">
        <v>330</v>
      </c>
      <c r="R93" s="95">
        <v>1017</v>
      </c>
      <c r="S93" s="171" t="s">
        <v>330</v>
      </c>
      <c r="T93" s="95">
        <v>1032.83</v>
      </c>
      <c r="U93" s="92">
        <v>72</v>
      </c>
      <c r="V93" s="93">
        <v>1.9E-3</v>
      </c>
      <c r="W93" s="93">
        <v>4.6300000000000001E-2</v>
      </c>
      <c r="X93" s="187">
        <f t="shared" si="52"/>
        <v>1.4754718313472965E-3</v>
      </c>
      <c r="Y93" s="187">
        <f t="shared" si="53"/>
        <v>1.4350123624375995E-3</v>
      </c>
      <c r="Z93" s="187">
        <f t="shared" si="54"/>
        <v>0</v>
      </c>
      <c r="AA93" s="185">
        <f t="shared" si="55"/>
        <v>3.7000000000000002E-3</v>
      </c>
      <c r="AB93" s="186">
        <f t="shared" si="56"/>
        <v>1.8999999999999989E-3</v>
      </c>
    </row>
    <row r="94" spans="1:28" ht="15" customHeight="1">
      <c r="A94" s="199">
        <v>83</v>
      </c>
      <c r="B94" s="84" t="s">
        <v>139</v>
      </c>
      <c r="C94" s="85" t="s">
        <v>78</v>
      </c>
      <c r="D94" s="171" t="s">
        <v>330</v>
      </c>
      <c r="E94" s="96">
        <v>764613046.80999994</v>
      </c>
      <c r="F94" s="91">
        <f t="shared" si="57"/>
        <v>3.2550077827855723E-3</v>
      </c>
      <c r="G94" s="171" t="s">
        <v>330</v>
      </c>
      <c r="H94" s="117">
        <v>1.2472700000000001</v>
      </c>
      <c r="I94" s="171" t="s">
        <v>330</v>
      </c>
      <c r="J94" s="117">
        <v>1.2472700000000001</v>
      </c>
      <c r="K94" s="92">
        <v>67</v>
      </c>
      <c r="L94" s="93">
        <v>0</v>
      </c>
      <c r="M94" s="93">
        <v>0.14899999999999999</v>
      </c>
      <c r="N94" s="171" t="s">
        <v>330</v>
      </c>
      <c r="O94" s="96">
        <v>757797875.21000004</v>
      </c>
      <c r="P94" s="91">
        <f t="shared" si="51"/>
        <v>3.2389605426347326E-3</v>
      </c>
      <c r="Q94" s="171" t="s">
        <v>330</v>
      </c>
      <c r="R94" s="117">
        <v>1.2472700000000001</v>
      </c>
      <c r="S94" s="171" t="s">
        <v>330</v>
      </c>
      <c r="T94" s="117">
        <v>1.2472700000000001</v>
      </c>
      <c r="U94" s="92">
        <v>66</v>
      </c>
      <c r="V94" s="93">
        <v>0</v>
      </c>
      <c r="W94" s="93">
        <v>0.1467</v>
      </c>
      <c r="X94" s="187">
        <f t="shared" si="52"/>
        <v>-8.9132295458900519E-3</v>
      </c>
      <c r="Y94" s="187">
        <f t="shared" si="53"/>
        <v>0</v>
      </c>
      <c r="Z94" s="187">
        <f t="shared" si="54"/>
        <v>-1.4925373134328358E-2</v>
      </c>
      <c r="AA94" s="185">
        <f t="shared" si="55"/>
        <v>0</v>
      </c>
      <c r="AB94" s="186">
        <f t="shared" si="56"/>
        <v>-2.2999999999999965E-3</v>
      </c>
    </row>
    <row r="95" spans="1:28">
      <c r="A95" s="199">
        <v>84</v>
      </c>
      <c r="B95" s="84" t="s">
        <v>323</v>
      </c>
      <c r="C95" s="85" t="s">
        <v>79</v>
      </c>
      <c r="D95" s="171" t="s">
        <v>330</v>
      </c>
      <c r="E95" s="117">
        <v>11533180698.690001</v>
      </c>
      <c r="F95" s="91">
        <f t="shared" si="57"/>
        <v>4.9097505059754527E-2</v>
      </c>
      <c r="G95" s="171" t="s">
        <v>330</v>
      </c>
      <c r="H95" s="117">
        <v>1724.21</v>
      </c>
      <c r="I95" s="171" t="s">
        <v>330</v>
      </c>
      <c r="J95" s="117">
        <v>1724.21</v>
      </c>
      <c r="K95" s="92">
        <v>2039</v>
      </c>
      <c r="L95" s="93">
        <v>1.8E-3</v>
      </c>
      <c r="M95" s="93">
        <v>3.4799999999999998E-2</v>
      </c>
      <c r="N95" s="171" t="s">
        <v>330</v>
      </c>
      <c r="O95" s="117">
        <v>11559683908.01</v>
      </c>
      <c r="P95" s="91">
        <f t="shared" si="51"/>
        <v>4.9408109059422146E-2</v>
      </c>
      <c r="Q95" s="171" t="s">
        <v>330</v>
      </c>
      <c r="R95" s="117">
        <v>1726.52</v>
      </c>
      <c r="S95" s="171" t="s">
        <v>330</v>
      </c>
      <c r="T95" s="117">
        <v>1726.52</v>
      </c>
      <c r="U95" s="92">
        <v>2036</v>
      </c>
      <c r="V95" s="93">
        <v>1.2999999999999999E-3</v>
      </c>
      <c r="W95" s="93">
        <v>3.6200000000000003E-2</v>
      </c>
      <c r="X95" s="187">
        <f t="shared" si="52"/>
        <v>2.2979965381978336E-3</v>
      </c>
      <c r="Y95" s="187">
        <f t="shared" si="53"/>
        <v>1.3397439987008226E-3</v>
      </c>
      <c r="Z95" s="187">
        <f t="shared" si="54"/>
        <v>-1.4713094654242277E-3</v>
      </c>
      <c r="AA95" s="185">
        <f t="shared" si="55"/>
        <v>-5.0000000000000001E-4</v>
      </c>
      <c r="AB95" s="186">
        <f t="shared" si="56"/>
        <v>1.4000000000000054E-3</v>
      </c>
    </row>
    <row r="96" spans="1:28">
      <c r="A96" s="199">
        <v>85</v>
      </c>
      <c r="B96" s="84" t="s">
        <v>140</v>
      </c>
      <c r="C96" s="85" t="s">
        <v>87</v>
      </c>
      <c r="D96" s="171" t="s">
        <v>330</v>
      </c>
      <c r="E96" s="96">
        <v>23640369.300000001</v>
      </c>
      <c r="F96" s="91">
        <f t="shared" si="57"/>
        <v>1.0063859932872222E-4</v>
      </c>
      <c r="G96" s="171" t="s">
        <v>330</v>
      </c>
      <c r="H96" s="116">
        <v>0.72219999999999995</v>
      </c>
      <c r="I96" s="171" t="s">
        <v>330</v>
      </c>
      <c r="J96" s="116">
        <v>0.72219999999999995</v>
      </c>
      <c r="K96" s="92">
        <v>744</v>
      </c>
      <c r="L96" s="93">
        <v>-8.6479066575155562E-3</v>
      </c>
      <c r="M96" s="93">
        <v>-9.8711269536606722E-3</v>
      </c>
      <c r="N96" s="171" t="s">
        <v>330</v>
      </c>
      <c r="O96" s="96">
        <v>23693257.600000001</v>
      </c>
      <c r="P96" s="91">
        <f t="shared" si="51"/>
        <v>1.0126912334191223E-4</v>
      </c>
      <c r="Q96" s="171" t="s">
        <v>330</v>
      </c>
      <c r="R96" s="116">
        <v>0.7238</v>
      </c>
      <c r="S96" s="171" t="s">
        <v>330</v>
      </c>
      <c r="T96" s="116">
        <v>0.7238</v>
      </c>
      <c r="U96" s="92">
        <v>744</v>
      </c>
      <c r="V96" s="93">
        <v>2.2000000000000001E-3</v>
      </c>
      <c r="W96" s="93">
        <v>-7.7000000000000002E-3</v>
      </c>
      <c r="X96" s="187">
        <f t="shared" si="52"/>
        <v>2.2372027834607787E-3</v>
      </c>
      <c r="Y96" s="187">
        <f t="shared" si="53"/>
        <v>2.2154527831626226E-3</v>
      </c>
      <c r="Z96" s="187">
        <f t="shared" si="54"/>
        <v>0</v>
      </c>
      <c r="AA96" s="185">
        <f t="shared" si="55"/>
        <v>1.0847906657515557E-2</v>
      </c>
      <c r="AB96" s="186">
        <f t="shared" si="56"/>
        <v>2.1711269536606719E-3</v>
      </c>
    </row>
    <row r="97" spans="1:28" ht="15.6" customHeight="1">
      <c r="A97" s="199">
        <v>86</v>
      </c>
      <c r="B97" s="84" t="s">
        <v>141</v>
      </c>
      <c r="C97" s="85" t="s">
        <v>35</v>
      </c>
      <c r="D97" s="171" t="s">
        <v>330</v>
      </c>
      <c r="E97" s="96">
        <v>12565285246.91</v>
      </c>
      <c r="F97" s="91">
        <f t="shared" si="57"/>
        <v>5.3491241670868481E-2</v>
      </c>
      <c r="G97" s="171" t="s">
        <v>330</v>
      </c>
      <c r="H97" s="116">
        <v>1</v>
      </c>
      <c r="I97" s="171" t="s">
        <v>330</v>
      </c>
      <c r="J97" s="116">
        <v>1</v>
      </c>
      <c r="K97" s="92">
        <v>6068</v>
      </c>
      <c r="L97" s="93">
        <v>0.06</v>
      </c>
      <c r="M97" s="93">
        <v>0.06</v>
      </c>
      <c r="N97" s="171" t="s">
        <v>330</v>
      </c>
      <c r="O97" s="96">
        <v>12626646198.870001</v>
      </c>
      <c r="P97" s="91">
        <f t="shared" si="51"/>
        <v>5.3968492340540512E-2</v>
      </c>
      <c r="Q97" s="171" t="s">
        <v>330</v>
      </c>
      <c r="R97" s="116">
        <v>1</v>
      </c>
      <c r="S97" s="171" t="s">
        <v>330</v>
      </c>
      <c r="T97" s="116">
        <v>1</v>
      </c>
      <c r="U97" s="92">
        <v>6113</v>
      </c>
      <c r="V97" s="93">
        <v>0.06</v>
      </c>
      <c r="W97" s="93">
        <v>0.06</v>
      </c>
      <c r="X97" s="187">
        <f t="shared" si="52"/>
        <v>4.8833711892923891E-3</v>
      </c>
      <c r="Y97" s="187">
        <f t="shared" si="53"/>
        <v>0</v>
      </c>
      <c r="Z97" s="187">
        <f t="shared" si="54"/>
        <v>7.4159525379037571E-3</v>
      </c>
      <c r="AA97" s="185">
        <f t="shared" si="55"/>
        <v>0</v>
      </c>
      <c r="AB97" s="186">
        <f t="shared" si="56"/>
        <v>0</v>
      </c>
    </row>
    <row r="98" spans="1:28">
      <c r="A98" s="199">
        <v>87</v>
      </c>
      <c r="B98" s="84" t="s">
        <v>142</v>
      </c>
      <c r="C98" s="85" t="s">
        <v>143</v>
      </c>
      <c r="D98" s="171" t="s">
        <v>330</v>
      </c>
      <c r="E98" s="96">
        <v>1912734008.04</v>
      </c>
      <c r="F98" s="91">
        <f t="shared" si="57"/>
        <v>8.1426338571436146E-3</v>
      </c>
      <c r="G98" s="171" t="s">
        <v>330</v>
      </c>
      <c r="H98" s="96">
        <v>283.58999999999997</v>
      </c>
      <c r="I98" s="171" t="s">
        <v>330</v>
      </c>
      <c r="J98" s="96">
        <v>283.58999999999997</v>
      </c>
      <c r="K98" s="92">
        <v>562</v>
      </c>
      <c r="L98" s="93">
        <v>3.0000000000000001E-3</v>
      </c>
      <c r="M98" s="93">
        <v>0.16980000000000001</v>
      </c>
      <c r="N98" s="171" t="s">
        <v>330</v>
      </c>
      <c r="O98" s="96">
        <v>1918106991.3399999</v>
      </c>
      <c r="P98" s="91">
        <f t="shared" si="51"/>
        <v>8.1983244671680194E-3</v>
      </c>
      <c r="Q98" s="171" t="s">
        <v>330</v>
      </c>
      <c r="R98" s="96">
        <v>284.86</v>
      </c>
      <c r="S98" s="171" t="s">
        <v>330</v>
      </c>
      <c r="T98" s="96">
        <v>284.86</v>
      </c>
      <c r="U98" s="92">
        <v>562</v>
      </c>
      <c r="V98" s="93">
        <v>3.0000000000000001E-3</v>
      </c>
      <c r="W98" s="93">
        <v>1.6919999999999999E-3</v>
      </c>
      <c r="X98" s="187">
        <f t="shared" si="52"/>
        <v>2.8090593242003936E-3</v>
      </c>
      <c r="Y98" s="187">
        <f t="shared" si="53"/>
        <v>4.4782961317396197E-3</v>
      </c>
      <c r="Z98" s="187">
        <f t="shared" si="54"/>
        <v>0</v>
      </c>
      <c r="AA98" s="185">
        <f t="shared" si="55"/>
        <v>0</v>
      </c>
      <c r="AB98" s="186">
        <f t="shared" si="56"/>
        <v>-0.16810800000000001</v>
      </c>
    </row>
    <row r="99" spans="1:28">
      <c r="A99" s="199">
        <v>88</v>
      </c>
      <c r="B99" s="84" t="s">
        <v>317</v>
      </c>
      <c r="C99" s="85" t="s">
        <v>38</v>
      </c>
      <c r="D99" s="171" t="s">
        <v>330</v>
      </c>
      <c r="E99" s="96">
        <v>1155676743.6400001</v>
      </c>
      <c r="F99" s="91">
        <f t="shared" si="57"/>
        <v>4.9197915345894532E-3</v>
      </c>
      <c r="G99" s="171" t="s">
        <v>330</v>
      </c>
      <c r="H99" s="116">
        <v>3.82</v>
      </c>
      <c r="I99" s="171" t="s">
        <v>330</v>
      </c>
      <c r="J99" s="116">
        <v>3.85</v>
      </c>
      <c r="K99" s="110">
        <v>810</v>
      </c>
      <c r="L99" s="111">
        <v>4.7000000000000002E-3</v>
      </c>
      <c r="M99" s="111">
        <v>0.16789999999999999</v>
      </c>
      <c r="N99" s="171" t="s">
        <v>330</v>
      </c>
      <c r="O99" s="96">
        <v>1159720385.27</v>
      </c>
      <c r="P99" s="91">
        <f t="shared" si="51"/>
        <v>4.9568475859578546E-3</v>
      </c>
      <c r="Q99" s="171" t="s">
        <v>330</v>
      </c>
      <c r="R99" s="116">
        <v>3.84</v>
      </c>
      <c r="S99" s="171" t="s">
        <v>330</v>
      </c>
      <c r="T99" s="116">
        <v>3.87</v>
      </c>
      <c r="U99" s="110">
        <v>808</v>
      </c>
      <c r="V99" s="111">
        <v>8.9999999999999993E-3</v>
      </c>
      <c r="W99" s="111">
        <v>0.17180000000000001</v>
      </c>
      <c r="X99" s="187">
        <f t="shared" si="52"/>
        <v>3.4989383080114081E-3</v>
      </c>
      <c r="Y99" s="187">
        <f t="shared" si="53"/>
        <v>5.1948051948051991E-3</v>
      </c>
      <c r="Z99" s="187">
        <f t="shared" si="54"/>
        <v>-2.4691358024691358E-3</v>
      </c>
      <c r="AA99" s="185">
        <f t="shared" si="55"/>
        <v>4.2999999999999991E-3</v>
      </c>
      <c r="AB99" s="186">
        <f t="shared" si="56"/>
        <v>3.9000000000000146E-3</v>
      </c>
    </row>
    <row r="100" spans="1:28" ht="13.8" customHeight="1">
      <c r="A100" s="199">
        <v>89</v>
      </c>
      <c r="B100" s="84" t="s">
        <v>144</v>
      </c>
      <c r="C100" s="85" t="s">
        <v>40</v>
      </c>
      <c r="D100" s="171" t="s">
        <v>330</v>
      </c>
      <c r="E100" s="96">
        <v>785289564.64999998</v>
      </c>
      <c r="F100" s="91">
        <f t="shared" si="57"/>
        <v>3.3430290724704563E-3</v>
      </c>
      <c r="G100" s="171" t="s">
        <v>330</v>
      </c>
      <c r="H100" s="116">
        <v>114.37</v>
      </c>
      <c r="I100" s="171" t="s">
        <v>330</v>
      </c>
      <c r="J100" s="116">
        <v>114.37</v>
      </c>
      <c r="K100" s="110">
        <v>257</v>
      </c>
      <c r="L100" s="111">
        <v>0.14660000000000001</v>
      </c>
      <c r="M100" s="111">
        <v>0.16800000000000001</v>
      </c>
      <c r="N100" s="171" t="s">
        <v>330</v>
      </c>
      <c r="O100" s="96">
        <v>783946190.42999995</v>
      </c>
      <c r="P100" s="91">
        <f t="shared" si="51"/>
        <v>3.3507230112619834E-3</v>
      </c>
      <c r="Q100" s="171" t="s">
        <v>330</v>
      </c>
      <c r="R100" s="116">
        <v>114.49</v>
      </c>
      <c r="S100" s="171" t="s">
        <v>330</v>
      </c>
      <c r="T100" s="116">
        <v>114.49</v>
      </c>
      <c r="U100" s="110">
        <v>259</v>
      </c>
      <c r="V100" s="111">
        <v>0.14829999999999999</v>
      </c>
      <c r="W100" s="111">
        <v>0.16969999999999999</v>
      </c>
      <c r="X100" s="187">
        <f t="shared" si="52"/>
        <v>-1.7106737189341928E-3</v>
      </c>
      <c r="Y100" s="187">
        <f t="shared" si="53"/>
        <v>1.049226195680601E-3</v>
      </c>
      <c r="Z100" s="187">
        <f t="shared" si="54"/>
        <v>7.7821011673151752E-3</v>
      </c>
      <c r="AA100" s="185">
        <f t="shared" si="55"/>
        <v>1.6999999999999793E-3</v>
      </c>
      <c r="AB100" s="186">
        <f t="shared" si="56"/>
        <v>1.6999999999999793E-3</v>
      </c>
    </row>
    <row r="101" spans="1:28">
      <c r="A101" s="199">
        <v>90</v>
      </c>
      <c r="B101" s="85" t="s">
        <v>145</v>
      </c>
      <c r="C101" s="118" t="s">
        <v>44</v>
      </c>
      <c r="D101" s="171" t="s">
        <v>330</v>
      </c>
      <c r="E101" s="96">
        <v>1199489776.1800001</v>
      </c>
      <c r="F101" s="91">
        <f t="shared" si="57"/>
        <v>5.1063064815945036E-3</v>
      </c>
      <c r="G101" s="171" t="s">
        <v>330</v>
      </c>
      <c r="H101" s="116">
        <v>115.69</v>
      </c>
      <c r="I101" s="171" t="s">
        <v>330</v>
      </c>
      <c r="J101" s="116">
        <v>116.03</v>
      </c>
      <c r="K101" s="92">
        <v>3535</v>
      </c>
      <c r="L101" s="93">
        <v>3.5999999999999999E-3</v>
      </c>
      <c r="M101" s="93">
        <v>4.6600000000000003E-2</v>
      </c>
      <c r="N101" s="171" t="s">
        <v>330</v>
      </c>
      <c r="O101" s="96">
        <v>1204801780.23</v>
      </c>
      <c r="P101" s="91">
        <f t="shared" si="51"/>
        <v>5.1495333459197819E-3</v>
      </c>
      <c r="Q101" s="171" t="s">
        <v>330</v>
      </c>
      <c r="R101" s="116">
        <v>115.71</v>
      </c>
      <c r="S101" s="171" t="s">
        <v>330</v>
      </c>
      <c r="T101" s="116">
        <v>116.1</v>
      </c>
      <c r="U101" s="92">
        <v>3597</v>
      </c>
      <c r="V101" s="93">
        <v>1.6000000000000001E-3</v>
      </c>
      <c r="W101" s="93">
        <v>4.8099999999999997E-2</v>
      </c>
      <c r="X101" s="187">
        <f t="shared" si="52"/>
        <v>4.4285530026917149E-3</v>
      </c>
      <c r="Y101" s="187">
        <f t="shared" si="53"/>
        <v>6.0329225200373337E-4</v>
      </c>
      <c r="Z101" s="187">
        <f t="shared" si="54"/>
        <v>1.753889674681754E-2</v>
      </c>
      <c r="AA101" s="185">
        <f t="shared" si="55"/>
        <v>-2E-3</v>
      </c>
      <c r="AB101" s="186">
        <f t="shared" si="56"/>
        <v>1.4999999999999944E-3</v>
      </c>
    </row>
    <row r="102" spans="1:28" ht="13.2" customHeight="1">
      <c r="A102" s="199">
        <v>91</v>
      </c>
      <c r="B102" s="84" t="s">
        <v>146</v>
      </c>
      <c r="C102" s="85" t="s">
        <v>19</v>
      </c>
      <c r="D102" s="171" t="s">
        <v>330</v>
      </c>
      <c r="E102" s="97">
        <v>1706619979.1700001</v>
      </c>
      <c r="F102" s="87">
        <f t="shared" si="57"/>
        <v>7.265192946460523E-3</v>
      </c>
      <c r="G102" s="171" t="s">
        <v>330</v>
      </c>
      <c r="H102" s="119">
        <v>400.38659999999999</v>
      </c>
      <c r="I102" s="171" t="s">
        <v>330</v>
      </c>
      <c r="J102" s="119">
        <v>400.38659999999999</v>
      </c>
      <c r="K102" s="88">
        <v>96</v>
      </c>
      <c r="L102" s="89">
        <v>-1.06E-2</v>
      </c>
      <c r="M102" s="89">
        <v>4.1500000000000002E-2</v>
      </c>
      <c r="N102" s="171" t="s">
        <v>330</v>
      </c>
      <c r="O102" s="97">
        <v>1709462549.6700001</v>
      </c>
      <c r="P102" s="87">
        <f t="shared" si="51"/>
        <v>7.3065416631823135E-3</v>
      </c>
      <c r="Q102" s="171" t="s">
        <v>330</v>
      </c>
      <c r="R102" s="119">
        <v>401.26560000000001</v>
      </c>
      <c r="S102" s="171" t="s">
        <v>330</v>
      </c>
      <c r="T102" s="119">
        <v>401.26560000000001</v>
      </c>
      <c r="U102" s="88">
        <v>96</v>
      </c>
      <c r="V102" s="89">
        <v>2.2000000000000001E-3</v>
      </c>
      <c r="W102" s="89">
        <v>4.3799999999999999E-2</v>
      </c>
      <c r="X102" s="185">
        <f t="shared" si="52"/>
        <v>1.6656142168114424E-3</v>
      </c>
      <c r="Y102" s="185">
        <f t="shared" si="53"/>
        <v>2.1953781670016408E-3</v>
      </c>
      <c r="Z102" s="185">
        <f t="shared" si="54"/>
        <v>0</v>
      </c>
      <c r="AA102" s="185">
        <f t="shared" si="55"/>
        <v>1.2800000000000001E-2</v>
      </c>
      <c r="AB102" s="186">
        <f t="shared" si="56"/>
        <v>2.2999999999999965E-3</v>
      </c>
    </row>
    <row r="103" spans="1:28" ht="14.4" customHeight="1">
      <c r="A103" s="199">
        <v>92</v>
      </c>
      <c r="B103" s="84" t="s">
        <v>147</v>
      </c>
      <c r="C103" s="85" t="s">
        <v>98</v>
      </c>
      <c r="D103" s="171" t="s">
        <v>330</v>
      </c>
      <c r="E103" s="107">
        <v>5704712219</v>
      </c>
      <c r="F103" s="91">
        <f>(E103/$O$76)</f>
        <v>9.9199097170058924E-4</v>
      </c>
      <c r="G103" s="171" t="s">
        <v>330</v>
      </c>
      <c r="H103" s="116">
        <v>104.42</v>
      </c>
      <c r="I103" s="192" t="s">
        <v>330</v>
      </c>
      <c r="J103" s="116">
        <v>104.42</v>
      </c>
      <c r="K103" s="92">
        <v>501</v>
      </c>
      <c r="L103" s="93">
        <v>3.2000000000000002E-3</v>
      </c>
      <c r="M103" s="93">
        <v>0.1444</v>
      </c>
      <c r="N103" s="171" t="s">
        <v>330</v>
      </c>
      <c r="O103" s="107">
        <v>5709770103</v>
      </c>
      <c r="P103" s="91">
        <f t="shared" si="51"/>
        <v>2.4404555193569915E-2</v>
      </c>
      <c r="Q103" s="171" t="s">
        <v>330</v>
      </c>
      <c r="R103" s="116">
        <v>104.8</v>
      </c>
      <c r="S103" s="192" t="s">
        <v>330</v>
      </c>
      <c r="T103" s="116">
        <v>104.8</v>
      </c>
      <c r="U103" s="92">
        <v>502</v>
      </c>
      <c r="V103" s="93">
        <v>3.7000000000000002E-3</v>
      </c>
      <c r="W103" s="93">
        <v>0.1472</v>
      </c>
      <c r="X103" s="187">
        <f t="shared" si="52"/>
        <v>8.866151009606257E-4</v>
      </c>
      <c r="Y103" s="187">
        <f t="shared" si="53"/>
        <v>3.6391495882014502E-3</v>
      </c>
      <c r="Z103" s="187">
        <f t="shared" si="54"/>
        <v>1.996007984031936E-3</v>
      </c>
      <c r="AA103" s="185">
        <f t="shared" si="55"/>
        <v>5.0000000000000001E-4</v>
      </c>
      <c r="AB103" s="186">
        <f t="shared" si="56"/>
        <v>2.7999999999999969E-3</v>
      </c>
    </row>
    <row r="104" spans="1:28" ht="14.4" customHeight="1">
      <c r="A104" s="199">
        <v>93</v>
      </c>
      <c r="B104" s="84" t="s">
        <v>148</v>
      </c>
      <c r="C104" s="85" t="s">
        <v>42</v>
      </c>
      <c r="D104" s="171" t="s">
        <v>330</v>
      </c>
      <c r="E104" s="96">
        <v>60582813.75</v>
      </c>
      <c r="F104" s="91">
        <f t="shared" ref="F104:F116" si="65">(E104/$E$117)</f>
        <v>2.5790500316730898E-4</v>
      </c>
      <c r="G104" s="171" t="s">
        <v>330</v>
      </c>
      <c r="H104" s="96">
        <v>12.508701</v>
      </c>
      <c r="I104" s="171" t="s">
        <v>330</v>
      </c>
      <c r="J104" s="96">
        <v>13.332499</v>
      </c>
      <c r="K104" s="92">
        <v>54</v>
      </c>
      <c r="L104" s="93">
        <v>3.0999999999999999E-3</v>
      </c>
      <c r="M104" s="93">
        <v>-5.33E-2</v>
      </c>
      <c r="N104" s="171" t="s">
        <v>330</v>
      </c>
      <c r="O104" s="96">
        <v>63319151.590000004</v>
      </c>
      <c r="P104" s="91">
        <f t="shared" si="51"/>
        <v>2.706371188178424E-4</v>
      </c>
      <c r="Q104" s="171" t="s">
        <v>330</v>
      </c>
      <c r="R104" s="96">
        <v>13.14</v>
      </c>
      <c r="S104" s="171" t="s">
        <v>330</v>
      </c>
      <c r="T104" s="96">
        <v>13.45</v>
      </c>
      <c r="U104" s="92">
        <v>54</v>
      </c>
      <c r="V104" s="93">
        <v>-1.12E-2</v>
      </c>
      <c r="W104" s="93">
        <v>-8.43E-2</v>
      </c>
      <c r="X104" s="187">
        <f t="shared" si="52"/>
        <v>4.5166899168660742E-2</v>
      </c>
      <c r="Y104" s="187">
        <f t="shared" si="53"/>
        <v>8.8131264813894952E-3</v>
      </c>
      <c r="Z104" s="187">
        <f t="shared" si="54"/>
        <v>0</v>
      </c>
      <c r="AA104" s="185">
        <f t="shared" si="55"/>
        <v>-1.43E-2</v>
      </c>
      <c r="AB104" s="186">
        <f t="shared" si="56"/>
        <v>-3.1E-2</v>
      </c>
    </row>
    <row r="105" spans="1:28" ht="13.8" customHeight="1">
      <c r="A105" s="199">
        <v>94</v>
      </c>
      <c r="B105" s="84" t="s">
        <v>149</v>
      </c>
      <c r="C105" s="85" t="s">
        <v>150</v>
      </c>
      <c r="D105" s="171" t="s">
        <v>330</v>
      </c>
      <c r="E105" s="96">
        <v>1052992482.11</v>
      </c>
      <c r="F105" s="91">
        <f t="shared" si="65"/>
        <v>4.4826579127604828E-3</v>
      </c>
      <c r="G105" s="171" t="s">
        <v>330</v>
      </c>
      <c r="H105" s="96">
        <v>164.42</v>
      </c>
      <c r="I105" s="171" t="s">
        <v>330</v>
      </c>
      <c r="J105" s="96">
        <v>164.42</v>
      </c>
      <c r="K105" s="92">
        <v>191</v>
      </c>
      <c r="L105" s="93">
        <v>0.2278</v>
      </c>
      <c r="M105" s="93">
        <v>0.17780000000000001</v>
      </c>
      <c r="N105" s="171" t="s">
        <v>330</v>
      </c>
      <c r="O105" s="96">
        <v>1052992482.11</v>
      </c>
      <c r="P105" s="91">
        <f t="shared" si="51"/>
        <v>4.5006738773187482E-3</v>
      </c>
      <c r="Q105" s="171" t="s">
        <v>330</v>
      </c>
      <c r="R105" s="96">
        <v>164.42</v>
      </c>
      <c r="S105" s="171" t="s">
        <v>330</v>
      </c>
      <c r="T105" s="96">
        <v>164.42</v>
      </c>
      <c r="U105" s="92">
        <v>191</v>
      </c>
      <c r="V105" s="93">
        <v>0.2278</v>
      </c>
      <c r="W105" s="93">
        <v>0.17780000000000001</v>
      </c>
      <c r="X105" s="187">
        <f t="shared" si="52"/>
        <v>0</v>
      </c>
      <c r="Y105" s="187">
        <f t="shared" si="53"/>
        <v>0</v>
      </c>
      <c r="Z105" s="187">
        <f t="shared" si="54"/>
        <v>0</v>
      </c>
      <c r="AA105" s="185">
        <f t="shared" si="55"/>
        <v>0</v>
      </c>
      <c r="AB105" s="186">
        <f t="shared" si="56"/>
        <v>0</v>
      </c>
    </row>
    <row r="106" spans="1:28">
      <c r="A106" s="199">
        <v>95</v>
      </c>
      <c r="B106" s="84" t="s">
        <v>151</v>
      </c>
      <c r="C106" s="85" t="s">
        <v>152</v>
      </c>
      <c r="D106" s="171" t="s">
        <v>330</v>
      </c>
      <c r="E106" s="96">
        <v>12185220873.972418</v>
      </c>
      <c r="F106" s="91">
        <f t="shared" si="65"/>
        <v>5.1873282760760107E-2</v>
      </c>
      <c r="G106" s="171" t="s">
        <v>330</v>
      </c>
      <c r="H106" s="96">
        <v>1.046622155647523</v>
      </c>
      <c r="I106" s="171" t="s">
        <v>330</v>
      </c>
      <c r="J106" s="96">
        <v>1.046622155647523</v>
      </c>
      <c r="K106" s="92">
        <v>5405</v>
      </c>
      <c r="L106" s="93">
        <v>0.16020000000000001</v>
      </c>
      <c r="M106" s="93">
        <v>0.16020000000000001</v>
      </c>
      <c r="N106" s="171" t="s">
        <v>330</v>
      </c>
      <c r="O106" s="96">
        <v>12248904325.16</v>
      </c>
      <c r="P106" s="91">
        <f t="shared" si="51"/>
        <v>5.2353957562505465E-2</v>
      </c>
      <c r="Q106" s="171" t="s">
        <v>330</v>
      </c>
      <c r="R106" s="96">
        <v>1.046622155647523</v>
      </c>
      <c r="S106" s="171" t="s">
        <v>330</v>
      </c>
      <c r="T106" s="96">
        <v>1.046622155647523</v>
      </c>
      <c r="U106" s="92">
        <v>5405</v>
      </c>
      <c r="V106" s="93">
        <v>0.1603</v>
      </c>
      <c r="W106" s="93">
        <v>0.1603</v>
      </c>
      <c r="X106" s="187">
        <f t="shared" si="52"/>
        <v>5.2262861581450371E-3</v>
      </c>
      <c r="Y106" s="187">
        <f t="shared" si="53"/>
        <v>0</v>
      </c>
      <c r="Z106" s="187">
        <f t="shared" si="54"/>
        <v>0</v>
      </c>
      <c r="AA106" s="185">
        <f t="shared" si="55"/>
        <v>9.9999999999988987E-5</v>
      </c>
      <c r="AB106" s="186">
        <f t="shared" si="56"/>
        <v>9.9999999999988987E-5</v>
      </c>
    </row>
    <row r="107" spans="1:28" ht="13.5" customHeight="1">
      <c r="A107" s="199">
        <v>96</v>
      </c>
      <c r="B107" s="84" t="s">
        <v>153</v>
      </c>
      <c r="C107" s="85" t="s">
        <v>46</v>
      </c>
      <c r="D107" s="171" t="s">
        <v>330</v>
      </c>
      <c r="E107" s="96">
        <v>15433854184.620001</v>
      </c>
      <c r="F107" s="91">
        <f t="shared" si="65"/>
        <v>6.5702927381252677E-2</v>
      </c>
      <c r="G107" s="171" t="s">
        <v>330</v>
      </c>
      <c r="H107" s="116">
        <v>259.25</v>
      </c>
      <c r="I107" s="171" t="s">
        <v>330</v>
      </c>
      <c r="J107" s="116">
        <v>259.25</v>
      </c>
      <c r="K107" s="92">
        <v>5890</v>
      </c>
      <c r="L107" s="93">
        <v>2.7553742559506002E-4</v>
      </c>
      <c r="M107" s="93">
        <v>2.7553742559506002E-4</v>
      </c>
      <c r="N107" s="171" t="s">
        <v>330</v>
      </c>
      <c r="O107" s="96">
        <v>15075748739.02</v>
      </c>
      <c r="P107" s="91">
        <f t="shared" si="51"/>
        <v>6.4436384573959726E-2</v>
      </c>
      <c r="Q107" s="171" t="s">
        <v>330</v>
      </c>
      <c r="R107" s="116">
        <v>259.25</v>
      </c>
      <c r="S107" s="171" t="s">
        <v>330</v>
      </c>
      <c r="T107" s="116">
        <v>259.25</v>
      </c>
      <c r="U107" s="92">
        <v>5897</v>
      </c>
      <c r="V107" s="93">
        <v>0</v>
      </c>
      <c r="W107" s="93">
        <v>0</v>
      </c>
      <c r="X107" s="187">
        <f t="shared" si="52"/>
        <v>-2.3202593552870045E-2</v>
      </c>
      <c r="Y107" s="187">
        <f t="shared" si="53"/>
        <v>0</v>
      </c>
      <c r="Z107" s="187">
        <f t="shared" si="54"/>
        <v>1.1884550084889642E-3</v>
      </c>
      <c r="AA107" s="185">
        <f t="shared" si="55"/>
        <v>-2.7553742559506002E-4</v>
      </c>
      <c r="AB107" s="186">
        <f t="shared" si="56"/>
        <v>-2.7553742559506002E-4</v>
      </c>
    </row>
    <row r="108" spans="1:28" ht="13.5" customHeight="1">
      <c r="A108" s="199">
        <v>97</v>
      </c>
      <c r="B108" s="84" t="s">
        <v>154</v>
      </c>
      <c r="C108" s="85" t="s">
        <v>46</v>
      </c>
      <c r="D108" s="171" t="s">
        <v>330</v>
      </c>
      <c r="E108" s="96">
        <v>1260631904.05</v>
      </c>
      <c r="F108" s="91">
        <f t="shared" si="65"/>
        <v>5.3665925215767313E-3</v>
      </c>
      <c r="G108" s="171" t="s">
        <v>330</v>
      </c>
      <c r="H108" s="95">
        <v>10894.82</v>
      </c>
      <c r="I108" s="171" t="s">
        <v>330</v>
      </c>
      <c r="J108" s="95">
        <v>10944.22</v>
      </c>
      <c r="K108" s="92">
        <v>31</v>
      </c>
      <c r="L108" s="93">
        <v>-8.4083250634741302E-4</v>
      </c>
      <c r="M108" s="93">
        <v>0.161339545978847</v>
      </c>
      <c r="N108" s="171" t="s">
        <v>330</v>
      </c>
      <c r="O108" s="96">
        <v>1471099471.9000001</v>
      </c>
      <c r="P108" s="91">
        <f t="shared" si="51"/>
        <v>6.287736215220276E-3</v>
      </c>
      <c r="Q108" s="171" t="s">
        <v>330</v>
      </c>
      <c r="R108" s="95">
        <v>10992.31</v>
      </c>
      <c r="S108" s="171" t="s">
        <v>330</v>
      </c>
      <c r="T108" s="95">
        <v>11036.64</v>
      </c>
      <c r="U108" s="92">
        <v>32</v>
      </c>
      <c r="V108" s="93">
        <v>8.3999999999999995E-3</v>
      </c>
      <c r="W108" s="93">
        <v>0.1711</v>
      </c>
      <c r="X108" s="187">
        <f t="shared" si="52"/>
        <v>0.16695402295772171</v>
      </c>
      <c r="Y108" s="187">
        <f t="shared" si="53"/>
        <v>8.444640184499223E-3</v>
      </c>
      <c r="Z108" s="187">
        <f t="shared" si="54"/>
        <v>3.2258064516129031E-2</v>
      </c>
      <c r="AA108" s="185">
        <f t="shared" si="55"/>
        <v>9.2408325063474128E-3</v>
      </c>
      <c r="AB108" s="186">
        <f t="shared" si="56"/>
        <v>9.7604540211529978E-3</v>
      </c>
    </row>
    <row r="109" spans="1:28" ht="15" customHeight="1">
      <c r="A109" s="199">
        <v>98</v>
      </c>
      <c r="B109" s="84" t="s">
        <v>155</v>
      </c>
      <c r="C109" s="85" t="s">
        <v>46</v>
      </c>
      <c r="D109" s="171" t="s">
        <v>330</v>
      </c>
      <c r="E109" s="96">
        <v>5712502539.7799997</v>
      </c>
      <c r="F109" s="91">
        <f t="shared" si="65"/>
        <v>2.4318497184611557E-2</v>
      </c>
      <c r="G109" s="171" t="s">
        <v>330</v>
      </c>
      <c r="H109" s="116">
        <v>172.21</v>
      </c>
      <c r="I109" s="171" t="s">
        <v>330</v>
      </c>
      <c r="J109" s="116">
        <v>172.21</v>
      </c>
      <c r="K109" s="92">
        <v>6272</v>
      </c>
      <c r="L109" s="93">
        <v>3.2040079226378299E-3</v>
      </c>
      <c r="M109" s="93">
        <v>0.19040000000000001</v>
      </c>
      <c r="N109" s="171" t="s">
        <v>330</v>
      </c>
      <c r="O109" s="96">
        <v>5702241733.1300001</v>
      </c>
      <c r="P109" s="91">
        <f t="shared" si="51"/>
        <v>2.4372377625174739E-2</v>
      </c>
      <c r="Q109" s="171" t="s">
        <v>330</v>
      </c>
      <c r="R109" s="116">
        <v>172.49</v>
      </c>
      <c r="S109" s="171" t="s">
        <v>330</v>
      </c>
      <c r="T109" s="116">
        <v>172.49</v>
      </c>
      <c r="U109" s="92">
        <v>6309</v>
      </c>
      <c r="V109" s="93">
        <v>1.6000000000000001E-3</v>
      </c>
      <c r="W109" s="93">
        <v>0.1852</v>
      </c>
      <c r="X109" s="187">
        <f t="shared" si="52"/>
        <v>-1.7962016784319511E-3</v>
      </c>
      <c r="Y109" s="187">
        <f t="shared" si="53"/>
        <v>1.6259218396144307E-3</v>
      </c>
      <c r="Z109" s="187">
        <f t="shared" si="54"/>
        <v>5.8992346938775506E-3</v>
      </c>
      <c r="AA109" s="185">
        <f t="shared" si="55"/>
        <v>-1.6040079226378298E-3</v>
      </c>
      <c r="AB109" s="186">
        <f t="shared" si="56"/>
        <v>-5.2000000000000102E-3</v>
      </c>
    </row>
    <row r="110" spans="1:28" ht="15" customHeight="1">
      <c r="A110" s="199">
        <v>99</v>
      </c>
      <c r="B110" s="84" t="s">
        <v>156</v>
      </c>
      <c r="C110" s="85" t="s">
        <v>46</v>
      </c>
      <c r="D110" s="171" t="s">
        <v>330</v>
      </c>
      <c r="E110" s="96">
        <v>5592732823.9300003</v>
      </c>
      <c r="F110" s="91">
        <f t="shared" si="65"/>
        <v>2.3808629665530837E-2</v>
      </c>
      <c r="G110" s="171" t="s">
        <v>330</v>
      </c>
      <c r="H110" s="116">
        <v>388.15</v>
      </c>
      <c r="I110" s="171" t="s">
        <v>330</v>
      </c>
      <c r="J110" s="116">
        <v>388.15</v>
      </c>
      <c r="K110" s="92">
        <v>12093</v>
      </c>
      <c r="L110" s="93">
        <v>0</v>
      </c>
      <c r="M110" s="93">
        <v>7.6E-3</v>
      </c>
      <c r="N110" s="171" t="s">
        <v>330</v>
      </c>
      <c r="O110" s="96">
        <v>5578997150.9200001</v>
      </c>
      <c r="P110" s="91">
        <f t="shared" si="51"/>
        <v>2.3845608744012238E-2</v>
      </c>
      <c r="Q110" s="171" t="s">
        <v>330</v>
      </c>
      <c r="R110" s="116">
        <v>388.15</v>
      </c>
      <c r="S110" s="171" t="s">
        <v>330</v>
      </c>
      <c r="T110" s="116">
        <v>388.15</v>
      </c>
      <c r="U110" s="92">
        <v>12110</v>
      </c>
      <c r="V110" s="93">
        <v>0</v>
      </c>
      <c r="W110" s="93">
        <v>7.6E-3</v>
      </c>
      <c r="X110" s="187">
        <f t="shared" si="52"/>
        <v>-2.4559859092908006E-3</v>
      </c>
      <c r="Y110" s="187">
        <f t="shared" si="53"/>
        <v>0</v>
      </c>
      <c r="Z110" s="187">
        <f t="shared" si="54"/>
        <v>1.4057719341767966E-3</v>
      </c>
      <c r="AA110" s="185">
        <f t="shared" si="55"/>
        <v>0</v>
      </c>
      <c r="AB110" s="186">
        <f t="shared" si="56"/>
        <v>0</v>
      </c>
    </row>
    <row r="111" spans="1:28" ht="15" customHeight="1">
      <c r="A111" s="199">
        <v>100</v>
      </c>
      <c r="B111" s="84" t="s">
        <v>157</v>
      </c>
      <c r="C111" s="85" t="s">
        <v>112</v>
      </c>
      <c r="D111" s="171" t="s">
        <v>330</v>
      </c>
      <c r="E111" s="96">
        <v>119644259.55</v>
      </c>
      <c r="F111" s="91">
        <f t="shared" si="65"/>
        <v>5.0933344340073816E-4</v>
      </c>
      <c r="G111" s="171" t="s">
        <v>330</v>
      </c>
      <c r="H111" s="116">
        <v>118.842</v>
      </c>
      <c r="I111" s="171" t="s">
        <v>330</v>
      </c>
      <c r="J111" s="116">
        <v>118.842</v>
      </c>
      <c r="K111" s="92">
        <v>28</v>
      </c>
      <c r="L111" s="93">
        <v>-5.6178000000000001E-3</v>
      </c>
      <c r="M111" s="93">
        <v>0.1343</v>
      </c>
      <c r="N111" s="171" t="s">
        <v>330</v>
      </c>
      <c r="O111" s="96">
        <v>119644259.55</v>
      </c>
      <c r="P111" s="91">
        <f t="shared" si="51"/>
        <v>5.1138047296293734E-4</v>
      </c>
      <c r="Q111" s="171" t="s">
        <v>330</v>
      </c>
      <c r="R111" s="116">
        <v>119.16549999999999</v>
      </c>
      <c r="S111" s="171" t="s">
        <v>330</v>
      </c>
      <c r="T111" s="116">
        <v>119.16549999999999</v>
      </c>
      <c r="U111" s="92">
        <v>28</v>
      </c>
      <c r="V111" s="93">
        <v>5.2178082191780394E-3</v>
      </c>
      <c r="W111" s="93">
        <v>0.14981</v>
      </c>
      <c r="X111" s="187">
        <f t="shared" ref="X111" si="66">((O111-E111)/E111)</f>
        <v>0</v>
      </c>
      <c r="Y111" s="187">
        <f t="shared" ref="Y111" si="67">((T111-J111)/J111)</f>
        <v>2.7221016139075049E-3</v>
      </c>
      <c r="Z111" s="187">
        <f t="shared" ref="Z111" si="68">((U111-K111)/K111)</f>
        <v>0</v>
      </c>
      <c r="AA111" s="185">
        <f t="shared" ref="AA111" si="69">V111-L111</f>
        <v>1.083560821917804E-2</v>
      </c>
      <c r="AB111" s="186">
        <f t="shared" ref="AB111" si="70">W111-M111</f>
        <v>1.5509999999999996E-2</v>
      </c>
    </row>
    <row r="112" spans="1:28" ht="13.8" customHeight="1">
      <c r="A112" s="199">
        <v>101</v>
      </c>
      <c r="B112" s="84" t="s">
        <v>158</v>
      </c>
      <c r="C112" s="85" t="s">
        <v>49</v>
      </c>
      <c r="D112" s="171" t="s">
        <v>330</v>
      </c>
      <c r="E112" s="96">
        <v>77663771645.860001</v>
      </c>
      <c r="F112" s="91">
        <f t="shared" si="65"/>
        <v>0.33061975884721406</v>
      </c>
      <c r="G112" s="171" t="s">
        <v>330</v>
      </c>
      <c r="H112" s="96">
        <v>2.03573</v>
      </c>
      <c r="I112" s="171" t="s">
        <v>330</v>
      </c>
      <c r="J112" s="96">
        <v>2.03573</v>
      </c>
      <c r="K112" s="92">
        <v>7068</v>
      </c>
      <c r="L112" s="93">
        <v>8.7599999999999997E-2</v>
      </c>
      <c r="M112" s="93">
        <v>8.5800000000000001E-2</v>
      </c>
      <c r="N112" s="171" t="s">
        <v>330</v>
      </c>
      <c r="O112" s="96">
        <v>77809517708</v>
      </c>
      <c r="P112" s="91">
        <f t="shared" si="51"/>
        <v>0.33257147577487006</v>
      </c>
      <c r="Q112" s="171" t="s">
        <v>330</v>
      </c>
      <c r="R112" s="96">
        <v>2.0390000000000001</v>
      </c>
      <c r="S112" s="171" t="s">
        <v>330</v>
      </c>
      <c r="T112" s="96">
        <v>2.0390000000000001</v>
      </c>
      <c r="U112" s="92">
        <v>7077</v>
      </c>
      <c r="V112" s="93">
        <v>8.9300000000000004E-2</v>
      </c>
      <c r="W112" s="93">
        <v>8.5900000000000004E-2</v>
      </c>
      <c r="X112" s="187">
        <f t="shared" si="52"/>
        <v>1.876628691233136E-3</v>
      </c>
      <c r="Y112" s="187">
        <f t="shared" si="53"/>
        <v>1.6063033899387964E-3</v>
      </c>
      <c r="Z112" s="187">
        <f t="shared" si="54"/>
        <v>1.2733446519524619E-3</v>
      </c>
      <c r="AA112" s="185">
        <f t="shared" si="55"/>
        <v>1.7000000000000071E-3</v>
      </c>
      <c r="AB112" s="186">
        <f t="shared" si="56"/>
        <v>1.0000000000000286E-4</v>
      </c>
    </row>
    <row r="113" spans="1:34" ht="12.6" customHeight="1">
      <c r="A113" s="199">
        <v>102</v>
      </c>
      <c r="B113" s="84" t="s">
        <v>159</v>
      </c>
      <c r="C113" s="85" t="s">
        <v>49</v>
      </c>
      <c r="D113" s="171" t="s">
        <v>330</v>
      </c>
      <c r="E113" s="96">
        <v>59584402232.610001</v>
      </c>
      <c r="F113" s="91">
        <f t="shared" si="65"/>
        <v>0.25365469999358509</v>
      </c>
      <c r="G113" s="171" t="s">
        <v>330</v>
      </c>
      <c r="H113" s="96">
        <v>135.6156</v>
      </c>
      <c r="I113" s="171" t="s">
        <v>330</v>
      </c>
      <c r="J113" s="96">
        <v>135.6156</v>
      </c>
      <c r="K113" s="92">
        <v>1592</v>
      </c>
      <c r="L113" s="93">
        <v>0.16500000000000001</v>
      </c>
      <c r="M113" s="93">
        <v>0.15379999999999999</v>
      </c>
      <c r="N113" s="171" t="s">
        <v>330</v>
      </c>
      <c r="O113" s="96">
        <v>58216312843.029999</v>
      </c>
      <c r="P113" s="91">
        <f t="shared" si="51"/>
        <v>0.24882669430024487</v>
      </c>
      <c r="Q113" s="171" t="s">
        <v>330</v>
      </c>
      <c r="R113" s="96">
        <v>135.9923</v>
      </c>
      <c r="S113" s="171" t="s">
        <v>330</v>
      </c>
      <c r="T113" s="96">
        <v>135.9923</v>
      </c>
      <c r="U113" s="92">
        <v>1613</v>
      </c>
      <c r="V113" s="93">
        <v>0.15559999999999999</v>
      </c>
      <c r="W113" s="93">
        <v>0.15379999999999999</v>
      </c>
      <c r="X113" s="187">
        <f t="shared" ref="X113:X115" si="71">((O113-E113)/E113)</f>
        <v>-2.296052890216391E-2</v>
      </c>
      <c r="Y113" s="187">
        <f t="shared" ref="Y113:Y115" si="72">((T113-J113)/J113)</f>
        <v>2.7777040399482034E-3</v>
      </c>
      <c r="Z113" s="187">
        <f t="shared" ref="Z113:Z115" si="73">((U113-K113)/K113)</f>
        <v>1.3190954773869347E-2</v>
      </c>
      <c r="AA113" s="185">
        <f t="shared" ref="AA113:AA115" si="74">V113-L113</f>
        <v>-9.4000000000000195E-3</v>
      </c>
      <c r="AB113" s="186">
        <f t="shared" ref="AB113:AB115" si="75">W113-M113</f>
        <v>0</v>
      </c>
      <c r="AD113" s="50"/>
    </row>
    <row r="114" spans="1:34" ht="15" customHeight="1">
      <c r="A114" s="199">
        <v>103</v>
      </c>
      <c r="B114" s="84" t="s">
        <v>160</v>
      </c>
      <c r="C114" s="84" t="s">
        <v>161</v>
      </c>
      <c r="D114" s="171" t="s">
        <v>330</v>
      </c>
      <c r="E114" s="96">
        <v>117745098.95999999</v>
      </c>
      <c r="F114" s="91">
        <f t="shared" si="65"/>
        <v>5.01248592472546E-4</v>
      </c>
      <c r="G114" s="171" t="s">
        <v>330</v>
      </c>
      <c r="H114" s="96">
        <v>118.90202757854196</v>
      </c>
      <c r="I114" s="171" t="s">
        <v>330</v>
      </c>
      <c r="J114" s="96">
        <v>118.90202757854196</v>
      </c>
      <c r="K114" s="120">
        <v>89</v>
      </c>
      <c r="L114" s="121">
        <v>1.5055245773718346E-3</v>
      </c>
      <c r="M114" s="121">
        <v>1.9148588975057113E-2</v>
      </c>
      <c r="N114" s="171" t="s">
        <v>330</v>
      </c>
      <c r="O114" s="96">
        <v>117922006.44</v>
      </c>
      <c r="P114" s="91">
        <f t="shared" si="51"/>
        <v>5.0401926220977427E-4</v>
      </c>
      <c r="Q114" s="171" t="s">
        <v>330</v>
      </c>
      <c r="R114" s="96">
        <v>119.08</v>
      </c>
      <c r="S114" s="171" t="s">
        <v>330</v>
      </c>
      <c r="T114" s="96">
        <v>119.08</v>
      </c>
      <c r="U114" s="120">
        <v>89</v>
      </c>
      <c r="V114" s="121">
        <v>1.5055245773718346E-3</v>
      </c>
      <c r="W114" s="121">
        <v>1.9148588975057113E-2</v>
      </c>
      <c r="X114" s="187">
        <f t="shared" si="71"/>
        <v>1.5024615169766228E-3</v>
      </c>
      <c r="Y114" s="187">
        <f t="shared" si="72"/>
        <v>1.496798877886884E-3</v>
      </c>
      <c r="Z114" s="187">
        <f t="shared" si="73"/>
        <v>0</v>
      </c>
      <c r="AA114" s="185">
        <f t="shared" si="74"/>
        <v>0</v>
      </c>
      <c r="AB114" s="186">
        <f t="shared" si="75"/>
        <v>0</v>
      </c>
      <c r="AD114" s="41"/>
    </row>
    <row r="115" spans="1:34" ht="15.6" customHeight="1">
      <c r="A115" s="199">
        <v>104</v>
      </c>
      <c r="B115" s="84" t="s">
        <v>162</v>
      </c>
      <c r="C115" s="85" t="s">
        <v>119</v>
      </c>
      <c r="D115" s="171" t="s">
        <v>330</v>
      </c>
      <c r="E115" s="96">
        <v>528627985.11000001</v>
      </c>
      <c r="F115" s="91">
        <f t="shared" si="65"/>
        <v>2.2504039303410978E-3</v>
      </c>
      <c r="G115" s="171" t="s">
        <v>330</v>
      </c>
      <c r="H115" s="96">
        <v>1.45</v>
      </c>
      <c r="I115" s="171" t="s">
        <v>330</v>
      </c>
      <c r="J115" s="96">
        <v>1.45</v>
      </c>
      <c r="K115" s="92">
        <v>914</v>
      </c>
      <c r="L115" s="93">
        <v>-2.385E-3</v>
      </c>
      <c r="M115" s="93">
        <v>5.4143999999999998E-2</v>
      </c>
      <c r="N115" s="171" t="s">
        <v>330</v>
      </c>
      <c r="O115" s="96">
        <v>518386569.10000002</v>
      </c>
      <c r="P115" s="91">
        <f t="shared" si="51"/>
        <v>2.2156747835712812E-3</v>
      </c>
      <c r="Q115" s="171" t="s">
        <v>330</v>
      </c>
      <c r="R115" s="96">
        <v>1.45</v>
      </c>
      <c r="S115" s="171" t="s">
        <v>330</v>
      </c>
      <c r="T115" s="96">
        <v>1.45</v>
      </c>
      <c r="U115" s="92">
        <v>917</v>
      </c>
      <c r="V115" s="93">
        <v>5.0000000000000001E-3</v>
      </c>
      <c r="W115" s="93">
        <v>6.0299999999999999E-2</v>
      </c>
      <c r="X115" s="187">
        <f t="shared" si="71"/>
        <v>-1.9373578960010785E-2</v>
      </c>
      <c r="Y115" s="187">
        <f t="shared" si="72"/>
        <v>0</v>
      </c>
      <c r="Z115" s="187">
        <f t="shared" si="73"/>
        <v>3.2822757111597373E-3</v>
      </c>
      <c r="AA115" s="185">
        <f t="shared" si="74"/>
        <v>7.3850000000000001E-3</v>
      </c>
      <c r="AB115" s="186">
        <f t="shared" si="75"/>
        <v>6.1560000000000017E-3</v>
      </c>
    </row>
    <row r="116" spans="1:34">
      <c r="A116" s="199">
        <v>105</v>
      </c>
      <c r="B116" s="84" t="s">
        <v>163</v>
      </c>
      <c r="C116" s="85" t="s">
        <v>121</v>
      </c>
      <c r="D116" s="171" t="s">
        <v>330</v>
      </c>
      <c r="E116" s="96">
        <v>2048770840.6600001</v>
      </c>
      <c r="F116" s="91">
        <f t="shared" si="65"/>
        <v>8.7217515569670539E-3</v>
      </c>
      <c r="G116" s="171" t="s">
        <v>330</v>
      </c>
      <c r="H116" s="116">
        <v>31.576699999999999</v>
      </c>
      <c r="I116" s="171" t="s">
        <v>330</v>
      </c>
      <c r="J116" s="116">
        <v>31.576699999999999</v>
      </c>
      <c r="K116" s="92">
        <v>1339</v>
      </c>
      <c r="L116" s="93">
        <v>0.14369999999999999</v>
      </c>
      <c r="M116" s="93">
        <v>0.14369999999999999</v>
      </c>
      <c r="N116" s="171" t="s">
        <v>330</v>
      </c>
      <c r="O116" s="96">
        <v>2054922209.51</v>
      </c>
      <c r="P116" s="91">
        <f t="shared" si="51"/>
        <v>8.7830966178708576E-3</v>
      </c>
      <c r="Q116" s="171" t="s">
        <v>330</v>
      </c>
      <c r="R116" s="116">
        <v>31.576699999999999</v>
      </c>
      <c r="S116" s="171" t="s">
        <v>330</v>
      </c>
      <c r="T116" s="116">
        <v>31.576699999999999</v>
      </c>
      <c r="U116" s="92">
        <v>1341</v>
      </c>
      <c r="V116" s="93">
        <v>0.14710000000000001</v>
      </c>
      <c r="W116" s="93">
        <v>0.14710000000000001</v>
      </c>
      <c r="X116" s="187">
        <f t="shared" si="52"/>
        <v>3.0024679812498088E-3</v>
      </c>
      <c r="Y116" s="187">
        <f t="shared" si="53"/>
        <v>0</v>
      </c>
      <c r="Z116" s="187">
        <f t="shared" si="54"/>
        <v>1.4936519790888724E-3</v>
      </c>
      <c r="AA116" s="185">
        <f t="shared" si="55"/>
        <v>3.4000000000000141E-3</v>
      </c>
      <c r="AB116" s="186">
        <f t="shared" si="56"/>
        <v>3.4000000000000141E-3</v>
      </c>
    </row>
    <row r="117" spans="1:34">
      <c r="B117" s="99"/>
      <c r="C117" s="100" t="s">
        <v>52</v>
      </c>
      <c r="D117" s="145" t="s">
        <v>330</v>
      </c>
      <c r="E117" s="114">
        <f>SUM(E79:E116)</f>
        <v>234903600186.06744</v>
      </c>
      <c r="F117" s="102">
        <f>(E117/$E$238)</f>
        <v>2.6499707415148299E-2</v>
      </c>
      <c r="G117" s="171" t="s">
        <v>330</v>
      </c>
      <c r="H117" s="103"/>
      <c r="I117" s="171" t="s">
        <v>330</v>
      </c>
      <c r="J117" s="108"/>
      <c r="K117" s="105">
        <f>SUM(K79:K116)</f>
        <v>66773</v>
      </c>
      <c r="L117" s="111"/>
      <c r="M117" s="111"/>
      <c r="N117" s="171" t="s">
        <v>330</v>
      </c>
      <c r="O117" s="114">
        <f>SUM(O79:O116)</f>
        <v>233963293234.06</v>
      </c>
      <c r="P117" s="102">
        <f>(O117/$O$238)</f>
        <v>2.6266426774001254E-2</v>
      </c>
      <c r="Q117" s="173"/>
      <c r="R117" s="103"/>
      <c r="S117" s="103"/>
      <c r="T117" s="108"/>
      <c r="U117" s="105">
        <f>SUM(U79:U116)</f>
        <v>67084</v>
      </c>
      <c r="V117" s="111"/>
      <c r="W117" s="111"/>
      <c r="X117" s="187">
        <f t="shared" si="52"/>
        <v>-4.0029482360535466E-3</v>
      </c>
      <c r="Y117" s="187" t="e">
        <f t="shared" si="53"/>
        <v>#DIV/0!</v>
      </c>
      <c r="Z117" s="187">
        <f t="shared" si="54"/>
        <v>4.6575711739775061E-3</v>
      </c>
      <c r="AA117" s="185">
        <f t="shared" si="55"/>
        <v>0</v>
      </c>
      <c r="AB117" s="186">
        <f t="shared" si="56"/>
        <v>0</v>
      </c>
    </row>
    <row r="118" spans="1:34" ht="3.75" customHeight="1"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</row>
    <row r="119" spans="1:34" ht="15" customHeight="1">
      <c r="A119" s="191"/>
      <c r="B119" s="213" t="s">
        <v>164</v>
      </c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</row>
    <row r="120" spans="1:34">
      <c r="A120" s="195"/>
      <c r="B120" s="212" t="s">
        <v>339</v>
      </c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F120" s="23"/>
      <c r="AH120" s="25"/>
    </row>
    <row r="121" spans="1:34" ht="16.5" customHeight="1">
      <c r="A121" s="199">
        <v>106</v>
      </c>
      <c r="B121" s="84" t="s">
        <v>165</v>
      </c>
      <c r="C121" s="85" t="s">
        <v>19</v>
      </c>
      <c r="D121" s="189">
        <v>2724739.46</v>
      </c>
      <c r="E121" s="96">
        <v>3709446677.1466999</v>
      </c>
      <c r="F121" s="91">
        <f t="shared" ref="F121:F126" si="76">(E121/$E$161)</f>
        <v>2.0052624730483009E-3</v>
      </c>
      <c r="G121" s="174">
        <v>117.84610000000001</v>
      </c>
      <c r="H121" s="96">
        <v>160435.09130950001</v>
      </c>
      <c r="I121" s="174">
        <v>117.84610000000001</v>
      </c>
      <c r="J121" s="96">
        <v>160435.09130950001</v>
      </c>
      <c r="K121" s="92">
        <v>190</v>
      </c>
      <c r="L121" s="93">
        <v>-1E-4</v>
      </c>
      <c r="M121" s="93">
        <v>2.8799999999999999E-2</v>
      </c>
      <c r="N121" s="174">
        <v>2703871.33</v>
      </c>
      <c r="O121" s="96">
        <f>2703871.33*C269</f>
        <v>3707113314.7990031</v>
      </c>
      <c r="P121" s="91">
        <f t="shared" ref="P121:P138" si="77">(O121/$O$161)</f>
        <v>2.020319297912453E-3</v>
      </c>
      <c r="Q121" s="174">
        <v>117.5063</v>
      </c>
      <c r="R121" s="122">
        <f>117.5063*C269</f>
        <v>161105.73179632999</v>
      </c>
      <c r="S121" s="174">
        <v>117.5063</v>
      </c>
      <c r="T121" s="96">
        <f>117.5063*C269</f>
        <v>161105.73179632999</v>
      </c>
      <c r="U121" s="92">
        <v>190</v>
      </c>
      <c r="V121" s="93">
        <v>-2.8999999999999998E-3</v>
      </c>
      <c r="W121" s="93">
        <v>2.5899999999999999E-2</v>
      </c>
      <c r="X121" s="187">
        <f>((O121-E121)/E121)</f>
        <v>-6.2903245437446196E-4</v>
      </c>
      <c r="Y121" s="187">
        <f>((T121-J121)/J121)</f>
        <v>4.1801359126365954E-3</v>
      </c>
      <c r="Z121" s="187">
        <f>((U121-K121)/K121)</f>
        <v>0</v>
      </c>
      <c r="AA121" s="187">
        <f>V121-L121</f>
        <v>-2.8E-3</v>
      </c>
      <c r="AB121" s="188">
        <f>W121-M121</f>
        <v>-2.8999999999999998E-3</v>
      </c>
      <c r="AD121" s="23"/>
      <c r="AE121" s="26"/>
      <c r="AF121" s="23"/>
      <c r="AG121" s="27"/>
    </row>
    <row r="122" spans="1:34" ht="16.5" customHeight="1">
      <c r="A122" s="199">
        <v>107</v>
      </c>
      <c r="B122" s="84" t="s">
        <v>166</v>
      </c>
      <c r="C122" s="85" t="s">
        <v>56</v>
      </c>
      <c r="D122" s="189">
        <v>3827338.42</v>
      </c>
      <c r="E122" s="96">
        <v>5210519388.2958994</v>
      </c>
      <c r="F122" s="91">
        <f t="shared" si="76"/>
        <v>2.816716320202584E-3</v>
      </c>
      <c r="G122" s="174">
        <v>106.3</v>
      </c>
      <c r="H122" s="96">
        <v>144716.2885</v>
      </c>
      <c r="I122" s="174">
        <v>106.3</v>
      </c>
      <c r="J122" s="96">
        <v>144716.2885</v>
      </c>
      <c r="K122" s="92">
        <v>108</v>
      </c>
      <c r="L122" s="93">
        <v>2.0999999999999999E-3</v>
      </c>
      <c r="M122" s="93">
        <v>6.2954999999999997E-2</v>
      </c>
      <c r="N122" s="174">
        <v>3717470</v>
      </c>
      <c r="O122" s="96">
        <f>3717470*C269</f>
        <v>5096796723.0769997</v>
      </c>
      <c r="P122" s="91">
        <f t="shared" si="77"/>
        <v>2.7776752159321895E-3</v>
      </c>
      <c r="Q122" s="174">
        <v>106.01</v>
      </c>
      <c r="R122" s="96">
        <f>106.01*C269</f>
        <v>145343.854991</v>
      </c>
      <c r="S122" s="174">
        <v>106.01</v>
      </c>
      <c r="T122" s="96">
        <f>106.01*C269</f>
        <v>145343.854991</v>
      </c>
      <c r="U122" s="92">
        <v>109</v>
      </c>
      <c r="V122" s="93">
        <v>-2.8370000000000001E-3</v>
      </c>
      <c r="W122" s="93">
        <v>6.0117999999999998E-2</v>
      </c>
      <c r="X122" s="185">
        <f>((O122-E122)/E122)</f>
        <v>-2.1825591029245306E-2</v>
      </c>
      <c r="Y122" s="185">
        <f>((T122-J122)/J122)</f>
        <v>4.3365297542163339E-3</v>
      </c>
      <c r="Z122" s="185">
        <f>((U122-K122)/K122)</f>
        <v>9.2592592592592587E-3</v>
      </c>
      <c r="AA122" s="185">
        <f>V122-L122</f>
        <v>-4.9370000000000004E-3</v>
      </c>
      <c r="AB122" s="186">
        <f>W122-M122</f>
        <v>-2.8369999999999992E-3</v>
      </c>
      <c r="AD122" s="23"/>
      <c r="AE122" s="26"/>
      <c r="AF122" s="23"/>
      <c r="AG122" s="27"/>
    </row>
    <row r="123" spans="1:34">
      <c r="A123" s="199">
        <v>108</v>
      </c>
      <c r="B123" s="84" t="s">
        <v>167</v>
      </c>
      <c r="C123" s="85" t="s">
        <v>23</v>
      </c>
      <c r="D123" s="189">
        <v>13513570.09</v>
      </c>
      <c r="E123" s="96">
        <v>18384568861.508713</v>
      </c>
      <c r="F123" s="91">
        <f t="shared" si="76"/>
        <v>9.9383787475044467E-3</v>
      </c>
      <c r="G123" s="174">
        <v>1.232</v>
      </c>
      <c r="H123" s="96">
        <v>1676.0773568</v>
      </c>
      <c r="I123" s="174">
        <v>1.232</v>
      </c>
      <c r="J123" s="96">
        <v>1676.0773568</v>
      </c>
      <c r="K123" s="92">
        <v>340</v>
      </c>
      <c r="L123" s="93">
        <v>0.106</v>
      </c>
      <c r="M123" s="93">
        <v>5.8299999999999998E-2</v>
      </c>
      <c r="N123" s="174">
        <v>13239529.310000001</v>
      </c>
      <c r="O123" s="96">
        <f>13239529.31*1370.8163</f>
        <v>18148962582.475754</v>
      </c>
      <c r="P123" s="91">
        <f t="shared" si="77"/>
        <v>9.8909033063789252E-3</v>
      </c>
      <c r="Q123" s="174">
        <v>1.2309000000000001</v>
      </c>
      <c r="R123" s="96">
        <f>1.232*1370.8163</f>
        <v>1688.8456816</v>
      </c>
      <c r="S123" s="174">
        <v>1.2309000000000001</v>
      </c>
      <c r="T123" s="96">
        <f>1.232*1370.8163</f>
        <v>1688.8456816</v>
      </c>
      <c r="U123" s="92">
        <v>340</v>
      </c>
      <c r="V123" s="93">
        <v>5.2900000000000003E-2</v>
      </c>
      <c r="W123" s="93">
        <v>-4.6600000000000003E-2</v>
      </c>
      <c r="X123" s="185">
        <f t="shared" ref="X123:X136" si="78">((O123-E123)/E123)</f>
        <v>-1.2815436728910279E-2</v>
      </c>
      <c r="Y123" s="185">
        <f t="shared" ref="Y123:Y136" si="79">((T123-J123)/J123)</f>
        <v>7.6179806070392903E-3</v>
      </c>
      <c r="Z123" s="185">
        <f t="shared" ref="Z123:Z136" si="80">((U123-K123)/K123)</f>
        <v>0</v>
      </c>
      <c r="AA123" s="185">
        <f t="shared" ref="AA123:AA136" si="81">V123-L123</f>
        <v>-5.3099999999999994E-2</v>
      </c>
      <c r="AB123" s="186">
        <f t="shared" ref="AB123:AB136" si="82">W123-M123</f>
        <v>-0.10489999999999999</v>
      </c>
    </row>
    <row r="124" spans="1:34">
      <c r="A124" s="199">
        <v>109</v>
      </c>
      <c r="B124" s="84" t="s">
        <v>168</v>
      </c>
      <c r="C124" s="85" t="s">
        <v>23</v>
      </c>
      <c r="D124" s="189">
        <v>3118545.57</v>
      </c>
      <c r="E124" s="96">
        <v>4242632805.2158675</v>
      </c>
      <c r="F124" s="91">
        <f t="shared" si="76"/>
        <v>2.2934936371068275E-3</v>
      </c>
      <c r="G124" s="174">
        <v>1.0622</v>
      </c>
      <c r="H124" s="96">
        <v>1445.07253928</v>
      </c>
      <c r="I124" s="174">
        <v>1.0622</v>
      </c>
      <c r="J124" s="96">
        <v>1445.07253928</v>
      </c>
      <c r="K124" s="92">
        <v>122</v>
      </c>
      <c r="L124" s="93">
        <v>6.3899999999999998E-2</v>
      </c>
      <c r="M124" s="93">
        <v>4.8599999999999997E-2</v>
      </c>
      <c r="N124" s="174">
        <v>3118545.57</v>
      </c>
      <c r="O124" s="96">
        <f>3118545.57*1360.4524</f>
        <v>4242632805.2158675</v>
      </c>
      <c r="P124" s="91">
        <f t="shared" si="77"/>
        <v>2.3121691198691621E-3</v>
      </c>
      <c r="Q124" s="174">
        <v>1.0627</v>
      </c>
      <c r="R124" s="96">
        <f>1.0627*1370.8163</f>
        <v>1456.7664820099999</v>
      </c>
      <c r="S124" s="174">
        <v>1.0627</v>
      </c>
      <c r="T124" s="96">
        <f>1.0627*1370.8163</f>
        <v>1456.7664820099999</v>
      </c>
      <c r="U124" s="92">
        <v>123</v>
      </c>
      <c r="V124" s="93">
        <v>2.4500000000000001E-2</v>
      </c>
      <c r="W124" s="93">
        <v>4.7399999999999998E-2</v>
      </c>
      <c r="X124" s="185">
        <f t="shared" si="78"/>
        <v>0</v>
      </c>
      <c r="Y124" s="185">
        <f t="shared" ref="Y124" si="83">((T124-J124)/J124)</f>
        <v>8.0922876963853575E-3</v>
      </c>
      <c r="Z124" s="185">
        <f t="shared" ref="Z124" si="84">((U124-K124)/K124)</f>
        <v>8.1967213114754103E-3</v>
      </c>
      <c r="AA124" s="185">
        <f t="shared" ref="AA124" si="85">V124-L124</f>
        <v>-3.9399999999999998E-2</v>
      </c>
      <c r="AB124" s="186">
        <f t="shared" ref="AB124" si="86">W124-M124</f>
        <v>-1.1999999999999997E-3</v>
      </c>
    </row>
    <row r="125" spans="1:34">
      <c r="A125" s="199">
        <v>110</v>
      </c>
      <c r="B125" s="84" t="s">
        <v>169</v>
      </c>
      <c r="C125" s="85" t="s">
        <v>27</v>
      </c>
      <c r="D125" s="189">
        <v>35779667.810000002</v>
      </c>
      <c r="E125" s="96">
        <v>48710260858.194954</v>
      </c>
      <c r="F125" s="91">
        <f t="shared" si="76"/>
        <v>2.6331921349106637E-2</v>
      </c>
      <c r="G125" s="174">
        <v>1.2897000000000001</v>
      </c>
      <c r="H125" s="96">
        <v>1755.7911315000001</v>
      </c>
      <c r="I125" s="174">
        <v>1.2897000000000001</v>
      </c>
      <c r="J125" s="96">
        <v>1755.7911315000001</v>
      </c>
      <c r="K125" s="92">
        <v>654</v>
      </c>
      <c r="L125" s="93">
        <v>3.4299999999999997E-2</v>
      </c>
      <c r="M125" s="93">
        <v>6.3E-2</v>
      </c>
      <c r="N125" s="174">
        <v>35151180.700000003</v>
      </c>
      <c r="O125" s="96">
        <f>N125*C269</f>
        <v>48193643150.865372</v>
      </c>
      <c r="P125" s="91">
        <f t="shared" si="77"/>
        <v>2.6264788536597181E-2</v>
      </c>
      <c r="Q125" s="174">
        <v>1.2721</v>
      </c>
      <c r="R125" s="96">
        <f>Q125*C269</f>
        <v>1744.09883911</v>
      </c>
      <c r="S125" s="174">
        <v>1.2721</v>
      </c>
      <c r="T125" s="96">
        <f>S125*C269</f>
        <v>1744.09883911</v>
      </c>
      <c r="U125" s="92">
        <v>655</v>
      </c>
      <c r="V125" s="93">
        <v>-1.3599999999999999E-2</v>
      </c>
      <c r="W125" s="93">
        <v>4.8899999999999999E-2</v>
      </c>
      <c r="X125" s="185">
        <f t="shared" si="78"/>
        <v>-1.0605931855580836E-2</v>
      </c>
      <c r="Y125" s="185">
        <f t="shared" ref="Y125:Z128" si="87">((T125-J125)/J125)</f>
        <v>-6.6592729512258315E-3</v>
      </c>
      <c r="Z125" s="185">
        <f t="shared" si="87"/>
        <v>1.5290519877675841E-3</v>
      </c>
      <c r="AA125" s="185">
        <f t="shared" si="81"/>
        <v>-4.7899999999999998E-2</v>
      </c>
      <c r="AB125" s="186">
        <f t="shared" si="82"/>
        <v>-1.4100000000000001E-2</v>
      </c>
    </row>
    <row r="126" spans="1:34">
      <c r="A126" s="199">
        <v>111</v>
      </c>
      <c r="B126" s="84" t="s">
        <v>170</v>
      </c>
      <c r="C126" s="85" t="s">
        <v>65</v>
      </c>
      <c r="D126" s="189">
        <v>1010248.5</v>
      </c>
      <c r="E126" s="96">
        <v>1375347256.6575</v>
      </c>
      <c r="F126" s="91">
        <f t="shared" si="76"/>
        <v>7.4348884920664548E-4</v>
      </c>
      <c r="G126" s="174">
        <v>1.1044</v>
      </c>
      <c r="H126" s="96">
        <v>1503.5246380000001</v>
      </c>
      <c r="I126" s="174">
        <v>1.1122000000000001</v>
      </c>
      <c r="J126" s="96">
        <v>1514.1435190000002</v>
      </c>
      <c r="K126" s="92">
        <v>75</v>
      </c>
      <c r="L126" s="93">
        <v>4.8000000000000001E-4</v>
      </c>
      <c r="M126" s="93">
        <v>7.4235999999999996E-2</v>
      </c>
      <c r="N126" s="174">
        <v>1009528.02</v>
      </c>
      <c r="O126" s="96">
        <f>1009528.02*C269</f>
        <v>1384102387.9655819</v>
      </c>
      <c r="P126" s="91">
        <f t="shared" si="77"/>
        <v>7.5431434845287134E-4</v>
      </c>
      <c r="Q126" s="174">
        <v>1.1032</v>
      </c>
      <c r="R126" s="96">
        <f>1.10322*C269</f>
        <v>1512.5577559020001</v>
      </c>
      <c r="S126" s="96">
        <v>1.1122000000000001</v>
      </c>
      <c r="T126" s="96">
        <f>1.1122*C269</f>
        <v>1524.8696870200001</v>
      </c>
      <c r="U126" s="92">
        <v>75</v>
      </c>
      <c r="V126" s="93">
        <v>-9.8999999999999999E-4</v>
      </c>
      <c r="W126" s="93">
        <v>6.83E-2</v>
      </c>
      <c r="X126" s="185">
        <f t="shared" si="78"/>
        <v>6.3657605493462211E-3</v>
      </c>
      <c r="Y126" s="185">
        <f t="shared" si="87"/>
        <v>7.083983707887819E-3</v>
      </c>
      <c r="Z126" s="185">
        <f t="shared" si="87"/>
        <v>0</v>
      </c>
      <c r="AA126" s="185">
        <f t="shared" si="81"/>
        <v>-1.47E-3</v>
      </c>
      <c r="AB126" s="186">
        <f t="shared" si="82"/>
        <v>-5.9359999999999968E-3</v>
      </c>
    </row>
    <row r="127" spans="1:34">
      <c r="A127" s="199">
        <v>112</v>
      </c>
      <c r="B127" s="84" t="s">
        <v>171</v>
      </c>
      <c r="C127" s="85" t="s">
        <v>29</v>
      </c>
      <c r="D127" s="189">
        <v>745533.83</v>
      </c>
      <c r="E127" s="96">
        <v>1014966028.4928499</v>
      </c>
      <c r="F127" s="91">
        <v>0</v>
      </c>
      <c r="G127" s="174">
        <v>1.4511000000000001</v>
      </c>
      <c r="H127" s="96">
        <v>1975.5202845000001</v>
      </c>
      <c r="I127" s="174">
        <v>1.4511000000000001</v>
      </c>
      <c r="J127" s="96">
        <v>1975.5202845000001</v>
      </c>
      <c r="K127" s="92">
        <v>80</v>
      </c>
      <c r="L127" s="93">
        <v>2.0699999999999999E-4</v>
      </c>
      <c r="M127" s="93">
        <v>2.7799999999999998E-2</v>
      </c>
      <c r="N127" s="174">
        <v>783995.73</v>
      </c>
      <c r="O127" s="96">
        <f>783995.73*C269</f>
        <v>1074888800.0630429</v>
      </c>
      <c r="P127" s="91">
        <f t="shared" si="77"/>
        <v>5.8579773572286109E-4</v>
      </c>
      <c r="Q127" s="174">
        <v>1.524</v>
      </c>
      <c r="R127" s="96">
        <f>1.524*C269</f>
        <v>2089.4635883999999</v>
      </c>
      <c r="S127" s="174">
        <v>1.524</v>
      </c>
      <c r="T127" s="96">
        <f>1.524*C269</f>
        <v>2089.4635883999999</v>
      </c>
      <c r="U127" s="92">
        <v>81</v>
      </c>
      <c r="V127" s="93">
        <v>7.8069999999999997E-3</v>
      </c>
      <c r="W127" s="93">
        <v>7.9399999999999998E-2</v>
      </c>
      <c r="X127" s="185">
        <f t="shared" si="78"/>
        <v>5.9039189379740967E-2</v>
      </c>
      <c r="Y127" s="185">
        <f t="shared" si="87"/>
        <v>5.7677617787072546E-2</v>
      </c>
      <c r="Z127" s="185">
        <f t="shared" si="87"/>
        <v>1.2500000000000001E-2</v>
      </c>
      <c r="AA127" s="185">
        <f t="shared" si="81"/>
        <v>7.6E-3</v>
      </c>
      <c r="AB127" s="186">
        <f t="shared" si="82"/>
        <v>5.16E-2</v>
      </c>
    </row>
    <row r="128" spans="1:34">
      <c r="A128" s="199">
        <v>113</v>
      </c>
      <c r="B128" s="84" t="s">
        <v>172</v>
      </c>
      <c r="C128" s="85" t="s">
        <v>75</v>
      </c>
      <c r="D128" s="189">
        <v>3015571.3</v>
      </c>
      <c r="E128" s="96">
        <v>4105383689.9634995</v>
      </c>
      <c r="F128" s="91">
        <f t="shared" ref="F128:F135" si="88">(E128/$E$161)</f>
        <v>2.2192991482170845E-3</v>
      </c>
      <c r="G128" s="174">
        <v>110.79</v>
      </c>
      <c r="H128" s="96">
        <v>150828.95204999999</v>
      </c>
      <c r="I128" s="174">
        <v>111.32</v>
      </c>
      <c r="J128" s="96">
        <v>151101.23105</v>
      </c>
      <c r="K128" s="92">
        <v>84</v>
      </c>
      <c r="L128" s="93">
        <v>3.0000000000000001E-3</v>
      </c>
      <c r="M128" s="93">
        <v>3.4299999999999997E-2</v>
      </c>
      <c r="N128" s="174">
        <v>2952897.69</v>
      </c>
      <c r="O128" s="96">
        <f>2952897.69*C269</f>
        <v>4048538191.2896786</v>
      </c>
      <c r="P128" s="91">
        <f t="shared" si="77"/>
        <v>2.2063905636619564E-3</v>
      </c>
      <c r="Q128" s="174">
        <v>110.72</v>
      </c>
      <c r="R128" s="96">
        <f>110.72*C269</f>
        <v>151801.44915199999</v>
      </c>
      <c r="S128" s="96">
        <v>111.02</v>
      </c>
      <c r="T128" s="96">
        <f>111.02*C269</f>
        <v>152212.760882</v>
      </c>
      <c r="U128" s="92">
        <v>84</v>
      </c>
      <c r="V128" s="93">
        <v>-1.6999999999999999E-3</v>
      </c>
      <c r="W128" s="93">
        <v>3.2599999999999997E-2</v>
      </c>
      <c r="X128" s="185">
        <f t="shared" si="78"/>
        <v>-1.3846573905574798E-2</v>
      </c>
      <c r="Y128" s="185">
        <f t="shared" si="87"/>
        <v>7.3561930917173703E-3</v>
      </c>
      <c r="Z128" s="185">
        <f t="shared" si="87"/>
        <v>0</v>
      </c>
      <c r="AA128" s="185">
        <f t="shared" si="81"/>
        <v>-4.7000000000000002E-3</v>
      </c>
      <c r="AB128" s="186">
        <f t="shared" si="82"/>
        <v>-1.7000000000000001E-3</v>
      </c>
    </row>
    <row r="129" spans="1:111">
      <c r="A129" s="199">
        <v>114</v>
      </c>
      <c r="B129" s="84" t="s">
        <v>173</v>
      </c>
      <c r="C129" s="85" t="s">
        <v>78</v>
      </c>
      <c r="D129" s="189">
        <v>3619981.86</v>
      </c>
      <c r="E129" s="96">
        <v>4937655257.04</v>
      </c>
      <c r="F129" s="91">
        <f t="shared" si="88"/>
        <v>2.6692107081070196E-3</v>
      </c>
      <c r="G129" s="174">
        <v>114.13733000000001</v>
      </c>
      <c r="H129" s="96">
        <f>G129*1364</f>
        <v>155683.31812000001</v>
      </c>
      <c r="I129" s="174">
        <v>114.13733000000001</v>
      </c>
      <c r="J129" s="96">
        <f>I129*1364</f>
        <v>155683.31812000001</v>
      </c>
      <c r="K129" s="92">
        <v>61</v>
      </c>
      <c r="L129" s="93">
        <v>6.5799999999999997E-2</v>
      </c>
      <c r="M129" s="93">
        <v>6.1400000000000003E-2</v>
      </c>
      <c r="N129" s="174">
        <v>3399547.1</v>
      </c>
      <c r="O129" s="96">
        <v>4664178621.1999998</v>
      </c>
      <c r="P129" s="91">
        <f t="shared" si="77"/>
        <v>2.5419050558026903E-3</v>
      </c>
      <c r="Q129" s="174">
        <v>114.27</v>
      </c>
      <c r="R129" s="96">
        <f>Q129*1372</f>
        <v>156778.44</v>
      </c>
      <c r="S129" s="174">
        <v>114.27</v>
      </c>
      <c r="T129" s="96">
        <f>S129*1372</f>
        <v>156778.44</v>
      </c>
      <c r="U129" s="92">
        <v>60</v>
      </c>
      <c r="V129" s="93">
        <v>6.5799999999999997E-2</v>
      </c>
      <c r="W129" s="93">
        <v>6.13E-2</v>
      </c>
      <c r="X129" s="185">
        <f t="shared" si="78"/>
        <v>-5.538593150060106E-2</v>
      </c>
      <c r="Y129" s="185">
        <f t="shared" si="79"/>
        <v>7.0342917483032863E-3</v>
      </c>
      <c r="Z129" s="185">
        <f t="shared" si="80"/>
        <v>-1.6393442622950821E-2</v>
      </c>
      <c r="AA129" s="185">
        <f t="shared" si="81"/>
        <v>0</v>
      </c>
      <c r="AB129" s="186">
        <f t="shared" si="82"/>
        <v>-1.0000000000000286E-4</v>
      </c>
      <c r="AD129" s="24"/>
    </row>
    <row r="130" spans="1:111">
      <c r="A130" s="199">
        <v>115</v>
      </c>
      <c r="B130" s="84" t="s">
        <v>324</v>
      </c>
      <c r="C130" s="85" t="s">
        <v>79</v>
      </c>
      <c r="D130" s="189">
        <v>38504378.170000002</v>
      </c>
      <c r="E130" s="96">
        <v>52354402991.379997</v>
      </c>
      <c r="F130" s="91">
        <f t="shared" si="88"/>
        <v>2.8301881319457538E-2</v>
      </c>
      <c r="G130" s="174">
        <v>131.19</v>
      </c>
      <c r="H130" s="96">
        <v>178379.04</v>
      </c>
      <c r="I130" s="174">
        <v>131.22</v>
      </c>
      <c r="J130" s="96">
        <v>178419.83</v>
      </c>
      <c r="K130" s="92">
        <v>2616</v>
      </c>
      <c r="L130" s="93">
        <v>1.2999999999999999E-3</v>
      </c>
      <c r="M130" s="93">
        <v>2.58E-2</v>
      </c>
      <c r="N130" s="174">
        <v>38531990.009999998</v>
      </c>
      <c r="O130" s="95">
        <v>52863193058.470001</v>
      </c>
      <c r="P130" s="91">
        <f t="shared" si="77"/>
        <v>2.8809620860237778E-2</v>
      </c>
      <c r="Q130" s="174">
        <v>131.34</v>
      </c>
      <c r="R130" s="96">
        <v>180189.29</v>
      </c>
      <c r="S130" s="96">
        <v>131.37</v>
      </c>
      <c r="T130" s="96">
        <v>180230.44</v>
      </c>
      <c r="U130" s="92">
        <v>2618</v>
      </c>
      <c r="V130" s="93">
        <v>1.1000000000000001E-3</v>
      </c>
      <c r="W130" s="93">
        <v>2.7E-2</v>
      </c>
      <c r="X130" s="185">
        <f t="shared" si="78"/>
        <v>9.7181906013477943E-3</v>
      </c>
      <c r="Y130" s="185">
        <f t="shared" si="79"/>
        <v>1.0148031191376066E-2</v>
      </c>
      <c r="Z130" s="185">
        <f t="shared" si="80"/>
        <v>7.6452599388379206E-4</v>
      </c>
      <c r="AA130" s="185">
        <f t="shared" si="81"/>
        <v>-1.9999999999999987E-4</v>
      </c>
      <c r="AB130" s="186">
        <f t="shared" si="82"/>
        <v>1.1999999999999997E-3</v>
      </c>
      <c r="DG130" s="200" t="s">
        <v>345</v>
      </c>
    </row>
    <row r="131" spans="1:111">
      <c r="A131" s="199">
        <v>116</v>
      </c>
      <c r="B131" s="202" t="s">
        <v>325</v>
      </c>
      <c r="C131" s="85" t="s">
        <v>79</v>
      </c>
      <c r="D131" s="189">
        <v>116265228.73</v>
      </c>
      <c r="E131" s="96">
        <v>158085831499.62</v>
      </c>
      <c r="F131" s="91">
        <f t="shared" si="88"/>
        <v>8.5458455941645611E-2</v>
      </c>
      <c r="G131" s="174">
        <v>128.03</v>
      </c>
      <c r="H131" s="96">
        <v>174082.39</v>
      </c>
      <c r="I131" s="174">
        <v>128.08000000000001</v>
      </c>
      <c r="J131" s="96">
        <v>174150.38</v>
      </c>
      <c r="K131" s="92">
        <v>1044</v>
      </c>
      <c r="L131" s="93">
        <v>1.2999999999999999E-3</v>
      </c>
      <c r="M131" s="93">
        <v>2.69E-2</v>
      </c>
      <c r="N131" s="174">
        <v>117210587.05</v>
      </c>
      <c r="O131" s="95">
        <v>160804720690.25</v>
      </c>
      <c r="P131" s="91">
        <f t="shared" si="77"/>
        <v>8.7636080372565719E-2</v>
      </c>
      <c r="Q131" s="174">
        <v>128.18</v>
      </c>
      <c r="R131" s="96">
        <v>175853.99</v>
      </c>
      <c r="S131" s="96">
        <v>128.22999999999999</v>
      </c>
      <c r="T131" s="96">
        <v>175922.58</v>
      </c>
      <c r="U131" s="92">
        <v>1050</v>
      </c>
      <c r="V131" s="93">
        <v>1.1999999999999999E-3</v>
      </c>
      <c r="W131" s="93">
        <v>2.81E-2</v>
      </c>
      <c r="X131" s="185">
        <f t="shared" si="78"/>
        <v>1.7198816395108379E-2</v>
      </c>
      <c r="Y131" s="185">
        <f t="shared" si="79"/>
        <v>1.0176262607063977E-2</v>
      </c>
      <c r="Z131" s="185">
        <f t="shared" si="80"/>
        <v>5.7471264367816091E-3</v>
      </c>
      <c r="AA131" s="185">
        <f t="shared" si="81"/>
        <v>-1.0000000000000005E-4</v>
      </c>
      <c r="AB131" s="186">
        <f t="shared" si="82"/>
        <v>1.1999999999999997E-3</v>
      </c>
      <c r="AD131" s="23"/>
    </row>
    <row r="132" spans="1:111">
      <c r="A132" s="199">
        <v>117</v>
      </c>
      <c r="B132" s="84" t="s">
        <v>174</v>
      </c>
      <c r="C132" s="85" t="s">
        <v>83</v>
      </c>
      <c r="D132" s="189">
        <v>1410816.96</v>
      </c>
      <c r="E132" s="96">
        <v>1920679155.2591999</v>
      </c>
      <c r="F132" s="91">
        <f t="shared" si="88"/>
        <v>1.038285805949346E-3</v>
      </c>
      <c r="G132" s="174">
        <v>1</v>
      </c>
      <c r="H132" s="96">
        <v>1361.395</v>
      </c>
      <c r="I132" s="174">
        <v>1</v>
      </c>
      <c r="J132" s="96">
        <v>1361.395</v>
      </c>
      <c r="K132" s="92">
        <v>15</v>
      </c>
      <c r="L132" s="93">
        <v>9.0348139999999993E-2</v>
      </c>
      <c r="M132" s="93">
        <v>8.4602949999999996E-2</v>
      </c>
      <c r="N132" s="174">
        <v>1418310.93</v>
      </c>
      <c r="O132" s="96">
        <f>1418310.93*C269</f>
        <v>1944559740.9873629</v>
      </c>
      <c r="P132" s="91">
        <f t="shared" si="77"/>
        <v>1.0597549190031754E-3</v>
      </c>
      <c r="Q132" s="174">
        <v>1</v>
      </c>
      <c r="R132" s="96">
        <f>1*C269</f>
        <v>1371.0391</v>
      </c>
      <c r="S132" s="96">
        <v>1</v>
      </c>
      <c r="T132" s="96">
        <f>1*C269</f>
        <v>1371.0391</v>
      </c>
      <c r="U132" s="92">
        <v>16</v>
      </c>
      <c r="V132" s="93">
        <v>9.01E-2</v>
      </c>
      <c r="W132" s="93">
        <v>8.4699999999999998E-2</v>
      </c>
      <c r="X132" s="185">
        <f t="shared" ref="X132" si="89">((O132-E132)/E132)</f>
        <v>1.2433407038741079E-2</v>
      </c>
      <c r="Y132" s="185">
        <f t="shared" ref="Y132" si="90">((T132-J132)/J132)</f>
        <v>7.0839837078878511E-3</v>
      </c>
      <c r="Z132" s="185">
        <f t="shared" si="80"/>
        <v>6.6666666666666666E-2</v>
      </c>
      <c r="AA132" s="185">
        <f t="shared" si="81"/>
        <v>-2.4813999999999392E-4</v>
      </c>
      <c r="AB132" s="186">
        <f t="shared" si="82"/>
        <v>9.7050000000001302E-5</v>
      </c>
    </row>
    <row r="133" spans="1:111">
      <c r="A133" s="199">
        <v>118</v>
      </c>
      <c r="B133" s="84" t="s">
        <v>175</v>
      </c>
      <c r="C133" s="85" t="s">
        <v>33</v>
      </c>
      <c r="D133" s="189">
        <v>199749.14939999999</v>
      </c>
      <c r="E133" s="96">
        <v>271937493.24741298</v>
      </c>
      <c r="F133" s="91">
        <f t="shared" si="88"/>
        <v>1.4700468767576719E-4</v>
      </c>
      <c r="G133" s="174">
        <v>145.03550000000001</v>
      </c>
      <c r="H133" s="96">
        <v>197450.60452250001</v>
      </c>
      <c r="I133" s="174">
        <v>145.03550000000001</v>
      </c>
      <c r="J133" s="96">
        <v>197450.60452250001</v>
      </c>
      <c r="K133" s="92">
        <v>11</v>
      </c>
      <c r="L133" s="93">
        <v>1.9E-3</v>
      </c>
      <c r="M133" s="93">
        <v>7.2099999999999997E-2</v>
      </c>
      <c r="N133" s="174">
        <v>212479.20509999999</v>
      </c>
      <c r="O133" s="96">
        <f>212479.2051*C269</f>
        <v>291317298.12901938</v>
      </c>
      <c r="P133" s="91">
        <f t="shared" si="77"/>
        <v>1.5876341218819316E-4</v>
      </c>
      <c r="Q133" s="174">
        <v>145.56819999999999</v>
      </c>
      <c r="R133" s="96">
        <f>145.5682*C269</f>
        <v>199579.69391661999</v>
      </c>
      <c r="S133" s="174">
        <v>145.56819999999999</v>
      </c>
      <c r="T133" s="96">
        <f>145.5682*C269</f>
        <v>199579.69391661999</v>
      </c>
      <c r="U133" s="92">
        <v>11</v>
      </c>
      <c r="V133" s="93">
        <v>1.8E-3</v>
      </c>
      <c r="W133" s="93">
        <v>7.6100000000000001E-2</v>
      </c>
      <c r="X133" s="185">
        <f t="shared" si="78"/>
        <v>7.1265659803572398E-2</v>
      </c>
      <c r="Y133" s="185">
        <f t="shared" si="79"/>
        <v>1.0782896305984013E-2</v>
      </c>
      <c r="Z133" s="185">
        <f t="shared" si="80"/>
        <v>0</v>
      </c>
      <c r="AA133" s="185">
        <f t="shared" si="81"/>
        <v>-1.0000000000000005E-4</v>
      </c>
      <c r="AB133" s="186">
        <f t="shared" si="82"/>
        <v>4.0000000000000036E-3</v>
      </c>
    </row>
    <row r="134" spans="1:111">
      <c r="A134" s="199">
        <v>119</v>
      </c>
      <c r="B134" s="84" t="s">
        <v>320</v>
      </c>
      <c r="C134" s="85" t="s">
        <v>38</v>
      </c>
      <c r="D134" s="189">
        <v>10830960.99</v>
      </c>
      <c r="E134" s="96">
        <v>14745216136.98105</v>
      </c>
      <c r="F134" s="91">
        <f t="shared" si="88"/>
        <v>7.9710078483236253E-3</v>
      </c>
      <c r="G134" s="174">
        <v>1.52</v>
      </c>
      <c r="H134" s="96">
        <v>2069.3204000000001</v>
      </c>
      <c r="I134" s="174">
        <v>1.52</v>
      </c>
      <c r="J134" s="96">
        <v>2069.3204000000001</v>
      </c>
      <c r="K134" s="110">
        <v>120</v>
      </c>
      <c r="L134" s="111">
        <v>3.5000000000000001E-3</v>
      </c>
      <c r="M134" s="111">
        <v>7.2300000000000003E-2</v>
      </c>
      <c r="N134" s="175">
        <v>8424401.9299999997</v>
      </c>
      <c r="O134" s="96">
        <f>8424401.93*C269</f>
        <v>11550184440.145462</v>
      </c>
      <c r="P134" s="91">
        <f t="shared" si="77"/>
        <v>6.2946714970160628E-3</v>
      </c>
      <c r="Q134" s="174">
        <v>1.52</v>
      </c>
      <c r="R134" s="96">
        <f>1.52*C269</f>
        <v>2083.9794320000001</v>
      </c>
      <c r="S134" s="96">
        <v>1.53</v>
      </c>
      <c r="T134" s="96">
        <f>1.53*C269</f>
        <v>2097.6898230000002</v>
      </c>
      <c r="U134" s="110">
        <v>118</v>
      </c>
      <c r="V134" s="111">
        <v>2E-3</v>
      </c>
      <c r="W134" s="111">
        <v>7.5899999999999995E-2</v>
      </c>
      <c r="X134" s="185">
        <f t="shared" si="78"/>
        <v>-0.21668259502974924</v>
      </c>
      <c r="Y134" s="185">
        <f t="shared" si="79"/>
        <v>1.370953623228191E-2</v>
      </c>
      <c r="Z134" s="185">
        <f t="shared" si="80"/>
        <v>-1.6666666666666666E-2</v>
      </c>
      <c r="AA134" s="185">
        <f t="shared" si="81"/>
        <v>-1.5E-3</v>
      </c>
      <c r="AB134" s="186">
        <f t="shared" si="82"/>
        <v>3.5999999999999921E-3</v>
      </c>
    </row>
    <row r="135" spans="1:111">
      <c r="A135" s="199">
        <v>120</v>
      </c>
      <c r="B135" s="84" t="s">
        <v>315</v>
      </c>
      <c r="C135" s="85" t="s">
        <v>313</v>
      </c>
      <c r="D135" s="189">
        <v>28102.52</v>
      </c>
      <c r="E135" s="96">
        <v>38258630.215400003</v>
      </c>
      <c r="F135" s="91">
        <f t="shared" si="88"/>
        <v>2.068195127694497E-5</v>
      </c>
      <c r="G135" s="174">
        <v>1.0036609999999999</v>
      </c>
      <c r="H135" s="90">
        <v>1366.3790670949998</v>
      </c>
      <c r="I135" s="174">
        <v>1.0046299999999999</v>
      </c>
      <c r="J135" s="90">
        <v>1367.6982588499998</v>
      </c>
      <c r="K135" s="92">
        <v>2</v>
      </c>
      <c r="L135" s="93">
        <v>0.12059781124205737</v>
      </c>
      <c r="M135" s="93">
        <v>0</v>
      </c>
      <c r="N135" s="174">
        <v>28129.59</v>
      </c>
      <c r="O135" s="96">
        <f>28129.59*C269</f>
        <v>38566767.756968997</v>
      </c>
      <c r="P135" s="91">
        <f t="shared" si="77"/>
        <v>2.1018290659328509E-5</v>
      </c>
      <c r="Q135" s="174">
        <v>1.0036609999999999</v>
      </c>
      <c r="R135" s="90">
        <f>1.003661*C269</f>
        <v>1376.0584741450998</v>
      </c>
      <c r="S135" s="90">
        <v>1.01</v>
      </c>
      <c r="T135" s="90">
        <f>1.01*C269</f>
        <v>1384.749491</v>
      </c>
      <c r="U135" s="92">
        <v>2</v>
      </c>
      <c r="V135" s="93">
        <v>9.6299999999999999E-4</v>
      </c>
      <c r="W135" s="93">
        <v>0</v>
      </c>
      <c r="X135" s="185">
        <f>((O135-E135)/E135)</f>
        <v>8.0540662285646051E-3</v>
      </c>
      <c r="Y135" s="185">
        <f>((T135-J135)/J135)</f>
        <v>1.2467100867948337E-2</v>
      </c>
      <c r="Z135" s="185">
        <f>((U135-K135)/K135)</f>
        <v>0</v>
      </c>
      <c r="AA135" s="185">
        <f>V135-L135</f>
        <v>-0.11963481124205737</v>
      </c>
      <c r="AB135" s="186">
        <f>W135-M135</f>
        <v>0</v>
      </c>
    </row>
    <row r="136" spans="1:111">
      <c r="A136" s="199">
        <v>121</v>
      </c>
      <c r="B136" s="84" t="s">
        <v>176</v>
      </c>
      <c r="C136" s="85" t="s">
        <v>98</v>
      </c>
      <c r="D136" s="189">
        <v>31014476</v>
      </c>
      <c r="E136" s="96">
        <v>42222952554.019997</v>
      </c>
      <c r="F136" s="91">
        <f>(E136/$E$161)</f>
        <v>2.282499510762661E-2</v>
      </c>
      <c r="G136" s="174">
        <v>107.55</v>
      </c>
      <c r="H136" s="96">
        <v>146418.03224999999</v>
      </c>
      <c r="I136" s="174">
        <v>107.55</v>
      </c>
      <c r="J136" s="96">
        <v>146418.03224999999</v>
      </c>
      <c r="K136" s="92">
        <v>923</v>
      </c>
      <c r="L136" s="111">
        <v>9.4000000000000004E-3</v>
      </c>
      <c r="M136" s="93">
        <v>0.14099999999999999</v>
      </c>
      <c r="N136" s="174">
        <v>30923236</v>
      </c>
      <c r="O136" s="96">
        <f>30923236*C269</f>
        <v>42396965654.527596</v>
      </c>
      <c r="P136" s="91">
        <f t="shared" si="77"/>
        <v>2.3105689147087143E-2</v>
      </c>
      <c r="Q136" s="174">
        <v>107.27</v>
      </c>
      <c r="R136" s="96">
        <f>107.27*C269</f>
        <v>147071.36425699998</v>
      </c>
      <c r="S136" s="174">
        <v>107.27</v>
      </c>
      <c r="T136" s="96">
        <f>107.27*C269</f>
        <v>147071.36425699998</v>
      </c>
      <c r="U136" s="92">
        <v>931</v>
      </c>
      <c r="V136" s="111">
        <v>-2.5999999999999999E-3</v>
      </c>
      <c r="W136" s="93">
        <v>0.1263</v>
      </c>
      <c r="X136" s="185">
        <f t="shared" si="78"/>
        <v>4.1212916194092947E-3</v>
      </c>
      <c r="Y136" s="185">
        <f t="shared" si="79"/>
        <v>4.4621007191550342E-3</v>
      </c>
      <c r="Z136" s="185">
        <f t="shared" si="80"/>
        <v>8.6673889490790895E-3</v>
      </c>
      <c r="AA136" s="185">
        <f t="shared" si="81"/>
        <v>-1.2E-2</v>
      </c>
      <c r="AB136" s="186">
        <f t="shared" si="82"/>
        <v>-1.4699999999999991E-2</v>
      </c>
    </row>
    <row r="137" spans="1:111">
      <c r="A137" s="199">
        <v>122</v>
      </c>
      <c r="B137" s="84" t="s">
        <v>177</v>
      </c>
      <c r="C137" s="85" t="s">
        <v>42</v>
      </c>
      <c r="D137" s="189">
        <v>2047650.59</v>
      </c>
      <c r="E137" s="96">
        <v>2787661274.9730501</v>
      </c>
      <c r="F137" s="91">
        <f>(E137/$E$161)</f>
        <v>1.5069612879765805E-3</v>
      </c>
      <c r="G137" s="174">
        <v>162.42550800000001</v>
      </c>
      <c r="H137" s="96">
        <v>221125.27446366</v>
      </c>
      <c r="I137" s="174">
        <v>168.58320499999999</v>
      </c>
      <c r="J137" s="96">
        <v>229508.332370975</v>
      </c>
      <c r="K137" s="92">
        <v>54</v>
      </c>
      <c r="L137" s="93">
        <v>3.0999999999999999E-3</v>
      </c>
      <c r="M137" s="93">
        <v>-2.3900000000000001E-2</v>
      </c>
      <c r="N137" s="174">
        <v>2039109.67</v>
      </c>
      <c r="O137" s="96">
        <f>2039109.67*C269</f>
        <v>2795699086.7580967</v>
      </c>
      <c r="P137" s="91">
        <f t="shared" si="77"/>
        <v>1.5236126701564949E-3</v>
      </c>
      <c r="Q137" s="174">
        <v>161.76</v>
      </c>
      <c r="R137" s="96">
        <f>161.76*C269</f>
        <v>221779.28481599997</v>
      </c>
      <c r="S137" s="96">
        <v>167.92</v>
      </c>
      <c r="T137" s="96">
        <f>167.92*C269</f>
        <v>230224.88567199997</v>
      </c>
      <c r="U137" s="92">
        <v>53</v>
      </c>
      <c r="V137" s="93">
        <v>5.7000000000000002E-3</v>
      </c>
      <c r="W137" s="93">
        <v>-2.86E-2</v>
      </c>
      <c r="X137" s="185">
        <f t="shared" ref="X137:X138" si="91">((O137-E137)/E137)</f>
        <v>2.8833531021893195E-3</v>
      </c>
      <c r="Y137" s="185">
        <f t="shared" ref="Y137:Y138" si="92">((T137-J137)/J137)</f>
        <v>3.1221232520078994E-3</v>
      </c>
      <c r="Z137" s="185">
        <f t="shared" ref="Z137:Z138" si="93">((U137-K137)/K137)</f>
        <v>-1.8518518518518517E-2</v>
      </c>
      <c r="AA137" s="185">
        <f t="shared" ref="AA137:AA138" si="94">V137-L137</f>
        <v>2.6000000000000003E-3</v>
      </c>
      <c r="AB137" s="186">
        <f t="shared" ref="AB137:AB138" si="95">W137-M137</f>
        <v>-4.6999999999999993E-3</v>
      </c>
    </row>
    <row r="138" spans="1:111" ht="15" customHeight="1">
      <c r="A138" s="199">
        <v>123</v>
      </c>
      <c r="B138" s="84" t="s">
        <v>178</v>
      </c>
      <c r="C138" s="85" t="s">
        <v>49</v>
      </c>
      <c r="D138" s="189">
        <v>113470214.70999999</v>
      </c>
      <c r="E138" s="90">
        <v>154285450941.18698</v>
      </c>
      <c r="F138" s="91">
        <f>(E138/$E$161)</f>
        <v>8.3404036191099443E-2</v>
      </c>
      <c r="G138" s="174">
        <v>127.35</v>
      </c>
      <c r="H138" s="96">
        <v>173157.79499999998</v>
      </c>
      <c r="I138" s="174">
        <v>127.35</v>
      </c>
      <c r="J138" s="96">
        <v>173157.79499999998</v>
      </c>
      <c r="K138" s="92">
        <v>4403</v>
      </c>
      <c r="L138" s="93">
        <v>7.1999999999999995E-2</v>
      </c>
      <c r="M138" s="93">
        <v>5.9999999999999995E-4</v>
      </c>
      <c r="N138" s="174">
        <v>112571194.38</v>
      </c>
      <c r="O138" s="90">
        <f>112571194.38*1371.93</f>
        <v>154439798705.75339</v>
      </c>
      <c r="P138" s="91">
        <f t="shared" si="77"/>
        <v>8.4167296544552919E-2</v>
      </c>
      <c r="Q138" s="174">
        <v>127.49509999999999</v>
      </c>
      <c r="R138" s="96">
        <f>127.4951*1371.93</f>
        <v>174914.35254299999</v>
      </c>
      <c r="S138" s="174">
        <v>127.49509999999999</v>
      </c>
      <c r="T138" s="96">
        <f>127.4951*1371.93</f>
        <v>174914.35254299999</v>
      </c>
      <c r="U138" s="92">
        <v>4413</v>
      </c>
      <c r="V138" s="93">
        <v>5.9799999999999999E-2</v>
      </c>
      <c r="W138" s="93">
        <v>6.0100000000000001E-2</v>
      </c>
      <c r="X138" s="185">
        <f t="shared" si="91"/>
        <v>1.0004038852972795E-3</v>
      </c>
      <c r="Y138" s="185">
        <f t="shared" si="92"/>
        <v>1.0144259130811887E-2</v>
      </c>
      <c r="Z138" s="185">
        <f t="shared" si="93"/>
        <v>2.2711787417669773E-3</v>
      </c>
      <c r="AA138" s="185">
        <f t="shared" si="94"/>
        <v>-1.2199999999999996E-2</v>
      </c>
      <c r="AB138" s="186">
        <f t="shared" si="95"/>
        <v>5.9499999999999997E-2</v>
      </c>
    </row>
    <row r="139" spans="1:111" ht="4.8" customHeight="1">
      <c r="B139" s="209"/>
      <c r="C139" s="209"/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</row>
    <row r="140" spans="1:111">
      <c r="A140" s="195"/>
      <c r="B140" s="212" t="s">
        <v>334</v>
      </c>
      <c r="C140" s="212"/>
      <c r="D140" s="212"/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  <c r="O140" s="212"/>
      <c r="P140" s="212"/>
      <c r="Q140" s="212"/>
      <c r="R140" s="212"/>
      <c r="S140" s="212"/>
      <c r="T140" s="212"/>
      <c r="U140" s="212"/>
      <c r="V140" s="212"/>
      <c r="W140" s="212"/>
      <c r="X140" s="212"/>
      <c r="Y140" s="212"/>
      <c r="Z140" s="212"/>
      <c r="AA140" s="212"/>
      <c r="AB140" s="212"/>
      <c r="AC140" s="28">
        <v>1374.9431</v>
      </c>
      <c r="AE140" s="32"/>
    </row>
    <row r="141" spans="1:111">
      <c r="A141" s="199">
        <v>124</v>
      </c>
      <c r="B141" s="84" t="s">
        <v>310</v>
      </c>
      <c r="C141" s="85" t="s">
        <v>311</v>
      </c>
      <c r="D141" s="189">
        <v>337374.81</v>
      </c>
      <c r="E141" s="90">
        <v>459300379.45994997</v>
      </c>
      <c r="F141" s="91">
        <f>(E141/$E$161)</f>
        <v>2.4828981110905943E-4</v>
      </c>
      <c r="G141" s="174">
        <v>1.0087999999999999</v>
      </c>
      <c r="H141" s="96">
        <v>1373.3752759999998</v>
      </c>
      <c r="I141" s="174">
        <v>1.0087999999999999</v>
      </c>
      <c r="J141" s="96">
        <v>1373.3752759999998</v>
      </c>
      <c r="K141" s="92">
        <v>37</v>
      </c>
      <c r="L141" s="93">
        <v>8.0100000000000005E-2</v>
      </c>
      <c r="M141" s="93">
        <v>7.1800000000000003E-2</v>
      </c>
      <c r="N141" s="174">
        <v>338185.43</v>
      </c>
      <c r="O141" s="90">
        <f>338185.43*C269</f>
        <v>463665447.58031297</v>
      </c>
      <c r="P141" s="91">
        <f>(O141/$O$161)</f>
        <v>2.5269048231737454E-4</v>
      </c>
      <c r="Q141" s="174">
        <v>1.0087999999999999</v>
      </c>
      <c r="R141" s="96">
        <f>1.01*C269</f>
        <v>1384.749491</v>
      </c>
      <c r="S141" s="96">
        <v>1.0087999999999999</v>
      </c>
      <c r="T141" s="96">
        <f>1.01*C269</f>
        <v>1384.749491</v>
      </c>
      <c r="U141" s="92">
        <v>35</v>
      </c>
      <c r="V141" s="93">
        <v>8.2199999999999995E-2</v>
      </c>
      <c r="W141" s="93">
        <v>7.2300000000000003E-2</v>
      </c>
      <c r="X141" s="185">
        <f>((O141-E141)/E141)</f>
        <v>9.5037328849923615E-3</v>
      </c>
      <c r="Y141" s="185">
        <f>((T141-J141)/J141)</f>
        <v>8.2819424513946756E-3</v>
      </c>
      <c r="Z141" s="185">
        <f>((U141-K141)/K141)</f>
        <v>-5.4054054054054057E-2</v>
      </c>
      <c r="AA141" s="185">
        <f>V141-L141</f>
        <v>2.0999999999999908E-3</v>
      </c>
      <c r="AB141" s="186">
        <f>W141-M141</f>
        <v>5.0000000000000044E-4</v>
      </c>
      <c r="AC141" s="28"/>
      <c r="AE141" s="32"/>
    </row>
    <row r="142" spans="1:111">
      <c r="A142" s="199">
        <v>125</v>
      </c>
      <c r="B142" s="84" t="s">
        <v>179</v>
      </c>
      <c r="C142" s="85" t="s">
        <v>60</v>
      </c>
      <c r="D142" s="189">
        <v>1185567.69</v>
      </c>
      <c r="E142" s="90">
        <v>1614025925.3275499</v>
      </c>
      <c r="F142" s="91">
        <f>(E142/$E$161)</f>
        <v>8.7251439373053354E-4</v>
      </c>
      <c r="G142" s="174">
        <v>119.15</v>
      </c>
      <c r="H142" s="96">
        <v>162210.21425000002</v>
      </c>
      <c r="I142" s="174">
        <v>119.15</v>
      </c>
      <c r="J142" s="96">
        <v>162210.21425000002</v>
      </c>
      <c r="K142" s="92">
        <v>76</v>
      </c>
      <c r="L142" s="93">
        <v>4.4000000000000003E-3</v>
      </c>
      <c r="M142" s="93">
        <v>8.6099999999999996E-2</v>
      </c>
      <c r="N142" s="174">
        <v>1180744.3799999999</v>
      </c>
      <c r="O142" s="90">
        <f>1180744.38*C269</f>
        <v>1618846712.0852578</v>
      </c>
      <c r="P142" s="91">
        <f>(O142/$O$161)</f>
        <v>8.8224636666260083E-4</v>
      </c>
      <c r="Q142" s="174">
        <v>118.67</v>
      </c>
      <c r="R142" s="96">
        <f>118.67*C269</f>
        <v>162701.209997</v>
      </c>
      <c r="S142" s="96">
        <v>118.67</v>
      </c>
      <c r="T142" s="96">
        <f>118.67*C269</f>
        <v>162701.209997</v>
      </c>
      <c r="U142" s="92">
        <v>76</v>
      </c>
      <c r="V142" s="93">
        <v>4.4000000000000003E-3</v>
      </c>
      <c r="W142" s="93">
        <v>7.0300000000000001E-2</v>
      </c>
      <c r="X142" s="185">
        <f>((O142-E142)/E142)</f>
        <v>2.9868087507513271E-3</v>
      </c>
      <c r="Y142" s="185">
        <f>((T142-J142)/J142)</f>
        <v>3.0269101688211288E-3</v>
      </c>
      <c r="Z142" s="185">
        <f>((U142-K142)/K142)</f>
        <v>0</v>
      </c>
      <c r="AA142" s="185">
        <f>V142-L142</f>
        <v>0</v>
      </c>
      <c r="AB142" s="186">
        <f>W142-M142</f>
        <v>-1.5799999999999995E-2</v>
      </c>
    </row>
    <row r="143" spans="1:111">
      <c r="A143" s="199">
        <v>126</v>
      </c>
      <c r="B143" s="85" t="s">
        <v>180</v>
      </c>
      <c r="C143" s="85" t="s">
        <v>25</v>
      </c>
      <c r="D143" s="189">
        <v>19861670.940000001</v>
      </c>
      <c r="E143" s="96">
        <v>27039579509.361301</v>
      </c>
      <c r="F143" s="91">
        <f>(E143/$E$161)</f>
        <v>1.4617127241962421E-2</v>
      </c>
      <c r="G143" s="174">
        <v>138.03</v>
      </c>
      <c r="H143" s="90">
        <v>187913.35185000001</v>
      </c>
      <c r="I143" s="174">
        <v>138.03</v>
      </c>
      <c r="J143" s="90">
        <v>187913.35185000001</v>
      </c>
      <c r="K143" s="92">
        <v>682</v>
      </c>
      <c r="L143" s="93">
        <v>5.0000000000000001E-4</v>
      </c>
      <c r="M143" s="93">
        <v>1.7790463774613352E-2</v>
      </c>
      <c r="N143" s="174">
        <v>20302460.399999999</v>
      </c>
      <c r="O143" s="96">
        <f>20302460.4*C269</f>
        <v>27835467034.601639</v>
      </c>
      <c r="P143" s="91">
        <f>(O143/$O$161)</f>
        <v>1.5169898096158065E-2</v>
      </c>
      <c r="Q143" s="174">
        <v>138.16999999999999</v>
      </c>
      <c r="R143" s="90">
        <f>138.17*C269</f>
        <v>189436.47244699998</v>
      </c>
      <c r="S143" s="90">
        <v>138.16999999999999</v>
      </c>
      <c r="T143" s="90">
        <f>138.17*C269</f>
        <v>189436.47244699998</v>
      </c>
      <c r="U143" s="92">
        <v>683</v>
      </c>
      <c r="V143" s="93">
        <v>5.0000000000000001E-4</v>
      </c>
      <c r="W143" s="93">
        <v>1.8800000000000001E-2</v>
      </c>
      <c r="X143" s="185">
        <f t="shared" ref="X143:X161" si="96">((O143-E143)/E143)</f>
        <v>2.9434167974572063E-2</v>
      </c>
      <c r="Y143" s="185">
        <f t="shared" ref="Y143:Y161" si="97">((T143-J143)/J143)</f>
        <v>8.1054410557041632E-3</v>
      </c>
      <c r="Z143" s="185">
        <f t="shared" ref="Z143:Z161" si="98">((U143-K143)/K143)</f>
        <v>1.4662756598240469E-3</v>
      </c>
      <c r="AA143" s="185">
        <f t="shared" ref="AA143:AA161" si="99">V143-L143</f>
        <v>0</v>
      </c>
      <c r="AB143" s="186">
        <f t="shared" ref="AB143:AB161" si="100">W143-M143</f>
        <v>1.0095362253866487E-3</v>
      </c>
    </row>
    <row r="144" spans="1:111">
      <c r="A144" s="199">
        <v>127</v>
      </c>
      <c r="B144" s="85" t="s">
        <v>181</v>
      </c>
      <c r="C144" s="85" t="s">
        <v>130</v>
      </c>
      <c r="D144" s="189">
        <v>425825.56</v>
      </c>
      <c r="E144" s="96">
        <v>579716788.25619996</v>
      </c>
      <c r="F144" s="91">
        <f>(E144/$E$161)</f>
        <v>3.1338483112538682E-4</v>
      </c>
      <c r="G144" s="174">
        <v>103.54</v>
      </c>
      <c r="H144" s="90">
        <v>140958.8383</v>
      </c>
      <c r="I144" s="174">
        <v>103.54</v>
      </c>
      <c r="J144" s="90">
        <v>140958.8383</v>
      </c>
      <c r="K144" s="92">
        <v>18</v>
      </c>
      <c r="L144" s="93">
        <v>6.5200000000000002E-4</v>
      </c>
      <c r="M144" s="93">
        <v>6.3509999999999997E-2</v>
      </c>
      <c r="N144" s="174">
        <v>426005.71</v>
      </c>
      <c r="O144" s="96">
        <f>426005.71*C269</f>
        <v>584070485.23326099</v>
      </c>
      <c r="P144" s="91">
        <f>(O144/$O$161)</f>
        <v>3.1830936161222434E-4</v>
      </c>
      <c r="Q144" s="174">
        <v>105.05</v>
      </c>
      <c r="R144" s="90">
        <f>105.05*C269</f>
        <v>144027.65745499998</v>
      </c>
      <c r="S144" s="90">
        <v>105.05</v>
      </c>
      <c r="T144" s="90">
        <f>105.05*C269</f>
        <v>144027.65745499998</v>
      </c>
      <c r="U144" s="92">
        <v>17</v>
      </c>
      <c r="V144" s="93">
        <v>1.5800000000000002E-2</v>
      </c>
      <c r="W144" s="93">
        <v>6.6400000000000001E-2</v>
      </c>
      <c r="X144" s="185">
        <v>0</v>
      </c>
      <c r="Y144" s="185">
        <f t="shared" ref="Y144" si="101">((T144-J144)/J144)</f>
        <v>2.1771030408669133E-2</v>
      </c>
      <c r="Z144" s="185">
        <f t="shared" ref="Z144" si="102">((U144-K144)/K144)</f>
        <v>-5.5555555555555552E-2</v>
      </c>
      <c r="AA144" s="185">
        <f t="shared" ref="AA144" si="103">V144-L144</f>
        <v>1.5148000000000002E-2</v>
      </c>
      <c r="AB144" s="186">
        <f t="shared" ref="AB144" si="104">W144-M144</f>
        <v>2.8900000000000037E-3</v>
      </c>
    </row>
    <row r="145" spans="1:30">
      <c r="A145" s="199">
        <v>128</v>
      </c>
      <c r="B145" s="84" t="s">
        <v>182</v>
      </c>
      <c r="C145" s="85" t="s">
        <v>69</v>
      </c>
      <c r="D145" s="189">
        <v>12658750.26</v>
      </c>
      <c r="E145" s="90">
        <v>17215900353.599998</v>
      </c>
      <c r="F145" s="91">
        <f>(E145/$E$161)</f>
        <v>9.306616841670742E-3</v>
      </c>
      <c r="G145" s="174">
        <v>121.42</v>
      </c>
      <c r="H145" s="90">
        <v>165131.20000000001</v>
      </c>
      <c r="I145" s="174">
        <v>121.42</v>
      </c>
      <c r="J145" s="90">
        <v>165131.20000000001</v>
      </c>
      <c r="K145" s="92">
        <v>468</v>
      </c>
      <c r="L145" s="93">
        <v>1.4E-3</v>
      </c>
      <c r="M145" s="93">
        <v>6.6299999999999998E-2</v>
      </c>
      <c r="N145" s="174">
        <v>12724659.800000001</v>
      </c>
      <c r="O145" s="90">
        <v>17458233245.599998</v>
      </c>
      <c r="P145" s="91">
        <f t="shared" ref="P145:P146" si="105">(O145/$O$117)</f>
        <v>7.4619539690504139E-2</v>
      </c>
      <c r="Q145" s="174">
        <v>116.08</v>
      </c>
      <c r="R145" s="90">
        <v>159261.76000000001</v>
      </c>
      <c r="S145" s="174">
        <v>116.08</v>
      </c>
      <c r="T145" s="90">
        <v>159261.76000000001</v>
      </c>
      <c r="U145" s="92">
        <v>474</v>
      </c>
      <c r="V145" s="93">
        <v>1.2999999999999999E-3</v>
      </c>
      <c r="W145" s="93">
        <v>6.6299999999999998E-2</v>
      </c>
      <c r="X145" s="185">
        <f t="shared" si="96"/>
        <v>1.4076109121375463E-2</v>
      </c>
      <c r="Y145" s="185">
        <f t="shared" si="97"/>
        <v>-3.5544100690844627E-2</v>
      </c>
      <c r="Z145" s="185">
        <f t="shared" si="98"/>
        <v>1.282051282051282E-2</v>
      </c>
      <c r="AA145" s="185">
        <f t="shared" si="99"/>
        <v>-1.0000000000000005E-4</v>
      </c>
      <c r="AB145" s="186">
        <f t="shared" si="100"/>
        <v>0</v>
      </c>
    </row>
    <row r="146" spans="1:30">
      <c r="A146" s="199">
        <v>129</v>
      </c>
      <c r="B146" s="84" t="s">
        <v>183</v>
      </c>
      <c r="C146" s="85" t="s">
        <v>71</v>
      </c>
      <c r="D146" s="189">
        <v>113991.41</v>
      </c>
      <c r="E146" s="96">
        <v>155187335.61695001</v>
      </c>
      <c r="F146" s="91">
        <f t="shared" ref="F146" si="106">(E146/$E$117)</f>
        <v>6.6064264444659821E-4</v>
      </c>
      <c r="G146" s="174">
        <v>1.06</v>
      </c>
      <c r="H146" s="95">
        <v>1443.0787</v>
      </c>
      <c r="I146" s="174">
        <v>1.06</v>
      </c>
      <c r="J146" s="95">
        <v>1443.0787</v>
      </c>
      <c r="K146" s="92">
        <v>7</v>
      </c>
      <c r="L146" s="93">
        <v>2.4588613580482921E-3</v>
      </c>
      <c r="M146" s="93">
        <v>8.760726401915786E-2</v>
      </c>
      <c r="N146" s="174">
        <v>113677.37</v>
      </c>
      <c r="O146" s="96">
        <f>113677.37*C269</f>
        <v>155856119.05516699</v>
      </c>
      <c r="P146" s="91">
        <f t="shared" si="105"/>
        <v>6.6615628845353297E-4</v>
      </c>
      <c r="Q146" s="174">
        <v>1.0570999999999999</v>
      </c>
      <c r="R146" s="95">
        <f>1.0571*C269</f>
        <v>1449.3254326099998</v>
      </c>
      <c r="S146" s="95">
        <v>1.0570999999999999</v>
      </c>
      <c r="T146" s="95">
        <f>1.0571*C269</f>
        <v>1449.3254326099998</v>
      </c>
      <c r="U146" s="92">
        <v>7</v>
      </c>
      <c r="V146" s="93">
        <v>-2.7000000000000001E-3</v>
      </c>
      <c r="W146" s="93">
        <v>8.4699999999999998E-2</v>
      </c>
      <c r="X146" s="187">
        <f t="shared" si="96"/>
        <v>4.3095232968477989E-3</v>
      </c>
      <c r="Y146" s="187">
        <f t="shared" si="97"/>
        <v>4.3287539411396994E-3</v>
      </c>
      <c r="Z146" s="187">
        <f t="shared" si="98"/>
        <v>0</v>
      </c>
      <c r="AA146" s="185">
        <f t="shared" si="99"/>
        <v>-5.1588613580482922E-3</v>
      </c>
      <c r="AB146" s="186">
        <f t="shared" si="100"/>
        <v>-2.9072640191578625E-3</v>
      </c>
    </row>
    <row r="147" spans="1:30">
      <c r="A147" s="199">
        <v>130</v>
      </c>
      <c r="B147" s="84" t="s">
        <v>184</v>
      </c>
      <c r="C147" s="85" t="s">
        <v>67</v>
      </c>
      <c r="D147" s="189">
        <v>9693035.5962259304</v>
      </c>
      <c r="E147" s="90">
        <v>13196050195.524</v>
      </c>
      <c r="F147" s="91">
        <f t="shared" ref="F147:F160" si="107">(E147/$E$161)</f>
        <v>7.1335556358233312E-3</v>
      </c>
      <c r="G147" s="174">
        <v>1.3701768797729899</v>
      </c>
      <c r="H147" s="90">
        <v>1865.3519532385494</v>
      </c>
      <c r="I147" s="174">
        <v>1.3701768797729899</v>
      </c>
      <c r="J147" s="90">
        <v>1865.3519532385494</v>
      </c>
      <c r="K147" s="92">
        <v>364</v>
      </c>
      <c r="L147" s="93">
        <v>7.1886181197260396E-2</v>
      </c>
      <c r="M147" s="93">
        <v>7.00388905244827E-2</v>
      </c>
      <c r="N147" s="174">
        <f>O147/C269</f>
        <v>9808740.4291898031</v>
      </c>
      <c r="O147" s="90">
        <v>13448166650.17</v>
      </c>
      <c r="P147" s="91">
        <f t="shared" ref="P147:P160" si="108">(O147/$O$161)</f>
        <v>7.3290423835760832E-3</v>
      </c>
      <c r="Q147" s="174">
        <f>R147/C269</f>
        <v>1.3741402415146293</v>
      </c>
      <c r="R147" s="90">
        <v>1884</v>
      </c>
      <c r="S147" s="90">
        <f>T147/C269</f>
        <v>1.3741402415146293</v>
      </c>
      <c r="T147" s="90">
        <v>1884</v>
      </c>
      <c r="U147" s="92">
        <v>370</v>
      </c>
      <c r="V147" s="93">
        <v>5.1900000000000002E-2</v>
      </c>
      <c r="W147" s="93">
        <v>6.9199999999999998E-2</v>
      </c>
      <c r="X147" s="185">
        <f t="shared" si="96"/>
        <v>1.9105448290240353E-2</v>
      </c>
      <c r="Y147" s="185">
        <f t="shared" si="97"/>
        <v>9.9970660920447717E-3</v>
      </c>
      <c r="Z147" s="187">
        <f t="shared" si="98"/>
        <v>1.6483516483516484E-2</v>
      </c>
      <c r="AA147" s="185">
        <f t="shared" si="99"/>
        <v>-1.9986181197260394E-2</v>
      </c>
      <c r="AB147" s="186">
        <f t="shared" si="100"/>
        <v>-8.3889052448270218E-4</v>
      </c>
    </row>
    <row r="148" spans="1:30">
      <c r="A148" s="199">
        <v>131</v>
      </c>
      <c r="B148" s="84" t="s">
        <v>185</v>
      </c>
      <c r="C148" s="85" t="s">
        <v>89</v>
      </c>
      <c r="D148" s="189">
        <v>193674.57</v>
      </c>
      <c r="E148" s="90">
        <v>263667591.22515002</v>
      </c>
      <c r="F148" s="91">
        <f t="shared" si="107"/>
        <v>1.4253412221833727E-4</v>
      </c>
      <c r="G148" s="174">
        <v>1.0450999999999999</v>
      </c>
      <c r="H148" s="90">
        <v>1422.7939144999998</v>
      </c>
      <c r="I148" s="174">
        <v>1.0450999999999999</v>
      </c>
      <c r="J148" s="90">
        <v>1422.7939144999998</v>
      </c>
      <c r="K148" s="92">
        <v>10</v>
      </c>
      <c r="L148" s="93">
        <v>6.7254999999999995E-2</v>
      </c>
      <c r="M148" s="93">
        <v>6.7254999999999995E-2</v>
      </c>
      <c r="N148" s="174">
        <v>193359.22</v>
      </c>
      <c r="O148" s="90">
        <f>193359.22*C269</f>
        <v>265103050.96550199</v>
      </c>
      <c r="P148" s="91">
        <f t="shared" si="108"/>
        <v>1.4447705379356921E-4</v>
      </c>
      <c r="Q148" s="174">
        <v>1.0450999999999999</v>
      </c>
      <c r="R148" s="90">
        <f>1.0451*C269</f>
        <v>1432.8729634099998</v>
      </c>
      <c r="S148" s="174">
        <v>1.0450999999999999</v>
      </c>
      <c r="T148" s="90">
        <f>1.0451*C269</f>
        <v>1432.8729634099998</v>
      </c>
      <c r="U148" s="92">
        <v>10</v>
      </c>
      <c r="V148" s="93">
        <v>6.8000000000000005E-2</v>
      </c>
      <c r="W148" s="93">
        <v>6.8000000000000005E-2</v>
      </c>
      <c r="X148" s="185">
        <f t="shared" si="96"/>
        <v>5.444202428072446E-3</v>
      </c>
      <c r="Y148" s="185">
        <f t="shared" si="97"/>
        <v>7.0839837078878545E-3</v>
      </c>
      <c r="Z148" s="187">
        <f t="shared" si="98"/>
        <v>0</v>
      </c>
      <c r="AA148" s="185">
        <f t="shared" si="99"/>
        <v>7.4500000000000954E-4</v>
      </c>
      <c r="AB148" s="186">
        <f t="shared" si="100"/>
        <v>7.4500000000000954E-4</v>
      </c>
    </row>
    <row r="149" spans="1:30" ht="15.6">
      <c r="A149" s="199">
        <v>132</v>
      </c>
      <c r="B149" s="84" t="s">
        <v>186</v>
      </c>
      <c r="C149" s="85" t="s">
        <v>35</v>
      </c>
      <c r="D149" s="189">
        <v>111459781.5492876</v>
      </c>
      <c r="E149" s="90">
        <v>151740789302.29239</v>
      </c>
      <c r="F149" s="91">
        <f t="shared" si="107"/>
        <v>8.2028436287610348E-2</v>
      </c>
      <c r="G149" s="174">
        <v>100</v>
      </c>
      <c r="H149" s="90">
        <v>136139.5</v>
      </c>
      <c r="I149" s="174">
        <v>100</v>
      </c>
      <c r="J149" s="90">
        <v>136139.5</v>
      </c>
      <c r="K149" s="92">
        <v>3340</v>
      </c>
      <c r="L149" s="93">
        <v>4.8480000000000002E-2</v>
      </c>
      <c r="M149" s="93">
        <v>4.9404535703125002E-2</v>
      </c>
      <c r="N149" s="174">
        <f>O149/C269</f>
        <v>102142759.22058678</v>
      </c>
      <c r="O149" s="90">
        <v>140041716673.31</v>
      </c>
      <c r="P149" s="91">
        <f t="shared" si="108"/>
        <v>7.6320565000915414E-2</v>
      </c>
      <c r="Q149" s="174">
        <v>100</v>
      </c>
      <c r="R149" s="90">
        <f>100*1374.94</f>
        <v>137494</v>
      </c>
      <c r="S149" s="90">
        <v>100</v>
      </c>
      <c r="T149" s="90">
        <f>100*1374.94</f>
        <v>137494</v>
      </c>
      <c r="U149" s="92">
        <v>3408</v>
      </c>
      <c r="V149" s="93">
        <v>4.1500000000000002E-2</v>
      </c>
      <c r="W149" s="93">
        <v>4.9500000000000002E-2</v>
      </c>
      <c r="X149" s="185">
        <f t="shared" si="96"/>
        <v>-7.7099062702751145E-2</v>
      </c>
      <c r="Y149" s="185">
        <f t="shared" si="97"/>
        <v>9.9493534205722812E-3</v>
      </c>
      <c r="Z149" s="185">
        <f t="shared" si="98"/>
        <v>2.0359281437125749E-2</v>
      </c>
      <c r="AA149" s="185">
        <f t="shared" si="99"/>
        <v>-6.9800000000000001E-3</v>
      </c>
      <c r="AB149" s="186">
        <f t="shared" si="100"/>
        <v>9.5464296875000243E-5</v>
      </c>
      <c r="AD149" s="29"/>
    </row>
    <row r="150" spans="1:30" ht="15.6">
      <c r="A150" s="199">
        <v>133</v>
      </c>
      <c r="B150" s="84" t="s">
        <v>187</v>
      </c>
      <c r="C150" s="85" t="s">
        <v>143</v>
      </c>
      <c r="D150" s="189">
        <v>1129483.1599999999</v>
      </c>
      <c r="E150" s="90">
        <v>1537672726.6081998</v>
      </c>
      <c r="F150" s="91">
        <f t="shared" si="107"/>
        <v>8.3123918008953768E-4</v>
      </c>
      <c r="G150" s="174">
        <v>1.1499999999999999</v>
      </c>
      <c r="H150" s="90">
        <v>1565.6042499999999</v>
      </c>
      <c r="I150" s="174">
        <v>1.1499999999999999</v>
      </c>
      <c r="J150" s="90">
        <v>1565.6042499999999</v>
      </c>
      <c r="K150" s="92">
        <v>53</v>
      </c>
      <c r="L150" s="93">
        <v>1.9E-3</v>
      </c>
      <c r="M150" s="93">
        <v>0.1053</v>
      </c>
      <c r="N150" s="174">
        <v>1125166.74</v>
      </c>
      <c r="O150" s="90">
        <f>1125166.74*C269</f>
        <v>1542647594.5595338</v>
      </c>
      <c r="P150" s="91">
        <f t="shared" si="108"/>
        <v>8.4071902866444579E-4</v>
      </c>
      <c r="Q150" s="174">
        <v>1.1499999999999999</v>
      </c>
      <c r="R150" s="90">
        <f>1.15*C269</f>
        <v>1576.6949649999999</v>
      </c>
      <c r="S150" s="90">
        <v>1.1499999999999999</v>
      </c>
      <c r="T150" s="90">
        <f>1.15*C269</f>
        <v>1576.6949649999999</v>
      </c>
      <c r="U150" s="92">
        <v>53</v>
      </c>
      <c r="V150" s="93">
        <v>1.9E-3</v>
      </c>
      <c r="W150" s="93">
        <v>1.026E-3</v>
      </c>
      <c r="X150" s="185">
        <f t="shared" si="96"/>
        <v>3.2353230081069127E-3</v>
      </c>
      <c r="Y150" s="185">
        <f t="shared" si="97"/>
        <v>7.0839837078878944E-3</v>
      </c>
      <c r="Z150" s="185">
        <f t="shared" si="98"/>
        <v>0</v>
      </c>
      <c r="AA150" s="185">
        <f t="shared" si="99"/>
        <v>0</v>
      </c>
      <c r="AB150" s="186">
        <f t="shared" si="100"/>
        <v>-0.10427400000000001</v>
      </c>
      <c r="AD150" s="29"/>
    </row>
    <row r="151" spans="1:30" ht="15.6">
      <c r="A151" s="199">
        <v>134</v>
      </c>
      <c r="B151" s="84" t="s">
        <v>304</v>
      </c>
      <c r="C151" s="85" t="s">
        <v>40</v>
      </c>
      <c r="D151" s="189">
        <v>7894468.8200000003</v>
      </c>
      <c r="E151" s="96">
        <v>10747490379.203899</v>
      </c>
      <c r="F151" s="91">
        <f t="shared" si="107"/>
        <v>5.8099067091706086E-3</v>
      </c>
      <c r="G151" s="174">
        <v>10.84</v>
      </c>
      <c r="H151" s="90">
        <v>14757.5218</v>
      </c>
      <c r="I151" s="174">
        <v>10.84</v>
      </c>
      <c r="J151" s="90">
        <v>14757.5218</v>
      </c>
      <c r="K151" s="92">
        <v>257</v>
      </c>
      <c r="L151" s="93">
        <v>0.14660000000000001</v>
      </c>
      <c r="M151" s="93">
        <v>0.16800000000000001</v>
      </c>
      <c r="N151" s="174">
        <v>7889972.9100000001</v>
      </c>
      <c r="O151" s="96">
        <f>7889972.91*C269</f>
        <v>10817461357.550781</v>
      </c>
      <c r="P151" s="91">
        <f t="shared" si="108"/>
        <v>5.8953487738928291E-3</v>
      </c>
      <c r="Q151" s="174">
        <v>10.83</v>
      </c>
      <c r="R151" s="90">
        <f>10.83*C269</f>
        <v>14848.353453</v>
      </c>
      <c r="S151" s="90">
        <v>10.83</v>
      </c>
      <c r="T151" s="90">
        <f>10.83*C269</f>
        <v>14848.353453</v>
      </c>
      <c r="U151" s="92">
        <v>192</v>
      </c>
      <c r="V151" s="93">
        <v>5.6500000000000002E-2</v>
      </c>
      <c r="W151" s="93">
        <v>7.4700000000000003E-2</v>
      </c>
      <c r="X151" s="185">
        <f t="shared" si="96"/>
        <v>6.5104481025890287E-3</v>
      </c>
      <c r="Y151" s="185">
        <f t="shared" si="97"/>
        <v>6.154939442474635E-3</v>
      </c>
      <c r="Z151" s="185">
        <f t="shared" si="98"/>
        <v>-0.25291828793774318</v>
      </c>
      <c r="AA151" s="185">
        <f t="shared" si="99"/>
        <v>-9.0100000000000013E-2</v>
      </c>
      <c r="AB151" s="186">
        <f t="shared" si="100"/>
        <v>-9.3300000000000008E-2</v>
      </c>
      <c r="AD151" s="29"/>
    </row>
    <row r="152" spans="1:30" ht="15.6">
      <c r="A152" s="199">
        <v>135</v>
      </c>
      <c r="B152" s="85" t="s">
        <v>188</v>
      </c>
      <c r="C152" s="118" t="s">
        <v>44</v>
      </c>
      <c r="D152" s="189">
        <v>24165376.281725731</v>
      </c>
      <c r="E152" s="90">
        <v>32898622443.060001</v>
      </c>
      <c r="F152" s="91">
        <f t="shared" si="107"/>
        <v>1.7784424131632788E-2</v>
      </c>
      <c r="G152" s="174">
        <v>1.1200000000000001</v>
      </c>
      <c r="H152" s="90">
        <v>1524.7624000000001</v>
      </c>
      <c r="I152" s="174">
        <v>1.1200000000000001</v>
      </c>
      <c r="J152" s="90">
        <v>1524.7624000000001</v>
      </c>
      <c r="K152" s="92">
        <v>610</v>
      </c>
      <c r="L152" s="93">
        <v>6.8999999999999999E-3</v>
      </c>
      <c r="M152" s="93">
        <v>7.7499999999999999E-2</v>
      </c>
      <c r="N152" s="174">
        <f>O152/C269</f>
        <v>24180581.970404785</v>
      </c>
      <c r="O152" s="90">
        <v>33152523342.18</v>
      </c>
      <c r="P152" s="91">
        <f t="shared" si="108"/>
        <v>1.8067611371715201E-2</v>
      </c>
      <c r="Q152" s="174">
        <v>1.1200000000000001</v>
      </c>
      <c r="R152" s="90">
        <f>1.12*C269</f>
        <v>1535.5637920000001</v>
      </c>
      <c r="S152" s="90">
        <v>1.1200000000000001</v>
      </c>
      <c r="T152" s="90">
        <f>1.12*C269</f>
        <v>1535.5637920000001</v>
      </c>
      <c r="U152" s="92">
        <v>614</v>
      </c>
      <c r="V152" s="93">
        <v>-5.0000000000000001E-4</v>
      </c>
      <c r="W152" s="93">
        <v>7.5499999999999998E-2</v>
      </c>
      <c r="X152" s="185">
        <f t="shared" si="96"/>
        <v>7.7176757038822331E-3</v>
      </c>
      <c r="Y152" s="185">
        <f t="shared" si="97"/>
        <v>7.0839837078879161E-3</v>
      </c>
      <c r="Z152" s="185">
        <f t="shared" si="98"/>
        <v>6.5573770491803279E-3</v>
      </c>
      <c r="AA152" s="185">
        <f t="shared" si="99"/>
        <v>-7.4000000000000003E-3</v>
      </c>
      <c r="AB152" s="186">
        <f t="shared" si="100"/>
        <v>-2.0000000000000018E-3</v>
      </c>
      <c r="AD152" s="29"/>
    </row>
    <row r="153" spans="1:30">
      <c r="A153" s="199">
        <v>136</v>
      </c>
      <c r="B153" s="84" t="s">
        <v>189</v>
      </c>
      <c r="C153" s="85" t="s">
        <v>100</v>
      </c>
      <c r="D153" s="189">
        <v>314991.21999999997</v>
      </c>
      <c r="E153" s="96">
        <v>428825896.99580002</v>
      </c>
      <c r="F153" s="91">
        <f t="shared" si="107"/>
        <v>2.318158349639343E-4</v>
      </c>
      <c r="G153" s="174">
        <v>1.26</v>
      </c>
      <c r="H153" s="90">
        <v>1715.3514000000002</v>
      </c>
      <c r="I153" s="174">
        <v>1.26</v>
      </c>
      <c r="J153" s="90">
        <v>1715.3514000000002</v>
      </c>
      <c r="K153" s="92">
        <v>2</v>
      </c>
      <c r="L153" s="93">
        <v>1.1999999999999999E-3</v>
      </c>
      <c r="M153" s="93">
        <v>-0.13700000000000001</v>
      </c>
      <c r="N153" s="174">
        <v>314991.21999999997</v>
      </c>
      <c r="O153" s="96">
        <f>314991.22*1371.04</f>
        <v>431865562.26879996</v>
      </c>
      <c r="P153" s="91">
        <f t="shared" si="108"/>
        <v>2.3536003770706839E-4</v>
      </c>
      <c r="Q153" s="174">
        <v>1.26</v>
      </c>
      <c r="R153" s="90">
        <f>1.26*1361.39</f>
        <v>1715.3514000000002</v>
      </c>
      <c r="S153" s="90">
        <v>1.26</v>
      </c>
      <c r="T153" s="90">
        <f>1.26*1361.39</f>
        <v>1715.3514000000002</v>
      </c>
      <c r="U153" s="92">
        <v>2</v>
      </c>
      <c r="V153" s="93">
        <v>1.1999999999999999E-3</v>
      </c>
      <c r="W153" s="93">
        <v>-0.13700000000000001</v>
      </c>
      <c r="X153" s="185">
        <f t="shared" si="96"/>
        <v>7.0883435312436675E-3</v>
      </c>
      <c r="Y153" s="185">
        <f t="shared" si="97"/>
        <v>0</v>
      </c>
      <c r="Z153" s="185">
        <f t="shared" si="98"/>
        <v>0</v>
      </c>
      <c r="AA153" s="185">
        <f t="shared" ref="AA153" si="109">V153-L153</f>
        <v>0</v>
      </c>
      <c r="AB153" s="186">
        <f t="shared" ref="AB153" si="110">W153-M153</f>
        <v>0</v>
      </c>
    </row>
    <row r="154" spans="1:30">
      <c r="A154" s="199">
        <v>137</v>
      </c>
      <c r="B154" s="84" t="s">
        <v>190</v>
      </c>
      <c r="C154" s="85" t="s">
        <v>105</v>
      </c>
      <c r="D154" s="189">
        <v>564448.79</v>
      </c>
      <c r="E154" s="96">
        <v>768437760.46205008</v>
      </c>
      <c r="F154" s="91">
        <f t="shared" si="107"/>
        <v>4.1540411226859879E-4</v>
      </c>
      <c r="G154" s="174">
        <v>1.0892999999999999</v>
      </c>
      <c r="H154" s="90">
        <v>1482.9675734999998</v>
      </c>
      <c r="I154" s="174">
        <v>1.0892999999999999</v>
      </c>
      <c r="J154" s="90">
        <v>1482.9675734999998</v>
      </c>
      <c r="K154" s="92">
        <v>14</v>
      </c>
      <c r="L154" s="93">
        <v>-8.9999999999999998E-4</v>
      </c>
      <c r="M154" s="93">
        <v>5.6000000000000001E-2</v>
      </c>
      <c r="N154" s="174">
        <v>563689.81000000006</v>
      </c>
      <c r="O154" s="96">
        <f>563689.81*C269</f>
        <v>772840769.78157103</v>
      </c>
      <c r="P154" s="91">
        <f t="shared" si="108"/>
        <v>4.2118624083328847E-4</v>
      </c>
      <c r="Q154" s="174">
        <v>1.0892999999999999</v>
      </c>
      <c r="R154" s="90">
        <f>1.0893*C269</f>
        <v>1493.4728916299998</v>
      </c>
      <c r="S154" s="90">
        <v>1.0872999999999999</v>
      </c>
      <c r="T154" s="90">
        <f>1.0879*C269</f>
        <v>1491.5534368900001</v>
      </c>
      <c r="U154" s="92">
        <v>14</v>
      </c>
      <c r="V154" s="93">
        <v>-7.7000000000000002E-3</v>
      </c>
      <c r="W154" s="93">
        <v>4.8300000000000003E-2</v>
      </c>
      <c r="X154" s="185">
        <f t="shared" ref="X154" si="111">((O154-E154)/E154)</f>
        <v>5.7298190511531951E-3</v>
      </c>
      <c r="Y154" s="185">
        <f t="shared" ref="Y154" si="112">((T154-J154)/J154)</f>
        <v>5.7896501200875479E-3</v>
      </c>
      <c r="Z154" s="185">
        <f t="shared" si="98"/>
        <v>0</v>
      </c>
      <c r="AA154" s="185">
        <f t="shared" si="99"/>
        <v>-6.8000000000000005E-3</v>
      </c>
      <c r="AB154" s="186">
        <f t="shared" si="100"/>
        <v>-7.6999999999999985E-3</v>
      </c>
    </row>
    <row r="155" spans="1:30">
      <c r="A155" s="199">
        <v>138</v>
      </c>
      <c r="B155" s="84" t="s">
        <v>191</v>
      </c>
      <c r="C155" s="85" t="s">
        <v>46</v>
      </c>
      <c r="D155" s="189">
        <v>646996195.23000002</v>
      </c>
      <c r="E155" s="96">
        <v>879720726654.23108</v>
      </c>
      <c r="F155" s="91">
        <f t="shared" si="107"/>
        <v>0.4755617517811126</v>
      </c>
      <c r="G155" s="174">
        <v>1.694</v>
      </c>
      <c r="H155" s="90">
        <v>2303.3317999999999</v>
      </c>
      <c r="I155" s="174">
        <v>1.694</v>
      </c>
      <c r="J155" s="90">
        <v>2303.3317999999999</v>
      </c>
      <c r="K155" s="92">
        <v>13578</v>
      </c>
      <c r="L155" s="93">
        <v>7.6800378094160605E-4</v>
      </c>
      <c r="M155" s="93">
        <v>1.26733620277378E-2</v>
      </c>
      <c r="N155" s="174">
        <v>642172697.58000004</v>
      </c>
      <c r="O155" s="96">
        <f>642172697.58*1359.7</f>
        <v>873162216899.52612</v>
      </c>
      <c r="P155" s="91">
        <f t="shared" si="108"/>
        <v>0.47585987457353401</v>
      </c>
      <c r="Q155" s="174">
        <v>1.6951000000000001</v>
      </c>
      <c r="R155" s="90">
        <f>1.6951*1359.7</f>
        <v>2304.8274700000002</v>
      </c>
      <c r="S155" s="174">
        <v>1.6951000000000001</v>
      </c>
      <c r="T155" s="90">
        <f>1.6951*1359.7</f>
        <v>2304.8274700000002</v>
      </c>
      <c r="U155" s="92">
        <v>13605</v>
      </c>
      <c r="V155" s="93">
        <v>5.9999999999999995E-4</v>
      </c>
      <c r="W155" s="93">
        <v>1.3299999999999999E-2</v>
      </c>
      <c r="X155" s="185">
        <f t="shared" si="96"/>
        <v>-7.4552179526886815E-3</v>
      </c>
      <c r="Y155" s="185">
        <f t="shared" si="97"/>
        <v>6.4935064935075604E-4</v>
      </c>
      <c r="Z155" s="185">
        <f t="shared" si="98"/>
        <v>1.988510826336721E-3</v>
      </c>
      <c r="AA155" s="185">
        <f t="shared" si="99"/>
        <v>-1.680037809416061E-4</v>
      </c>
      <c r="AB155" s="186">
        <f t="shared" si="100"/>
        <v>6.266379722621989E-4</v>
      </c>
    </row>
    <row r="156" spans="1:30">
      <c r="A156" s="199">
        <v>139</v>
      </c>
      <c r="B156" s="84" t="s">
        <v>192</v>
      </c>
      <c r="C156" s="84" t="s">
        <v>110</v>
      </c>
      <c r="D156" s="189">
        <v>410446.44</v>
      </c>
      <c r="E156" s="96">
        <v>558779731.18379998</v>
      </c>
      <c r="F156" s="91">
        <f t="shared" si="107"/>
        <v>3.0206662156545089E-4</v>
      </c>
      <c r="G156" s="174">
        <v>116.402</v>
      </c>
      <c r="H156" s="90">
        <v>158469.10079</v>
      </c>
      <c r="I156" s="174">
        <v>116.402</v>
      </c>
      <c r="J156" s="90">
        <v>158469.10079</v>
      </c>
      <c r="K156" s="92">
        <v>32</v>
      </c>
      <c r="L156" s="93">
        <v>1.4E-3</v>
      </c>
      <c r="M156" s="93">
        <v>2.3800000000000002E-2</v>
      </c>
      <c r="N156" s="174">
        <v>411035.29</v>
      </c>
      <c r="O156" s="96">
        <f>411035.29*C269</f>
        <v>563545454.069839</v>
      </c>
      <c r="P156" s="91">
        <f t="shared" si="108"/>
        <v>3.0712353775726506E-4</v>
      </c>
      <c r="Q156" s="174">
        <v>116.57</v>
      </c>
      <c r="R156" s="90">
        <f>116.57*C269</f>
        <v>159822.02788699997</v>
      </c>
      <c r="S156" s="90">
        <v>116.57</v>
      </c>
      <c r="T156" s="90">
        <f>116.57*C269</f>
        <v>159822.02788699997</v>
      </c>
      <c r="U156" s="92">
        <v>32</v>
      </c>
      <c r="V156" s="93">
        <v>1.4E-3</v>
      </c>
      <c r="W156" s="93">
        <v>2.52E-2</v>
      </c>
      <c r="X156" s="185">
        <f t="shared" ref="X156" si="113">((O156-E156)/E156)</f>
        <v>8.5288041424527346E-3</v>
      </c>
      <c r="Y156" s="185">
        <f t="shared" ref="Y156" si="114">((T156-J156)/J156)</f>
        <v>8.5374820091447933E-3</v>
      </c>
      <c r="Z156" s="185">
        <f t="shared" ref="Z156" si="115">((U156-K156)/K156)</f>
        <v>0</v>
      </c>
      <c r="AA156" s="185">
        <f t="shared" ref="AA156" si="116">V156-L156</f>
        <v>0</v>
      </c>
      <c r="AB156" s="186">
        <f t="shared" ref="AB156" si="117">W156-M156</f>
        <v>1.3999999999999985E-3</v>
      </c>
    </row>
    <row r="157" spans="1:30" ht="16.5" customHeight="1">
      <c r="A157" s="199">
        <v>140</v>
      </c>
      <c r="B157" s="84" t="s">
        <v>193</v>
      </c>
      <c r="C157" s="85" t="s">
        <v>49</v>
      </c>
      <c r="D157" s="189">
        <v>134283654.41</v>
      </c>
      <c r="E157" s="96">
        <v>182585484901.27701</v>
      </c>
      <c r="F157" s="91">
        <f t="shared" si="107"/>
        <v>9.8702543226065712E-2</v>
      </c>
      <c r="G157" s="174">
        <v>1.27</v>
      </c>
      <c r="H157" s="90">
        <v>1726.8190000000002</v>
      </c>
      <c r="I157" s="174">
        <v>1.27</v>
      </c>
      <c r="J157" s="90">
        <v>1726.8190000000002</v>
      </c>
      <c r="K157" s="92">
        <v>1034</v>
      </c>
      <c r="L157" s="93">
        <v>7.0800000000000002E-2</v>
      </c>
      <c r="M157" s="93">
        <v>5.8599999999999999E-2</v>
      </c>
      <c r="N157" s="174">
        <v>134696353.03</v>
      </c>
      <c r="O157" s="96">
        <f>134696353.03*1371.93</f>
        <v>184793967612.44791</v>
      </c>
      <c r="P157" s="91">
        <f t="shared" si="108"/>
        <v>0.10070984812221195</v>
      </c>
      <c r="Q157" s="174">
        <v>1.2743</v>
      </c>
      <c r="R157" s="90">
        <f>1.2743*1371.93</f>
        <v>1748.250399</v>
      </c>
      <c r="S157" s="90">
        <v>1.2743</v>
      </c>
      <c r="T157" s="90">
        <f>1.2743*1371.93</f>
        <v>1748.250399</v>
      </c>
      <c r="U157" s="92">
        <v>1039</v>
      </c>
      <c r="V157" s="93">
        <v>4.7699999999999999E-2</v>
      </c>
      <c r="W157" s="93">
        <v>5.8099999999999999E-2</v>
      </c>
      <c r="X157" s="185">
        <f t="shared" si="96"/>
        <v>1.2095609420239583E-2</v>
      </c>
      <c r="Y157" s="185">
        <f t="shared" si="97"/>
        <v>1.2410912203305514E-2</v>
      </c>
      <c r="Z157" s="185">
        <f t="shared" si="98"/>
        <v>4.8355899419729211E-3</v>
      </c>
      <c r="AA157" s="185">
        <f t="shared" si="99"/>
        <v>-2.3100000000000002E-2</v>
      </c>
      <c r="AB157" s="186">
        <f t="shared" si="100"/>
        <v>-5.0000000000000044E-4</v>
      </c>
    </row>
    <row r="158" spans="1:30" ht="16.5" customHeight="1">
      <c r="A158" s="199">
        <v>141</v>
      </c>
      <c r="B158" s="84" t="s">
        <v>194</v>
      </c>
      <c r="C158" s="85" t="s">
        <v>107</v>
      </c>
      <c r="D158" s="189">
        <v>1487505.7319736565</v>
      </c>
      <c r="E158" s="90">
        <v>2022561543.7645807</v>
      </c>
      <c r="F158" s="91">
        <f t="shared" si="107"/>
        <v>1.0933616563701197E-3</v>
      </c>
      <c r="G158" s="174">
        <v>116.37</v>
      </c>
      <c r="H158" s="90">
        <v>158228.28900000002</v>
      </c>
      <c r="I158" s="174">
        <v>116.37</v>
      </c>
      <c r="J158" s="90">
        <v>158228.28900000002</v>
      </c>
      <c r="K158" s="92">
        <v>33</v>
      </c>
      <c r="L158" s="93">
        <v>4.3E-3</v>
      </c>
      <c r="M158" s="93">
        <v>4.0800000000000003E-2</v>
      </c>
      <c r="N158" s="174">
        <v>1479158.5</v>
      </c>
      <c r="O158" s="90">
        <v>2029301920.74</v>
      </c>
      <c r="P158" s="91">
        <f t="shared" si="108"/>
        <v>1.1059380935012286E-3</v>
      </c>
      <c r="Q158" s="174">
        <v>116.37</v>
      </c>
      <c r="R158" s="90">
        <v>159651.49</v>
      </c>
      <c r="S158" s="174">
        <v>116.37</v>
      </c>
      <c r="T158" s="90">
        <v>159651.49</v>
      </c>
      <c r="U158" s="92">
        <v>33</v>
      </c>
      <c r="V158" s="93">
        <v>-5.5999999999999999E-3</v>
      </c>
      <c r="W158" s="93">
        <v>3.5000000000000003E-2</v>
      </c>
      <c r="X158" s="185">
        <f t="shared" si="96"/>
        <v>3.3325942521746275E-3</v>
      </c>
      <c r="Y158" s="185">
        <f t="shared" si="97"/>
        <v>8.9946052567121647E-3</v>
      </c>
      <c r="Z158" s="185">
        <f t="shared" si="98"/>
        <v>0</v>
      </c>
      <c r="AA158" s="185">
        <f t="shared" si="99"/>
        <v>-9.8999999999999991E-3</v>
      </c>
      <c r="AB158" s="186">
        <f t="shared" si="100"/>
        <v>-5.7999999999999996E-3</v>
      </c>
    </row>
    <row r="159" spans="1:30" ht="16.5" customHeight="1">
      <c r="A159" s="199">
        <v>142</v>
      </c>
      <c r="B159" s="84" t="s">
        <v>195</v>
      </c>
      <c r="C159" s="85" t="s">
        <v>117</v>
      </c>
      <c r="D159" s="189">
        <v>4375409.38</v>
      </c>
      <c r="E159" s="90">
        <v>5956660452.8850994</v>
      </c>
      <c r="F159" s="91">
        <f t="shared" si="107"/>
        <v>3.2200672257807475E-3</v>
      </c>
      <c r="G159" s="174">
        <v>1.18</v>
      </c>
      <c r="H159" s="90">
        <v>1606.4460999999999</v>
      </c>
      <c r="I159" s="174">
        <v>1.18</v>
      </c>
      <c r="J159" s="90">
        <v>1606.4460999999999</v>
      </c>
      <c r="K159" s="92">
        <v>56</v>
      </c>
      <c r="L159" s="93">
        <v>2.3800000000000002E-2</v>
      </c>
      <c r="M159" s="93">
        <v>2.6200000000000001E-2</v>
      </c>
      <c r="N159" s="174">
        <v>4358828.5</v>
      </c>
      <c r="O159" s="90">
        <f>4358828.5*C269</f>
        <v>5976124303.6943502</v>
      </c>
      <c r="P159" s="91">
        <f t="shared" si="108"/>
        <v>3.2568951181714666E-3</v>
      </c>
      <c r="Q159" s="174">
        <v>1.18</v>
      </c>
      <c r="R159" s="90">
        <f>1.18*C269</f>
        <v>1617.8261379999999</v>
      </c>
      <c r="S159" s="90">
        <v>1.18</v>
      </c>
      <c r="T159" s="90">
        <f>1.18*C269</f>
        <v>1617.8261379999999</v>
      </c>
      <c r="U159" s="92">
        <v>59</v>
      </c>
      <c r="V159" s="93">
        <v>2.4E-2</v>
      </c>
      <c r="W159" s="93">
        <v>1.8599999999999998E-2</v>
      </c>
      <c r="X159" s="185">
        <f t="shared" ref="X159" si="118">((O159-E159)/E159)</f>
        <v>3.2675776910909109E-3</v>
      </c>
      <c r="Y159" s="185">
        <f t="shared" ref="Y159" si="119">((T159-J159)/J159)</f>
        <v>7.0839837078878736E-3</v>
      </c>
      <c r="Z159" s="185">
        <f t="shared" si="98"/>
        <v>5.3571428571428568E-2</v>
      </c>
      <c r="AA159" s="185">
        <f t="shared" si="99"/>
        <v>1.9999999999999879E-4</v>
      </c>
      <c r="AB159" s="186">
        <f t="shared" si="100"/>
        <v>-7.6000000000000026E-3</v>
      </c>
    </row>
    <row r="160" spans="1:30">
      <c r="A160" s="199">
        <v>143</v>
      </c>
      <c r="B160" s="84" t="s">
        <v>196</v>
      </c>
      <c r="C160" s="85" t="s">
        <v>119</v>
      </c>
      <c r="D160" s="189">
        <v>1442108.07</v>
      </c>
      <c r="E160" s="90">
        <v>1963278715.9576499</v>
      </c>
      <c r="F160" s="91">
        <f t="shared" si="107"/>
        <v>1.0613143888814648E-3</v>
      </c>
      <c r="G160" s="174">
        <v>1.54</v>
      </c>
      <c r="H160" s="90">
        <v>2096.5482999999999</v>
      </c>
      <c r="I160" s="174">
        <v>1.54</v>
      </c>
      <c r="J160" s="90">
        <v>2096.5482999999999</v>
      </c>
      <c r="K160" s="92">
        <v>145</v>
      </c>
      <c r="L160" s="93">
        <v>5.6620000000000004E-3</v>
      </c>
      <c r="M160" s="93">
        <v>3.6513999999999998E-2</v>
      </c>
      <c r="N160" s="174">
        <v>1542689.23</v>
      </c>
      <c r="O160" s="90">
        <f>1542689.23*C269</f>
        <v>2115087253.4788928</v>
      </c>
      <c r="P160" s="91">
        <f t="shared" si="108"/>
        <v>1.152689770208371E-3</v>
      </c>
      <c r="Q160" s="174">
        <v>1.54</v>
      </c>
      <c r="R160" s="90">
        <f>1.54*C269</f>
        <v>2111.4002139999998</v>
      </c>
      <c r="S160" s="90">
        <v>1.54</v>
      </c>
      <c r="T160" s="90">
        <f>1.54*C269</f>
        <v>2111.4002139999998</v>
      </c>
      <c r="U160" s="92">
        <v>146</v>
      </c>
      <c r="V160" s="93">
        <v>-2.2000000000000001E-3</v>
      </c>
      <c r="W160" s="93">
        <v>3.4599999999999999E-2</v>
      </c>
      <c r="X160" s="185">
        <f t="shared" si="96"/>
        <v>7.7323986801941941E-2</v>
      </c>
      <c r="Y160" s="185">
        <f t="shared" si="97"/>
        <v>7.0839837078877947E-3</v>
      </c>
      <c r="Z160" s="185">
        <f t="shared" si="98"/>
        <v>6.8965517241379309E-3</v>
      </c>
      <c r="AA160" s="185">
        <f t="shared" si="99"/>
        <v>-7.8620000000000009E-3</v>
      </c>
      <c r="AB160" s="186">
        <f t="shared" si="100"/>
        <v>-1.913999999999999E-3</v>
      </c>
    </row>
    <row r="161" spans="1:31">
      <c r="B161" s="99"/>
      <c r="C161" s="123" t="s">
        <v>52</v>
      </c>
      <c r="D161" s="114">
        <f>SUM(D121:D160)</f>
        <v>1360120534.5786133</v>
      </c>
      <c r="E161" s="114">
        <f>SUM(E121:E160)</f>
        <v>1849855930085.6921</v>
      </c>
      <c r="F161" s="102">
        <f>(E161/$E$238)</f>
        <v>0.20868407665365091</v>
      </c>
      <c r="G161" s="174"/>
      <c r="H161" s="103"/>
      <c r="I161" s="174">
        <v>0</v>
      </c>
      <c r="J161" s="108"/>
      <c r="K161" s="105">
        <f>SUM(K121:K160)</f>
        <v>31718</v>
      </c>
      <c r="L161" s="124"/>
      <c r="M161" s="124"/>
      <c r="N161" s="114">
        <f>SUM(N121:N160)</f>
        <v>1343401760.9552815</v>
      </c>
      <c r="O161" s="114">
        <f>SUM(O121:O160)</f>
        <v>1834914569508.6284</v>
      </c>
      <c r="P161" s="102">
        <f>(O161/$O$238)</f>
        <v>0.20600090086922249</v>
      </c>
      <c r="Q161" s="179"/>
      <c r="R161" s="103"/>
      <c r="S161" s="103"/>
      <c r="T161" s="108"/>
      <c r="U161" s="105">
        <f>SUM(U121:U160)</f>
        <v>31798</v>
      </c>
      <c r="V161" s="124"/>
      <c r="W161" s="124"/>
      <c r="X161" s="185">
        <f t="shared" si="96"/>
        <v>-8.0770401273203927E-3</v>
      </c>
      <c r="Y161" s="185" t="e">
        <f t="shared" si="97"/>
        <v>#DIV/0!</v>
      </c>
      <c r="Z161" s="185">
        <f t="shared" si="98"/>
        <v>2.5222271265527459E-3</v>
      </c>
      <c r="AA161" s="185">
        <f t="shared" si="99"/>
        <v>0</v>
      </c>
      <c r="AB161" s="186">
        <f t="shared" si="100"/>
        <v>0</v>
      </c>
    </row>
    <row r="162" spans="1:31" ht="6" customHeight="1">
      <c r="B162" s="209"/>
      <c r="C162" s="209"/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</row>
    <row r="163" spans="1:31">
      <c r="A163" s="191"/>
      <c r="B163" s="211" t="s">
        <v>338</v>
      </c>
      <c r="C163" s="211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  <c r="X163" s="211"/>
      <c r="Y163" s="211"/>
      <c r="Z163" s="211"/>
      <c r="AA163" s="211"/>
      <c r="AB163" s="211"/>
    </row>
    <row r="164" spans="1:31">
      <c r="A164" s="199">
        <v>144</v>
      </c>
      <c r="B164" s="84" t="s">
        <v>197</v>
      </c>
      <c r="C164" s="85" t="s">
        <v>198</v>
      </c>
      <c r="D164" s="171" t="s">
        <v>330</v>
      </c>
      <c r="E164" s="125">
        <v>2497731508.5186548</v>
      </c>
      <c r="F164" s="91">
        <f>(E164/$E$170)</f>
        <v>4.9222842556719947E-3</v>
      </c>
      <c r="G164" s="171" t="s">
        <v>330</v>
      </c>
      <c r="H164" s="116">
        <v>117.70648013754264</v>
      </c>
      <c r="I164" s="171" t="s">
        <v>330</v>
      </c>
      <c r="J164" s="116">
        <v>117.70648013754264</v>
      </c>
      <c r="K164" s="92">
        <v>8</v>
      </c>
      <c r="L164" s="93">
        <v>8.8000000000000005E-3</v>
      </c>
      <c r="M164" s="93">
        <v>0.11965141755675934</v>
      </c>
      <c r="N164" s="171" t="s">
        <v>330</v>
      </c>
      <c r="O164" s="125">
        <v>2497731508.5186548</v>
      </c>
      <c r="P164" s="91">
        <f>(O164/$O$170)</f>
        <v>4.9183524315089926E-3</v>
      </c>
      <c r="Q164" s="171" t="s">
        <v>330</v>
      </c>
      <c r="R164" s="116">
        <v>117.70648013754264</v>
      </c>
      <c r="S164" s="171" t="s">
        <v>330</v>
      </c>
      <c r="T164" s="116">
        <v>117.70648013754264</v>
      </c>
      <c r="U164" s="92">
        <v>8</v>
      </c>
      <c r="V164" s="93">
        <v>8.8000000000000005E-3</v>
      </c>
      <c r="W164" s="93">
        <v>0.11965141755675934</v>
      </c>
      <c r="X164" s="185">
        <f t="shared" ref="X164:X170" si="120">((O164-E164)/E164)</f>
        <v>0</v>
      </c>
      <c r="Y164" s="185">
        <f>((T164-J164)/J164)</f>
        <v>0</v>
      </c>
      <c r="Z164" s="185">
        <f>((U164-K164)/K164)</f>
        <v>0</v>
      </c>
      <c r="AA164" s="185">
        <f>V164-L164</f>
        <v>0</v>
      </c>
      <c r="AB164" s="186">
        <f>W164-M164</f>
        <v>0</v>
      </c>
    </row>
    <row r="165" spans="1:31">
      <c r="A165" s="199">
        <v>145</v>
      </c>
      <c r="B165" s="84" t="s">
        <v>199</v>
      </c>
      <c r="C165" s="85" t="s">
        <v>23</v>
      </c>
      <c r="D165" s="171" t="s">
        <v>330</v>
      </c>
      <c r="E165" s="125">
        <v>262806642130.07999</v>
      </c>
      <c r="F165" s="91">
        <v>0</v>
      </c>
      <c r="G165" s="171" t="s">
        <v>330</v>
      </c>
      <c r="H165" s="116">
        <v>105.12269999999999</v>
      </c>
      <c r="I165" s="171" t="s">
        <v>330</v>
      </c>
      <c r="J165" s="116">
        <v>105.12269999999999</v>
      </c>
      <c r="K165" s="92">
        <v>45</v>
      </c>
      <c r="L165" s="93">
        <v>7.9299999999999995E-2</v>
      </c>
      <c r="M165" s="93">
        <v>0.1152</v>
      </c>
      <c r="N165" s="171" t="s">
        <v>330</v>
      </c>
      <c r="O165" s="125">
        <v>263192975547.92999</v>
      </c>
      <c r="P165" s="91">
        <f t="shared" ref="P165:P169" si="121">(O165/$O$170)</f>
        <v>0.51826059239248312</v>
      </c>
      <c r="Q165" s="171" t="s">
        <v>330</v>
      </c>
      <c r="R165" s="116">
        <v>105.27719999999999</v>
      </c>
      <c r="S165" s="171" t="s">
        <v>330</v>
      </c>
      <c r="T165" s="116">
        <v>105.27719999999999</v>
      </c>
      <c r="U165" s="92">
        <v>45</v>
      </c>
      <c r="V165" s="93">
        <v>7.6600000000000001E-2</v>
      </c>
      <c r="W165" s="93">
        <v>0.1133</v>
      </c>
      <c r="X165" s="185">
        <f t="shared" ref="X165" si="122">((O165-E165)/E165)</f>
        <v>1.4700291237646297E-3</v>
      </c>
      <c r="Y165" s="185">
        <f t="shared" ref="Y165" si="123">((T165-J165)/J165)</f>
        <v>1.4697111090183068E-3</v>
      </c>
      <c r="Z165" s="185">
        <f t="shared" ref="Z165" si="124">((U165-K165)/K165)</f>
        <v>0</v>
      </c>
      <c r="AA165" s="185">
        <f t="shared" ref="AA165" si="125">V165-L165</f>
        <v>-2.6999999999999941E-3</v>
      </c>
      <c r="AB165" s="186">
        <f t="shared" ref="AB165" si="126">W165-M165</f>
        <v>-1.8999999999999989E-3</v>
      </c>
    </row>
    <row r="166" spans="1:31">
      <c r="A166" s="199">
        <v>146</v>
      </c>
      <c r="B166" s="84" t="s">
        <v>200</v>
      </c>
      <c r="C166" s="85" t="s">
        <v>44</v>
      </c>
      <c r="D166" s="171" t="s">
        <v>330</v>
      </c>
      <c r="E166" s="96">
        <v>170647847866</v>
      </c>
      <c r="F166" s="91">
        <f>(E166/$E$170)</f>
        <v>0.33629603980665324</v>
      </c>
      <c r="G166" s="171" t="s">
        <v>330</v>
      </c>
      <c r="H166" s="116">
        <v>103</v>
      </c>
      <c r="I166" s="171" t="s">
        <v>330</v>
      </c>
      <c r="J166" s="116">
        <v>103</v>
      </c>
      <c r="K166" s="92">
        <v>851</v>
      </c>
      <c r="L166" s="93">
        <v>9.4E-2</v>
      </c>
      <c r="M166" s="93">
        <v>9.4E-2</v>
      </c>
      <c r="N166" s="171" t="s">
        <v>330</v>
      </c>
      <c r="O166" s="96">
        <v>170647847866</v>
      </c>
      <c r="P166" s="91">
        <f t="shared" si="121"/>
        <v>0.33602741312307438</v>
      </c>
      <c r="Q166" s="171" t="s">
        <v>330</v>
      </c>
      <c r="R166" s="116">
        <v>103</v>
      </c>
      <c r="S166" s="171" t="s">
        <v>330</v>
      </c>
      <c r="T166" s="116">
        <v>103</v>
      </c>
      <c r="U166" s="92">
        <v>851</v>
      </c>
      <c r="V166" s="93">
        <v>9.4E-2</v>
      </c>
      <c r="W166" s="93">
        <v>9.4E-2</v>
      </c>
      <c r="X166" s="185">
        <f t="shared" si="120"/>
        <v>0</v>
      </c>
      <c r="Y166" s="185">
        <f t="shared" ref="Y166:Z170" si="127">((T166-J166)/J166)</f>
        <v>0</v>
      </c>
      <c r="Z166" s="185">
        <f t="shared" si="127"/>
        <v>0</v>
      </c>
      <c r="AA166" s="185">
        <f t="shared" ref="AA166:AB170" si="128">V166-L166</f>
        <v>0</v>
      </c>
      <c r="AB166" s="186">
        <f t="shared" si="128"/>
        <v>0</v>
      </c>
    </row>
    <row r="167" spans="1:31" ht="15.75" customHeight="1">
      <c r="A167" s="199">
        <v>147</v>
      </c>
      <c r="B167" s="84" t="s">
        <v>202</v>
      </c>
      <c r="C167" s="85" t="s">
        <v>152</v>
      </c>
      <c r="D167" s="171" t="s">
        <v>330</v>
      </c>
      <c r="E167" s="96">
        <v>6626520420.1447306</v>
      </c>
      <c r="F167" s="91">
        <f>(E167/$E$170)</f>
        <v>1.3058896451729559E-2</v>
      </c>
      <c r="G167" s="171" t="s">
        <v>330</v>
      </c>
      <c r="H167" s="116">
        <v>418.75</v>
      </c>
      <c r="I167" s="171" t="s">
        <v>330</v>
      </c>
      <c r="J167" s="116">
        <v>418.75</v>
      </c>
      <c r="K167" s="92">
        <v>5533</v>
      </c>
      <c r="L167" s="93">
        <v>0.12318674421036538</v>
      </c>
      <c r="M167" s="93">
        <v>6.2092836650405436E-2</v>
      </c>
      <c r="N167" s="171" t="s">
        <v>330</v>
      </c>
      <c r="O167" s="96">
        <v>6633967504.9099998</v>
      </c>
      <c r="P167" s="91">
        <f t="shared" si="121"/>
        <v>1.3063129522546941E-2</v>
      </c>
      <c r="Q167" s="171" t="s">
        <v>330</v>
      </c>
      <c r="R167" s="116">
        <v>418.75</v>
      </c>
      <c r="S167" s="171" t="s">
        <v>330</v>
      </c>
      <c r="T167" s="116">
        <v>418.75</v>
      </c>
      <c r="U167" s="92">
        <v>5533</v>
      </c>
      <c r="V167" s="93">
        <v>7.6999999999999999E-2</v>
      </c>
      <c r="W167" s="93">
        <v>5.96E-2</v>
      </c>
      <c r="X167" s="185">
        <f t="shared" si="120"/>
        <v>1.1238303503343957E-3</v>
      </c>
      <c r="Y167" s="185">
        <f t="shared" si="127"/>
        <v>0</v>
      </c>
      <c r="Z167" s="185">
        <f t="shared" si="127"/>
        <v>0</v>
      </c>
      <c r="AA167" s="185">
        <f t="shared" si="128"/>
        <v>-4.618674421036538E-2</v>
      </c>
      <c r="AB167" s="186">
        <f t="shared" si="128"/>
        <v>-2.4928366504054361E-3</v>
      </c>
    </row>
    <row r="168" spans="1:31">
      <c r="A168" s="199">
        <v>148</v>
      </c>
      <c r="B168" s="84" t="s">
        <v>201</v>
      </c>
      <c r="C168" s="85" t="s">
        <v>152</v>
      </c>
      <c r="D168" s="171" t="s">
        <v>330</v>
      </c>
      <c r="E168" s="96">
        <v>28352481558.189999</v>
      </c>
      <c r="F168" s="91">
        <f>(E168/$E$170)</f>
        <v>5.5874289573212901E-2</v>
      </c>
      <c r="G168" s="171" t="s">
        <v>330</v>
      </c>
      <c r="H168" s="116">
        <v>72.5</v>
      </c>
      <c r="I168" s="171" t="s">
        <v>330</v>
      </c>
      <c r="J168" s="116">
        <v>72.5</v>
      </c>
      <c r="K168" s="92">
        <v>8119</v>
      </c>
      <c r="L168" s="93">
        <v>3.0146188365499583E-2</v>
      </c>
      <c r="M168" s="93">
        <v>6.8074930352079857E-2</v>
      </c>
      <c r="N168" s="171" t="s">
        <v>330</v>
      </c>
      <c r="O168" s="96">
        <v>28364352945.970001</v>
      </c>
      <c r="P168" s="91">
        <f t="shared" si="121"/>
        <v>5.5853034565243743E-2</v>
      </c>
      <c r="Q168" s="171" t="s">
        <v>330</v>
      </c>
      <c r="R168" s="116">
        <v>84.7</v>
      </c>
      <c r="S168" s="171" t="s">
        <v>330</v>
      </c>
      <c r="T168" s="116">
        <v>84.7</v>
      </c>
      <c r="U168" s="92">
        <v>8119</v>
      </c>
      <c r="V168" s="93">
        <v>2.01E-2</v>
      </c>
      <c r="W168" s="93">
        <v>5.6500000000000002E-2</v>
      </c>
      <c r="X168" s="185">
        <f t="shared" si="120"/>
        <v>4.1870718637583885E-4</v>
      </c>
      <c r="Y168" s="185">
        <f t="shared" si="127"/>
        <v>0.16827586206896555</v>
      </c>
      <c r="Z168" s="185">
        <f t="shared" si="127"/>
        <v>0</v>
      </c>
      <c r="AA168" s="185">
        <f t="shared" si="128"/>
        <v>-1.0046188365499583E-2</v>
      </c>
      <c r="AB168" s="186">
        <f t="shared" si="128"/>
        <v>-1.1574930352079855E-2</v>
      </c>
    </row>
    <row r="169" spans="1:31">
      <c r="A169" s="199">
        <v>149</v>
      </c>
      <c r="B169" s="84" t="s">
        <v>300</v>
      </c>
      <c r="C169" s="85" t="s">
        <v>152</v>
      </c>
      <c r="D169" s="171" t="s">
        <v>330</v>
      </c>
      <c r="E169" s="96">
        <v>36502191326.561859</v>
      </c>
      <c r="F169" s="91">
        <f>(E169/$E$170)</f>
        <v>7.1934938183497055E-2</v>
      </c>
      <c r="G169" s="171" t="s">
        <v>330</v>
      </c>
      <c r="H169" s="116">
        <v>8.65</v>
      </c>
      <c r="I169" s="171" t="s">
        <v>330</v>
      </c>
      <c r="J169" s="116">
        <v>8.65</v>
      </c>
      <c r="K169" s="92">
        <v>215231</v>
      </c>
      <c r="L169" s="93">
        <v>0</v>
      </c>
      <c r="M169" s="93">
        <v>0</v>
      </c>
      <c r="N169" s="171" t="s">
        <v>330</v>
      </c>
      <c r="O169" s="96">
        <v>36502191326.559998</v>
      </c>
      <c r="P169" s="91">
        <f t="shared" si="121"/>
        <v>7.1877477965142933E-2</v>
      </c>
      <c r="Q169" s="171" t="s">
        <v>330</v>
      </c>
      <c r="R169" s="116">
        <v>10.7</v>
      </c>
      <c r="S169" s="171" t="s">
        <v>330</v>
      </c>
      <c r="T169" s="116">
        <v>10.7</v>
      </c>
      <c r="U169" s="92">
        <v>215231</v>
      </c>
      <c r="V169" s="93">
        <v>0</v>
      </c>
      <c r="W169" s="93">
        <v>0</v>
      </c>
      <c r="X169" s="185">
        <f t="shared" si="120"/>
        <v>-5.0998918091538627E-14</v>
      </c>
      <c r="Y169" s="185">
        <f t="shared" si="127"/>
        <v>0.23699421965317904</v>
      </c>
      <c r="Z169" s="185">
        <f t="shared" si="127"/>
        <v>0</v>
      </c>
      <c r="AA169" s="185">
        <f t="shared" si="128"/>
        <v>0</v>
      </c>
      <c r="AB169" s="186">
        <f t="shared" si="128"/>
        <v>0</v>
      </c>
    </row>
    <row r="170" spans="1:31">
      <c r="B170" s="126"/>
      <c r="C170" s="100" t="s">
        <v>52</v>
      </c>
      <c r="D170" s="145" t="s">
        <v>330</v>
      </c>
      <c r="E170" s="101">
        <f>SUM(E164:E169)</f>
        <v>507433414809.49524</v>
      </c>
      <c r="F170" s="102">
        <f>(E170/$E$238)</f>
        <v>5.7244065286653531E-2</v>
      </c>
      <c r="G170" s="171"/>
      <c r="H170" s="103"/>
      <c r="I170" s="103"/>
      <c r="J170" s="127"/>
      <c r="K170" s="105">
        <f>SUM(K164:K169)</f>
        <v>229787</v>
      </c>
      <c r="L170" s="128"/>
      <c r="M170" s="128"/>
      <c r="N170" s="171"/>
      <c r="O170" s="101">
        <f>SUM(O164:O169)</f>
        <v>507839066699.88861</v>
      </c>
      <c r="P170" s="102">
        <f>(O170/$O$238)</f>
        <v>5.7013719862051747E-2</v>
      </c>
      <c r="Q170" s="173"/>
      <c r="R170" s="103"/>
      <c r="S170" s="103"/>
      <c r="T170" s="127"/>
      <c r="U170" s="105">
        <f>SUM(U164:U169)</f>
        <v>229787</v>
      </c>
      <c r="V170" s="128"/>
      <c r="W170" s="128"/>
      <c r="X170" s="185">
        <f t="shared" si="120"/>
        <v>7.9941895538287457E-4</v>
      </c>
      <c r="Y170" s="185" t="e">
        <f t="shared" si="127"/>
        <v>#DIV/0!</v>
      </c>
      <c r="Z170" s="185">
        <f t="shared" si="127"/>
        <v>0</v>
      </c>
      <c r="AA170" s="185">
        <f t="shared" si="128"/>
        <v>0</v>
      </c>
      <c r="AB170" s="186">
        <f t="shared" si="128"/>
        <v>0</v>
      </c>
    </row>
    <row r="171" spans="1:31" ht="5.25" customHeight="1">
      <c r="B171" s="209"/>
      <c r="C171" s="209"/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</row>
    <row r="172" spans="1:31" ht="15" customHeight="1">
      <c r="A172" s="191"/>
      <c r="B172" s="211" t="s">
        <v>203</v>
      </c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</row>
    <row r="173" spans="1:31" ht="13.8" customHeight="1">
      <c r="A173" s="199">
        <v>150</v>
      </c>
      <c r="B173" s="84" t="s">
        <v>204</v>
      </c>
      <c r="C173" s="85" t="s">
        <v>56</v>
      </c>
      <c r="D173" s="171" t="s">
        <v>330</v>
      </c>
      <c r="E173" s="90">
        <v>935781097.25</v>
      </c>
      <c r="F173" s="91">
        <f t="shared" ref="F173:F192" si="129">(E173/$E$203)</f>
        <v>6.3401255477126489E-3</v>
      </c>
      <c r="G173" s="171" t="s">
        <v>330</v>
      </c>
      <c r="H173" s="90">
        <v>9.69</v>
      </c>
      <c r="I173" s="171" t="s">
        <v>330</v>
      </c>
      <c r="J173" s="90">
        <v>9.8000000000000007</v>
      </c>
      <c r="K173" s="88">
        <v>11983</v>
      </c>
      <c r="L173" s="89">
        <v>2.1679999999999998E-3</v>
      </c>
      <c r="M173" s="89">
        <v>0.23558699999999999</v>
      </c>
      <c r="N173" s="171" t="s">
        <v>330</v>
      </c>
      <c r="O173" s="90">
        <v>948038354.75999999</v>
      </c>
      <c r="P173" s="113">
        <f t="shared" ref="P173:P202" si="130">(O173/$O$203)</f>
        <v>6.1862943001733117E-3</v>
      </c>
      <c r="Q173" s="171" t="s">
        <v>330</v>
      </c>
      <c r="R173" s="90">
        <v>9.76</v>
      </c>
      <c r="S173" s="171" t="s">
        <v>330</v>
      </c>
      <c r="T173" s="90">
        <v>9.94</v>
      </c>
      <c r="U173" s="88">
        <v>11989</v>
      </c>
      <c r="V173" s="89">
        <v>9.0659999999999994E-3</v>
      </c>
      <c r="W173" s="89">
        <v>0.24465300000000001</v>
      </c>
      <c r="X173" s="185">
        <f>((O173-E173)/E173)</f>
        <v>1.3098423922026909E-2</v>
      </c>
      <c r="Y173" s="185">
        <f t="shared" ref="Y173:Z177" si="131">((T173-J173)/J173)</f>
        <v>1.4285714285714162E-2</v>
      </c>
      <c r="Z173" s="185">
        <f t="shared" si="131"/>
        <v>5.0070933822915801E-4</v>
      </c>
      <c r="AA173" s="185">
        <f t="shared" ref="AA173:AB177" si="132">V173-L173</f>
        <v>6.8979999999999996E-3</v>
      </c>
      <c r="AB173" s="186">
        <f t="shared" si="132"/>
        <v>9.0660000000000185E-3</v>
      </c>
      <c r="AD173" s="41"/>
    </row>
    <row r="174" spans="1:31" ht="14.4" customHeight="1">
      <c r="A174" s="199">
        <v>151</v>
      </c>
      <c r="B174" s="84" t="s">
        <v>205</v>
      </c>
      <c r="C174" s="84" t="s">
        <v>206</v>
      </c>
      <c r="D174" s="171" t="s">
        <v>330</v>
      </c>
      <c r="E174" s="90">
        <v>2388847076.0493712</v>
      </c>
      <c r="F174" s="91">
        <f t="shared" si="129"/>
        <v>1.6184971486331527E-2</v>
      </c>
      <c r="G174" s="171" t="s">
        <v>330</v>
      </c>
      <c r="H174" s="90">
        <v>3058.0115578145019</v>
      </c>
      <c r="I174" s="171" t="s">
        <v>330</v>
      </c>
      <c r="J174" s="90">
        <v>3074.8337121570112</v>
      </c>
      <c r="K174" s="88">
        <v>228</v>
      </c>
      <c r="L174" s="89">
        <v>9.8218803335391236E-2</v>
      </c>
      <c r="M174" s="89">
        <v>0.39090000000000003</v>
      </c>
      <c r="N174" s="171" t="s">
        <v>330</v>
      </c>
      <c r="O174" s="90">
        <v>2631952222.8899999</v>
      </c>
      <c r="P174" s="113">
        <f t="shared" si="130"/>
        <v>1.7174443368290462E-2</v>
      </c>
      <c r="Q174" s="171" t="s">
        <v>330</v>
      </c>
      <c r="R174" s="90">
        <v>3083.6</v>
      </c>
      <c r="S174" s="171" t="s">
        <v>330</v>
      </c>
      <c r="T174" s="90">
        <v>3105.1</v>
      </c>
      <c r="U174" s="88">
        <v>240</v>
      </c>
      <c r="V174" s="89">
        <v>9.2999999999999992E-3</v>
      </c>
      <c r="W174" s="89">
        <v>0.4037</v>
      </c>
      <c r="X174" s="185">
        <f>((O174-E174)/E174)</f>
        <v>0.10176672641710963</v>
      </c>
      <c r="Y174" s="185">
        <f t="shared" si="131"/>
        <v>9.8432275291260481E-3</v>
      </c>
      <c r="Z174" s="185">
        <f t="shared" si="131"/>
        <v>5.2631578947368418E-2</v>
      </c>
      <c r="AA174" s="185">
        <f t="shared" si="132"/>
        <v>-8.8918803335391233E-2</v>
      </c>
      <c r="AB174" s="186">
        <f t="shared" si="132"/>
        <v>1.2799999999999978E-2</v>
      </c>
      <c r="AD174" s="50"/>
      <c r="AE174" s="50"/>
    </row>
    <row r="175" spans="1:31" ht="14.4" customHeight="1">
      <c r="A175" s="199">
        <v>152</v>
      </c>
      <c r="B175" s="84" t="s">
        <v>207</v>
      </c>
      <c r="C175" s="85" t="s">
        <v>23</v>
      </c>
      <c r="D175" s="171" t="s">
        <v>330</v>
      </c>
      <c r="E175" s="90">
        <v>15708938950.309999</v>
      </c>
      <c r="F175" s="91">
        <f t="shared" si="129"/>
        <v>0.10643156338486164</v>
      </c>
      <c r="G175" s="171" t="s">
        <v>330</v>
      </c>
      <c r="H175" s="90">
        <v>1403.6152</v>
      </c>
      <c r="I175" s="171" t="s">
        <v>330</v>
      </c>
      <c r="J175" s="90">
        <v>1445.9351999999999</v>
      </c>
      <c r="K175" s="88">
        <v>23104</v>
      </c>
      <c r="L175" s="89">
        <v>2.1124312420264051E-3</v>
      </c>
      <c r="M175" s="89">
        <v>0.33032270695817539</v>
      </c>
      <c r="N175" s="171" t="s">
        <v>330</v>
      </c>
      <c r="O175" s="90">
        <v>16040562454.07</v>
      </c>
      <c r="P175" s="113">
        <f t="shared" si="130"/>
        <v>0.10467049100171499</v>
      </c>
      <c r="Q175" s="171" t="s">
        <v>330</v>
      </c>
      <c r="R175" s="90">
        <v>1420.5283999999999</v>
      </c>
      <c r="S175" s="171" t="s">
        <v>330</v>
      </c>
      <c r="T175" s="90">
        <v>1463.3584000000001</v>
      </c>
      <c r="U175" s="88">
        <v>23201</v>
      </c>
      <c r="V175" s="89">
        <v>1.2E-2</v>
      </c>
      <c r="W175" s="89">
        <v>0.34639999999999999</v>
      </c>
      <c r="X175" s="185">
        <f t="shared" ref="X175:X202" si="133">((O175-E175)/E175)</f>
        <v>2.1110496692932655E-2</v>
      </c>
      <c r="Y175" s="185">
        <f t="shared" si="131"/>
        <v>1.204977927088308E-2</v>
      </c>
      <c r="Z175" s="185">
        <f t="shared" si="131"/>
        <v>4.1984072022160663E-3</v>
      </c>
      <c r="AA175" s="185">
        <f t="shared" si="132"/>
        <v>9.8875687579735947E-3</v>
      </c>
      <c r="AB175" s="186">
        <f t="shared" si="132"/>
        <v>1.6077293041824592E-2</v>
      </c>
      <c r="AD175" s="41"/>
      <c r="AE175" s="41"/>
    </row>
    <row r="176" spans="1:31" ht="15.6" customHeight="1">
      <c r="A176" s="199">
        <v>153</v>
      </c>
      <c r="B176" s="84" t="s">
        <v>208</v>
      </c>
      <c r="C176" s="85" t="s">
        <v>121</v>
      </c>
      <c r="D176" s="171" t="s">
        <v>330</v>
      </c>
      <c r="E176" s="90">
        <v>8036655682.9200001</v>
      </c>
      <c r="F176" s="91">
        <f t="shared" si="129"/>
        <v>5.4450133864841904E-2</v>
      </c>
      <c r="G176" s="171" t="s">
        <v>330</v>
      </c>
      <c r="H176" s="90">
        <v>46.5595</v>
      </c>
      <c r="I176" s="171" t="s">
        <v>330</v>
      </c>
      <c r="J176" s="90">
        <v>47.1586</v>
      </c>
      <c r="K176" s="92">
        <v>6313</v>
      </c>
      <c r="L176" s="93">
        <v>2.2800000000000001E-2</v>
      </c>
      <c r="M176" s="93">
        <v>0.37280000000000002</v>
      </c>
      <c r="N176" s="171" t="s">
        <v>330</v>
      </c>
      <c r="O176" s="90">
        <v>8226037620.7799997</v>
      </c>
      <c r="P176" s="113">
        <f t="shared" si="130"/>
        <v>5.3677880637355894E-2</v>
      </c>
      <c r="Q176" s="171" t="s">
        <v>330</v>
      </c>
      <c r="R176" s="90">
        <v>47.746099999999998</v>
      </c>
      <c r="S176" s="171" t="s">
        <v>330</v>
      </c>
      <c r="T176" s="90">
        <v>48.357199999999999</v>
      </c>
      <c r="U176" s="92">
        <v>6309</v>
      </c>
      <c r="V176" s="93">
        <v>3.2000000000000001E-2</v>
      </c>
      <c r="W176" s="93">
        <v>0.40770000000000001</v>
      </c>
      <c r="X176" s="185">
        <f t="shared" si="133"/>
        <v>2.3564769393130267E-2</v>
      </c>
      <c r="Y176" s="185">
        <f t="shared" si="131"/>
        <v>2.5416360960673113E-2</v>
      </c>
      <c r="Z176" s="185">
        <f t="shared" si="131"/>
        <v>-6.3361317915412642E-4</v>
      </c>
      <c r="AA176" s="185">
        <f t="shared" si="132"/>
        <v>9.1999999999999998E-3</v>
      </c>
      <c r="AB176" s="186">
        <f t="shared" si="132"/>
        <v>3.4899999999999987E-2</v>
      </c>
      <c r="AD176" s="50"/>
      <c r="AE176" s="50"/>
    </row>
    <row r="177" spans="1:33" ht="16.2" customHeight="1">
      <c r="A177" s="204">
        <v>154</v>
      </c>
      <c r="B177" s="84" t="s">
        <v>209</v>
      </c>
      <c r="C177" s="85" t="s">
        <v>128</v>
      </c>
      <c r="D177" s="171" t="s">
        <v>330</v>
      </c>
      <c r="E177" s="96">
        <v>3755968771.2254081</v>
      </c>
      <c r="F177" s="91">
        <f t="shared" si="129"/>
        <v>2.5447525743828116E-2</v>
      </c>
      <c r="G177" s="171" t="s">
        <v>330</v>
      </c>
      <c r="H177" s="90">
        <v>8.9011999999999993</v>
      </c>
      <c r="I177" s="171" t="s">
        <v>330</v>
      </c>
      <c r="J177" s="90">
        <v>9.1417999999999999</v>
      </c>
      <c r="K177" s="92">
        <v>2737</v>
      </c>
      <c r="L177" s="93">
        <v>1.5766841853798341E-2</v>
      </c>
      <c r="M177" s="93">
        <v>0.52150322881299516</v>
      </c>
      <c r="N177" s="171" t="s">
        <v>330</v>
      </c>
      <c r="O177" s="96">
        <v>3957266478.04</v>
      </c>
      <c r="P177" s="113">
        <f t="shared" si="130"/>
        <v>2.5822599828846788E-2</v>
      </c>
      <c r="Q177" s="171" t="s">
        <v>330</v>
      </c>
      <c r="R177" s="90">
        <v>9.3777000000000008</v>
      </c>
      <c r="S177" s="171" t="s">
        <v>330</v>
      </c>
      <c r="T177" s="90">
        <v>9.6318000000000001</v>
      </c>
      <c r="U177" s="92">
        <v>2737</v>
      </c>
      <c r="V177" s="93">
        <v>5.3600000000000002E-2</v>
      </c>
      <c r="W177" s="93">
        <v>0.56759999999999999</v>
      </c>
      <c r="X177" s="185">
        <f t="shared" si="133"/>
        <v>5.3594084263090737E-2</v>
      </c>
      <c r="Y177" s="185">
        <f t="shared" si="131"/>
        <v>5.3599947493929011E-2</v>
      </c>
      <c r="Z177" s="185">
        <f t="shared" si="131"/>
        <v>0</v>
      </c>
      <c r="AA177" s="185">
        <f t="shared" si="132"/>
        <v>3.7833158146201661E-2</v>
      </c>
      <c r="AB177" s="186">
        <f t="shared" si="132"/>
        <v>4.6096771187004837E-2</v>
      </c>
      <c r="AC177" s="41"/>
      <c r="AD177" s="41"/>
      <c r="AE177" s="41"/>
      <c r="AG177" s="50"/>
    </row>
    <row r="178" spans="1:33" ht="15.6" customHeight="1">
      <c r="A178" s="199">
        <v>155</v>
      </c>
      <c r="B178" s="84" t="s">
        <v>210</v>
      </c>
      <c r="C178" s="85" t="s">
        <v>27</v>
      </c>
      <c r="D178" s="171" t="s">
        <v>330</v>
      </c>
      <c r="E178" s="96">
        <v>2968006105.54</v>
      </c>
      <c r="F178" s="91">
        <f t="shared" si="129"/>
        <v>2.0108903023154413E-2</v>
      </c>
      <c r="G178" s="171" t="s">
        <v>330</v>
      </c>
      <c r="H178" s="90">
        <v>1.7654000000000001</v>
      </c>
      <c r="I178" s="171" t="s">
        <v>330</v>
      </c>
      <c r="J178" s="90">
        <v>1.7785</v>
      </c>
      <c r="K178" s="92">
        <v>529</v>
      </c>
      <c r="L178" s="93">
        <v>-5.3800000000000001E-2</v>
      </c>
      <c r="M178" s="93">
        <v>0.41959999999999997</v>
      </c>
      <c r="N178" s="171" t="s">
        <v>330</v>
      </c>
      <c r="O178" s="96">
        <v>3536805589.9299998</v>
      </c>
      <c r="P178" s="113">
        <f t="shared" si="130"/>
        <v>2.3078939952111969E-2</v>
      </c>
      <c r="Q178" s="171" t="s">
        <v>330</v>
      </c>
      <c r="R178" s="90">
        <v>1.8069</v>
      </c>
      <c r="S178" s="171" t="s">
        <v>330</v>
      </c>
      <c r="T178" s="90">
        <v>1.8184</v>
      </c>
      <c r="U178" s="92">
        <v>613</v>
      </c>
      <c r="V178" s="93">
        <v>2.3E-2</v>
      </c>
      <c r="W178" s="93">
        <v>0.45200000000000001</v>
      </c>
      <c r="X178" s="185">
        <f t="shared" ref="X178" si="134">((O178-E178)/E178)</f>
        <v>0.1916436368942416</v>
      </c>
      <c r="Y178" s="185">
        <f t="shared" ref="Y178" si="135">((T178-J178)/J178)</f>
        <v>2.2434635929153807E-2</v>
      </c>
      <c r="Z178" s="185">
        <f t="shared" ref="Z178" si="136">((U178-K178)/K178)</f>
        <v>0.15879017013232513</v>
      </c>
      <c r="AA178" s="185">
        <f t="shared" ref="AA178" si="137">V178-L178</f>
        <v>7.6800000000000007E-2</v>
      </c>
      <c r="AB178" s="186">
        <f t="shared" ref="AB178" si="138">W178-M178</f>
        <v>3.240000000000004E-2</v>
      </c>
      <c r="AD178" s="50"/>
      <c r="AE178" s="50"/>
    </row>
    <row r="179" spans="1:33" ht="16.2" customHeight="1">
      <c r="A179" s="199">
        <v>156</v>
      </c>
      <c r="B179" s="84" t="s">
        <v>211</v>
      </c>
      <c r="C179" s="85" t="s">
        <v>67</v>
      </c>
      <c r="D179" s="171" t="s">
        <v>330</v>
      </c>
      <c r="E179" s="90">
        <v>10551662689.2649</v>
      </c>
      <c r="F179" s="91">
        <f t="shared" si="129"/>
        <v>7.1489867003780988E-2</v>
      </c>
      <c r="G179" s="171" t="s">
        <v>330</v>
      </c>
      <c r="H179" s="90">
        <v>14534.4416211139</v>
      </c>
      <c r="I179" s="171" t="s">
        <v>330</v>
      </c>
      <c r="J179" s="90">
        <v>14640.6419631852</v>
      </c>
      <c r="K179" s="92">
        <v>1643</v>
      </c>
      <c r="L179" s="93">
        <v>-0.47938918263274322</v>
      </c>
      <c r="M179" s="93">
        <v>0.85950489688164811</v>
      </c>
      <c r="N179" s="171" t="s">
        <v>330</v>
      </c>
      <c r="O179" s="90">
        <v>10707084179.209999</v>
      </c>
      <c r="P179" s="113">
        <f t="shared" si="130"/>
        <v>6.9867609782613582E-2</v>
      </c>
      <c r="Q179" s="171" t="s">
        <v>330</v>
      </c>
      <c r="R179" s="90">
        <v>14679.85</v>
      </c>
      <c r="S179" s="171" t="s">
        <v>330</v>
      </c>
      <c r="T179" s="90">
        <v>14787.78</v>
      </c>
      <c r="U179" s="92">
        <v>1655</v>
      </c>
      <c r="V179" s="93">
        <v>0.01</v>
      </c>
      <c r="W179" s="93">
        <v>0.31430000000000002</v>
      </c>
      <c r="X179" s="185">
        <f t="shared" si="133"/>
        <v>1.4729573387824681E-2</v>
      </c>
      <c r="Y179" s="185">
        <f t="shared" ref="Y179:Y191" si="139">((T179-J179)/J179)</f>
        <v>1.0049971660039765E-2</v>
      </c>
      <c r="Z179" s="185">
        <f t="shared" ref="Z179:Z191" si="140">((U179-K179)/K179)</f>
        <v>7.3037127206329886E-3</v>
      </c>
      <c r="AA179" s="185">
        <f t="shared" ref="AA179:AA191" si="141">V179-L179</f>
        <v>0.48938918263274322</v>
      </c>
      <c r="AB179" s="186">
        <f t="shared" ref="AB179:AB191" si="142">W179-M179</f>
        <v>-0.54520489688164808</v>
      </c>
      <c r="AD179" s="41"/>
      <c r="AE179" s="41"/>
      <c r="AG179" s="50"/>
    </row>
    <row r="180" spans="1:33" ht="16.2" customHeight="1">
      <c r="A180" s="199">
        <v>157</v>
      </c>
      <c r="B180" s="84" t="s">
        <v>212</v>
      </c>
      <c r="C180" s="85" t="s">
        <v>69</v>
      </c>
      <c r="D180" s="171" t="s">
        <v>330</v>
      </c>
      <c r="E180" s="90">
        <v>2416429921.3400002</v>
      </c>
      <c r="F180" s="91">
        <f t="shared" si="129"/>
        <v>1.6371851412224071E-2</v>
      </c>
      <c r="G180" s="171" t="s">
        <v>330</v>
      </c>
      <c r="H180" s="90">
        <v>308.68</v>
      </c>
      <c r="I180" s="171" t="s">
        <v>330</v>
      </c>
      <c r="J180" s="90">
        <v>310.81</v>
      </c>
      <c r="K180" s="92">
        <v>508</v>
      </c>
      <c r="L180" s="93">
        <v>0</v>
      </c>
      <c r="M180" s="93">
        <v>0.3362</v>
      </c>
      <c r="N180" s="171" t="s">
        <v>330</v>
      </c>
      <c r="O180" s="90">
        <v>2875408342.3400002</v>
      </c>
      <c r="P180" s="113">
        <f t="shared" si="130"/>
        <v>1.8763082895936076E-2</v>
      </c>
      <c r="Q180" s="171" t="s">
        <v>330</v>
      </c>
      <c r="R180" s="90">
        <v>303.33999999999997</v>
      </c>
      <c r="S180" s="171" t="s">
        <v>330</v>
      </c>
      <c r="T180" s="90">
        <v>305.14</v>
      </c>
      <c r="U180" s="92">
        <v>508</v>
      </c>
      <c r="V180" s="93">
        <v>1.6000000000000001E-3</v>
      </c>
      <c r="W180" s="93">
        <v>0.3538</v>
      </c>
      <c r="X180" s="185">
        <f t="shared" si="133"/>
        <v>0.1899407125142199</v>
      </c>
      <c r="Y180" s="185">
        <f t="shared" si="139"/>
        <v>-1.824265628519036E-2</v>
      </c>
      <c r="Z180" s="185">
        <f t="shared" si="140"/>
        <v>0</v>
      </c>
      <c r="AA180" s="185">
        <f t="shared" si="141"/>
        <v>1.6000000000000001E-3</v>
      </c>
      <c r="AB180" s="186">
        <f t="shared" si="142"/>
        <v>1.7600000000000005E-2</v>
      </c>
    </row>
    <row r="181" spans="1:33" ht="14.4" customHeight="1">
      <c r="A181" s="199">
        <v>158</v>
      </c>
      <c r="B181" s="84" t="s">
        <v>213</v>
      </c>
      <c r="C181" s="85" t="s">
        <v>214</v>
      </c>
      <c r="D181" s="171" t="s">
        <v>330</v>
      </c>
      <c r="E181" s="90">
        <v>5799316561.3900003</v>
      </c>
      <c r="F181" s="91">
        <f t="shared" si="129"/>
        <v>3.9291662546073955E-2</v>
      </c>
      <c r="G181" s="171" t="s">
        <v>330</v>
      </c>
      <c r="H181" s="90">
        <v>2.6943000000000001</v>
      </c>
      <c r="I181" s="171" t="s">
        <v>330</v>
      </c>
      <c r="J181" s="90">
        <v>2.7412000000000001</v>
      </c>
      <c r="K181" s="92">
        <v>4901</v>
      </c>
      <c r="L181" s="93">
        <v>-5.866725702900033E-3</v>
      </c>
      <c r="M181" s="93">
        <v>0.36717977686767411</v>
      </c>
      <c r="N181" s="171" t="s">
        <v>330</v>
      </c>
      <c r="O181" s="90">
        <v>5928855120.4700003</v>
      </c>
      <c r="P181" s="113">
        <f t="shared" si="130"/>
        <v>3.8687931194093958E-2</v>
      </c>
      <c r="Q181" s="171" t="s">
        <v>330</v>
      </c>
      <c r="R181" s="90">
        <v>2.7410999999999999</v>
      </c>
      <c r="S181" s="171" t="s">
        <v>330</v>
      </c>
      <c r="T181" s="90">
        <v>2.7608999999999999</v>
      </c>
      <c r="U181" s="92">
        <v>5200</v>
      </c>
      <c r="V181" s="93">
        <v>1.7399999999999999E-2</v>
      </c>
      <c r="W181" s="93">
        <v>0.38919999999999999</v>
      </c>
      <c r="X181" s="185">
        <f t="shared" si="133"/>
        <v>2.2336866371880149E-2</v>
      </c>
      <c r="Y181" s="185">
        <f t="shared" si="139"/>
        <v>7.1866335911279101E-3</v>
      </c>
      <c r="Z181" s="185">
        <f t="shared" si="140"/>
        <v>6.1007957559681698E-2</v>
      </c>
      <c r="AA181" s="185">
        <f t="shared" si="141"/>
        <v>2.3266725702900032E-2</v>
      </c>
      <c r="AB181" s="186">
        <f t="shared" si="142"/>
        <v>2.2020223132325878E-2</v>
      </c>
    </row>
    <row r="182" spans="1:33" ht="15.6" customHeight="1">
      <c r="A182" s="199">
        <v>159</v>
      </c>
      <c r="B182" s="84" t="s">
        <v>215</v>
      </c>
      <c r="C182" s="85" t="s">
        <v>29</v>
      </c>
      <c r="D182" s="171" t="s">
        <v>330</v>
      </c>
      <c r="E182" s="107">
        <v>1287118342.52</v>
      </c>
      <c r="F182" s="91">
        <f t="shared" si="129"/>
        <v>8.7205137080905194E-3</v>
      </c>
      <c r="G182" s="171" t="s">
        <v>330</v>
      </c>
      <c r="H182" s="90">
        <v>292.75029999999998</v>
      </c>
      <c r="I182" s="171" t="s">
        <v>330</v>
      </c>
      <c r="J182" s="90">
        <v>294.37400000000002</v>
      </c>
      <c r="K182" s="92">
        <v>205</v>
      </c>
      <c r="L182" s="93">
        <v>1.0549999999999999E-3</v>
      </c>
      <c r="M182" s="93">
        <v>0.38700000000000001</v>
      </c>
      <c r="N182" s="171" t="s">
        <v>330</v>
      </c>
      <c r="O182" s="107">
        <v>1427637687.3099999</v>
      </c>
      <c r="P182" s="113">
        <f t="shared" si="130"/>
        <v>9.3158539877368843E-3</v>
      </c>
      <c r="Q182" s="171" t="s">
        <v>330</v>
      </c>
      <c r="R182" s="90">
        <v>297.04640000000001</v>
      </c>
      <c r="S182" s="171" t="s">
        <v>330</v>
      </c>
      <c r="T182" s="90">
        <v>298.65699999999998</v>
      </c>
      <c r="U182" s="92">
        <v>208</v>
      </c>
      <c r="V182" s="93">
        <v>9.5499999999999995E-3</v>
      </c>
      <c r="W182" s="93">
        <v>0.40739999999999998</v>
      </c>
      <c r="X182" s="185">
        <f t="shared" si="133"/>
        <v>0.10917360132937154</v>
      </c>
      <c r="Y182" s="185">
        <f t="shared" si="139"/>
        <v>1.4549518639553623E-2</v>
      </c>
      <c r="Z182" s="185">
        <f t="shared" si="140"/>
        <v>1.4634146341463415E-2</v>
      </c>
      <c r="AA182" s="185">
        <f t="shared" si="141"/>
        <v>8.4949999999999991E-3</v>
      </c>
      <c r="AB182" s="186">
        <f t="shared" si="142"/>
        <v>2.0399999999999974E-2</v>
      </c>
    </row>
    <row r="183" spans="1:33" ht="13.8" customHeight="1">
      <c r="A183" s="199">
        <v>160</v>
      </c>
      <c r="B183" s="84" t="s">
        <v>216</v>
      </c>
      <c r="C183" s="85" t="s">
        <v>75</v>
      </c>
      <c r="D183" s="171" t="s">
        <v>330</v>
      </c>
      <c r="E183" s="107">
        <v>2064652182.96</v>
      </c>
      <c r="F183" s="91">
        <f t="shared" si="129"/>
        <v>1.3988478812826742E-2</v>
      </c>
      <c r="G183" s="171" t="s">
        <v>330</v>
      </c>
      <c r="H183" s="90">
        <v>215.43</v>
      </c>
      <c r="I183" s="171" t="s">
        <v>330</v>
      </c>
      <c r="J183" s="90">
        <v>215.92</v>
      </c>
      <c r="K183" s="92">
        <v>137</v>
      </c>
      <c r="L183" s="93">
        <v>-1.26E-2</v>
      </c>
      <c r="M183" s="93">
        <v>0.26960000000000001</v>
      </c>
      <c r="N183" s="171" t="s">
        <v>330</v>
      </c>
      <c r="O183" s="107">
        <v>2603056420.0799999</v>
      </c>
      <c r="P183" s="113">
        <f t="shared" si="130"/>
        <v>1.6985887768904733E-2</v>
      </c>
      <c r="Q183" s="171" t="s">
        <v>330</v>
      </c>
      <c r="R183" s="90">
        <v>221.54</v>
      </c>
      <c r="S183" s="171" t="s">
        <v>330</v>
      </c>
      <c r="T183" s="90">
        <v>222.02</v>
      </c>
      <c r="U183" s="92">
        <v>137</v>
      </c>
      <c r="V183" s="93">
        <v>3.5999999999999997E-2</v>
      </c>
      <c r="W183" s="93">
        <v>0.30559999999999998</v>
      </c>
      <c r="X183" s="185">
        <f t="shared" si="133"/>
        <v>0.26077236716361285</v>
      </c>
      <c r="Y183" s="185">
        <f t="shared" si="139"/>
        <v>2.8251204149685176E-2</v>
      </c>
      <c r="Z183" s="185">
        <f t="shared" si="140"/>
        <v>0</v>
      </c>
      <c r="AA183" s="185">
        <f t="shared" si="141"/>
        <v>4.8599999999999997E-2</v>
      </c>
      <c r="AB183" s="186">
        <f t="shared" si="142"/>
        <v>3.5999999999999976E-2</v>
      </c>
    </row>
    <row r="184" spans="1:33" ht="15.75" customHeight="1">
      <c r="A184" s="199">
        <v>161</v>
      </c>
      <c r="B184" s="84" t="s">
        <v>217</v>
      </c>
      <c r="C184" s="85" t="s">
        <v>78</v>
      </c>
      <c r="D184" s="171" t="s">
        <v>330</v>
      </c>
      <c r="E184" s="96">
        <v>1136540210.04</v>
      </c>
      <c r="F184" s="91">
        <f t="shared" si="129"/>
        <v>7.700313292129073E-3</v>
      </c>
      <c r="G184" s="171" t="s">
        <v>330</v>
      </c>
      <c r="H184" s="90">
        <v>2.61117</v>
      </c>
      <c r="I184" s="171" t="s">
        <v>330</v>
      </c>
      <c r="J184" s="90">
        <v>2.6386799999999999</v>
      </c>
      <c r="K184" s="92">
        <v>181</v>
      </c>
      <c r="L184" s="93">
        <v>0</v>
      </c>
      <c r="M184" s="93">
        <v>0.43740000000000001</v>
      </c>
      <c r="N184" s="171" t="s">
        <v>330</v>
      </c>
      <c r="O184" s="96">
        <v>1127979620.8099999</v>
      </c>
      <c r="P184" s="113">
        <f t="shared" si="130"/>
        <v>7.3604763603631529E-3</v>
      </c>
      <c r="Q184" s="171" t="s">
        <v>330</v>
      </c>
      <c r="R184" s="90">
        <v>2.63</v>
      </c>
      <c r="S184" s="171" t="s">
        <v>330</v>
      </c>
      <c r="T184" s="90">
        <v>2.66</v>
      </c>
      <c r="U184" s="92">
        <v>185</v>
      </c>
      <c r="V184" s="93">
        <v>0</v>
      </c>
      <c r="W184" s="93">
        <v>0.4768</v>
      </c>
      <c r="X184" s="185">
        <f t="shared" si="133"/>
        <v>-7.5321481408024563E-3</v>
      </c>
      <c r="Y184" s="185">
        <f t="shared" si="139"/>
        <v>8.0797974744949101E-3</v>
      </c>
      <c r="Z184" s="185">
        <f t="shared" si="140"/>
        <v>2.2099447513812154E-2</v>
      </c>
      <c r="AA184" s="185">
        <f t="shared" si="141"/>
        <v>0</v>
      </c>
      <c r="AB184" s="186">
        <f t="shared" si="142"/>
        <v>3.9399999999999991E-2</v>
      </c>
      <c r="AD184" s="41"/>
    </row>
    <row r="185" spans="1:33" ht="16.8" customHeight="1">
      <c r="A185" s="199">
        <v>162</v>
      </c>
      <c r="B185" s="84" t="s">
        <v>326</v>
      </c>
      <c r="C185" s="85" t="s">
        <v>79</v>
      </c>
      <c r="D185" s="171" t="s">
        <v>330</v>
      </c>
      <c r="E185" s="90">
        <v>20432515462.830002</v>
      </c>
      <c r="F185" s="91">
        <f t="shared" si="129"/>
        <v>0.13843484728492386</v>
      </c>
      <c r="G185" s="171" t="s">
        <v>330</v>
      </c>
      <c r="H185" s="90">
        <v>607.09</v>
      </c>
      <c r="I185" s="171" t="s">
        <v>330</v>
      </c>
      <c r="J185" s="90">
        <v>612.74</v>
      </c>
      <c r="K185" s="92">
        <v>5640</v>
      </c>
      <c r="L185" s="93">
        <v>-5.5999999999999999E-3</v>
      </c>
      <c r="M185" s="93">
        <v>0.41739999999999999</v>
      </c>
      <c r="N185" s="171" t="s">
        <v>330</v>
      </c>
      <c r="O185" s="90">
        <v>20946594498.68</v>
      </c>
      <c r="P185" s="113">
        <f t="shared" si="130"/>
        <v>0.13668413045169456</v>
      </c>
      <c r="Q185" s="171" t="s">
        <v>330</v>
      </c>
      <c r="R185" s="90">
        <v>620.11</v>
      </c>
      <c r="S185" s="171" t="s">
        <v>330</v>
      </c>
      <c r="T185" s="90">
        <v>625.95000000000005</v>
      </c>
      <c r="U185" s="92">
        <v>5698</v>
      </c>
      <c r="V185" s="93">
        <v>2.1499999999999998E-2</v>
      </c>
      <c r="W185" s="93">
        <v>0.44779999999999998</v>
      </c>
      <c r="X185" s="185">
        <f t="shared" si="133"/>
        <v>2.515985057176098E-2</v>
      </c>
      <c r="Y185" s="185">
        <f t="shared" si="139"/>
        <v>2.1558899370042819E-2</v>
      </c>
      <c r="Z185" s="185">
        <f t="shared" si="140"/>
        <v>1.0283687943262411E-2</v>
      </c>
      <c r="AA185" s="185">
        <f t="shared" si="141"/>
        <v>2.7099999999999999E-2</v>
      </c>
      <c r="AB185" s="186">
        <f t="shared" si="142"/>
        <v>3.0399999999999983E-2</v>
      </c>
    </row>
    <row r="186" spans="1:33" ht="13.8" customHeight="1">
      <c r="A186" s="199">
        <v>163</v>
      </c>
      <c r="B186" s="84" t="s">
        <v>218</v>
      </c>
      <c r="C186" s="85" t="s">
        <v>87</v>
      </c>
      <c r="D186" s="171" t="s">
        <v>330</v>
      </c>
      <c r="E186" s="90">
        <v>6753920723.7700005</v>
      </c>
      <c r="F186" s="91">
        <f t="shared" si="129"/>
        <v>4.5759318556271557E-2</v>
      </c>
      <c r="G186" s="171" t="s">
        <v>330</v>
      </c>
      <c r="H186" s="90">
        <v>3.9407999999999999</v>
      </c>
      <c r="I186" s="171" t="s">
        <v>330</v>
      </c>
      <c r="J186" s="90">
        <v>4.0194999999999999</v>
      </c>
      <c r="K186" s="92">
        <v>10201</v>
      </c>
      <c r="L186" s="93">
        <v>-4.0752037601880604E-3</v>
      </c>
      <c r="M186" s="93">
        <v>0.28786654165723696</v>
      </c>
      <c r="N186" s="171" t="s">
        <v>330</v>
      </c>
      <c r="O186" s="90">
        <v>6826345636.5100002</v>
      </c>
      <c r="P186" s="113">
        <f t="shared" si="130"/>
        <v>4.4544382503222062E-2</v>
      </c>
      <c r="Q186" s="171" t="s">
        <v>330</v>
      </c>
      <c r="R186" s="90">
        <v>3.9847000000000001</v>
      </c>
      <c r="S186" s="171" t="s">
        <v>330</v>
      </c>
      <c r="T186" s="90">
        <v>4.0651000000000002</v>
      </c>
      <c r="U186" s="92">
        <v>10201</v>
      </c>
      <c r="V186" s="93">
        <v>1.1299999999999999E-2</v>
      </c>
      <c r="W186" s="93">
        <v>0.3024</v>
      </c>
      <c r="X186" s="185">
        <f t="shared" si="133"/>
        <v>1.0723388044088945E-2</v>
      </c>
      <c r="Y186" s="185">
        <f t="shared" si="139"/>
        <v>1.1344694613758007E-2</v>
      </c>
      <c r="Z186" s="185">
        <f t="shared" si="140"/>
        <v>0</v>
      </c>
      <c r="AA186" s="185">
        <f t="shared" si="141"/>
        <v>1.5375203760188059E-2</v>
      </c>
      <c r="AB186" s="186">
        <f t="shared" si="142"/>
        <v>1.4533458342763039E-2</v>
      </c>
    </row>
    <row r="187" spans="1:33" ht="16.2" customHeight="1">
      <c r="A187" s="199">
        <v>164</v>
      </c>
      <c r="B187" s="84" t="s">
        <v>219</v>
      </c>
      <c r="C187" s="85" t="s">
        <v>89</v>
      </c>
      <c r="D187" s="171" t="s">
        <v>330</v>
      </c>
      <c r="E187" s="90">
        <v>394857864.91000003</v>
      </c>
      <c r="F187" s="91">
        <f t="shared" si="129"/>
        <v>2.6752500604982285E-3</v>
      </c>
      <c r="G187" s="171" t="s">
        <v>330</v>
      </c>
      <c r="H187" s="90">
        <v>402.25382772</v>
      </c>
      <c r="I187" s="171" t="s">
        <v>330</v>
      </c>
      <c r="J187" s="90">
        <v>402.25382772</v>
      </c>
      <c r="K187" s="92">
        <v>35</v>
      </c>
      <c r="L187" s="93">
        <v>1.2576E-2</v>
      </c>
      <c r="M187" s="93">
        <v>0.50675899999999996</v>
      </c>
      <c r="N187" s="171" t="s">
        <v>330</v>
      </c>
      <c r="O187" s="90">
        <v>397086776.89999998</v>
      </c>
      <c r="P187" s="113">
        <f t="shared" si="130"/>
        <v>2.5911353188158024E-3</v>
      </c>
      <c r="Q187" s="171" t="s">
        <v>330</v>
      </c>
      <c r="R187" s="90">
        <v>403.34</v>
      </c>
      <c r="S187" s="171" t="s">
        <v>330</v>
      </c>
      <c r="T187" s="90">
        <v>403.34</v>
      </c>
      <c r="U187" s="92">
        <v>37</v>
      </c>
      <c r="V187" s="93">
        <v>2.7000000000000001E-3</v>
      </c>
      <c r="W187" s="93">
        <v>0.48609999999999998</v>
      </c>
      <c r="X187" s="185">
        <f t="shared" si="133"/>
        <v>5.6448463816416213E-3</v>
      </c>
      <c r="Y187" s="185">
        <f t="shared" si="139"/>
        <v>2.7002161450059132E-3</v>
      </c>
      <c r="Z187" s="185">
        <f t="shared" si="140"/>
        <v>5.7142857142857141E-2</v>
      </c>
      <c r="AA187" s="185">
        <f t="shared" si="141"/>
        <v>-9.8759999999999994E-3</v>
      </c>
      <c r="AB187" s="186">
        <f t="shared" si="142"/>
        <v>-2.0658999999999983E-2</v>
      </c>
    </row>
    <row r="188" spans="1:33" ht="13.8" customHeight="1">
      <c r="A188" s="199">
        <v>165</v>
      </c>
      <c r="B188" s="84" t="s">
        <v>220</v>
      </c>
      <c r="C188" s="84" t="s">
        <v>91</v>
      </c>
      <c r="D188" s="171" t="s">
        <v>330</v>
      </c>
      <c r="E188" s="112">
        <v>90501096.5</v>
      </c>
      <c r="F188" s="91">
        <f t="shared" si="129"/>
        <v>6.1316510421279273E-4</v>
      </c>
      <c r="G188" s="171" t="s">
        <v>330</v>
      </c>
      <c r="H188" s="90">
        <v>1.75393</v>
      </c>
      <c r="I188" s="171" t="s">
        <v>330</v>
      </c>
      <c r="J188" s="90">
        <v>1.75393</v>
      </c>
      <c r="K188" s="92">
        <v>30</v>
      </c>
      <c r="L188" s="93">
        <v>-2.1600000000000001E-2</v>
      </c>
      <c r="M188" s="93">
        <v>0.22153600000000001</v>
      </c>
      <c r="N188" s="171" t="s">
        <v>330</v>
      </c>
      <c r="O188" s="112">
        <v>90485070.439999998</v>
      </c>
      <c r="P188" s="113">
        <f t="shared" si="130"/>
        <v>5.9044792091292558E-4</v>
      </c>
      <c r="Q188" s="171" t="s">
        <v>330</v>
      </c>
      <c r="R188" s="90">
        <v>1.75393</v>
      </c>
      <c r="S188" s="171" t="s">
        <v>330</v>
      </c>
      <c r="T188" s="90">
        <v>1.75393</v>
      </c>
      <c r="U188" s="92">
        <v>30</v>
      </c>
      <c r="V188" s="93">
        <v>-1.65E-3</v>
      </c>
      <c r="W188" s="93">
        <v>0.2195</v>
      </c>
      <c r="X188" s="185">
        <f t="shared" si="133"/>
        <v>-1.7708139038958919E-4</v>
      </c>
      <c r="Y188" s="185">
        <f t="shared" si="139"/>
        <v>0</v>
      </c>
      <c r="Z188" s="185">
        <f t="shared" si="140"/>
        <v>0</v>
      </c>
      <c r="AA188" s="185">
        <f t="shared" si="141"/>
        <v>1.9950000000000002E-2</v>
      </c>
      <c r="AB188" s="186">
        <f t="shared" si="142"/>
        <v>-2.03600000000001E-3</v>
      </c>
    </row>
    <row r="189" spans="1:33" ht="13.5" customHeight="1">
      <c r="A189" s="199">
        <v>166</v>
      </c>
      <c r="B189" s="84" t="s">
        <v>221</v>
      </c>
      <c r="C189" s="85" t="s">
        <v>35</v>
      </c>
      <c r="D189" s="171" t="s">
        <v>330</v>
      </c>
      <c r="E189" s="96">
        <v>14429263716.57</v>
      </c>
      <c r="F189" s="91">
        <f t="shared" si="129"/>
        <v>9.7761478398049162E-2</v>
      </c>
      <c r="G189" s="171" t="s">
        <v>330</v>
      </c>
      <c r="H189" s="90">
        <v>8.1134140000000006</v>
      </c>
      <c r="I189" s="171" t="s">
        <v>330</v>
      </c>
      <c r="J189" s="90">
        <v>8.2163129999999995</v>
      </c>
      <c r="K189" s="92">
        <v>11062</v>
      </c>
      <c r="L189" s="93">
        <v>-1.0776294322745406E-2</v>
      </c>
      <c r="M189" s="93">
        <v>0.30654302619732299</v>
      </c>
      <c r="N189" s="171" t="s">
        <v>330</v>
      </c>
      <c r="O189" s="96">
        <v>14706200685.77</v>
      </c>
      <c r="P189" s="113">
        <f t="shared" si="130"/>
        <v>9.5963296234586409E-2</v>
      </c>
      <c r="Q189" s="171" t="s">
        <v>330</v>
      </c>
      <c r="R189" s="90">
        <v>8.1443999999999992</v>
      </c>
      <c r="S189" s="171" t="s">
        <v>330</v>
      </c>
      <c r="T189" s="90">
        <v>8.2495999999999992</v>
      </c>
      <c r="U189" s="92">
        <v>11625</v>
      </c>
      <c r="V189" s="93">
        <v>3.8E-3</v>
      </c>
      <c r="W189" s="93">
        <v>0.3115</v>
      </c>
      <c r="X189" s="185">
        <f t="shared" si="133"/>
        <v>1.9192730456646739E-2</v>
      </c>
      <c r="Y189" s="185">
        <f t="shared" si="139"/>
        <v>4.0513305663987757E-3</v>
      </c>
      <c r="Z189" s="185">
        <f t="shared" si="140"/>
        <v>5.0894955704212617E-2</v>
      </c>
      <c r="AA189" s="185">
        <f t="shared" si="141"/>
        <v>1.4576294322745405E-2</v>
      </c>
      <c r="AB189" s="186">
        <f t="shared" si="142"/>
        <v>4.9569738026770116E-3</v>
      </c>
      <c r="AD189" s="41"/>
    </row>
    <row r="190" spans="1:33" ht="13.5" customHeight="1">
      <c r="A190" s="199">
        <v>167</v>
      </c>
      <c r="B190" s="84" t="s">
        <v>222</v>
      </c>
      <c r="C190" s="85" t="s">
        <v>223</v>
      </c>
      <c r="D190" s="171" t="s">
        <v>330</v>
      </c>
      <c r="E190" s="96">
        <v>164869595.58000001</v>
      </c>
      <c r="F190" s="91">
        <f t="shared" si="129"/>
        <v>1.1170282644623174E-3</v>
      </c>
      <c r="G190" s="171" t="s">
        <v>330</v>
      </c>
      <c r="H190" s="90">
        <v>3.3504999999999998</v>
      </c>
      <c r="I190" s="171" t="s">
        <v>330</v>
      </c>
      <c r="J190" s="90">
        <v>3.3738000000000001</v>
      </c>
      <c r="K190" s="92">
        <v>122</v>
      </c>
      <c r="L190" s="93">
        <v>1.38E-2</v>
      </c>
      <c r="M190" s="93">
        <v>0.20300000000000001</v>
      </c>
      <c r="N190" s="171" t="s">
        <v>330</v>
      </c>
      <c r="O190" s="96">
        <v>165491723.84999999</v>
      </c>
      <c r="P190" s="113">
        <f t="shared" si="130"/>
        <v>1.0798935537141693E-3</v>
      </c>
      <c r="Q190" s="171" t="s">
        <v>330</v>
      </c>
      <c r="R190" s="90">
        <v>3.3898999999999999</v>
      </c>
      <c r="S190" s="171" t="s">
        <v>330</v>
      </c>
      <c r="T190" s="90">
        <v>3.4138999999999999</v>
      </c>
      <c r="U190" s="92">
        <v>122</v>
      </c>
      <c r="V190" s="93">
        <v>1.1900000000000001E-2</v>
      </c>
      <c r="W190" s="93">
        <v>0.2172</v>
      </c>
      <c r="X190" s="185">
        <f t="shared" si="133"/>
        <v>3.7734566389356146E-3</v>
      </c>
      <c r="Y190" s="185">
        <f t="shared" si="139"/>
        <v>1.1885707510818603E-2</v>
      </c>
      <c r="Z190" s="185">
        <f t="shared" si="140"/>
        <v>0</v>
      </c>
      <c r="AA190" s="185">
        <f t="shared" si="141"/>
        <v>-1.8999999999999989E-3</v>
      </c>
      <c r="AB190" s="186">
        <f t="shared" si="142"/>
        <v>1.419999999999999E-2</v>
      </c>
    </row>
    <row r="191" spans="1:33" ht="15" customHeight="1">
      <c r="A191" s="199">
        <v>168</v>
      </c>
      <c r="B191" s="84" t="s">
        <v>224</v>
      </c>
      <c r="C191" s="85" t="s">
        <v>143</v>
      </c>
      <c r="D191" s="171" t="s">
        <v>330</v>
      </c>
      <c r="E191" s="96">
        <v>2081265686.97</v>
      </c>
      <c r="F191" s="91">
        <f t="shared" si="129"/>
        <v>1.410103900614585E-2</v>
      </c>
      <c r="G191" s="171" t="s">
        <v>330</v>
      </c>
      <c r="H191" s="90">
        <v>486.77</v>
      </c>
      <c r="I191" s="171" t="s">
        <v>330</v>
      </c>
      <c r="J191" s="90">
        <v>491.75</v>
      </c>
      <c r="K191" s="92">
        <v>158</v>
      </c>
      <c r="L191" s="93">
        <v>1.37E-2</v>
      </c>
      <c r="M191" s="93">
        <v>0.36780000000000002</v>
      </c>
      <c r="N191" s="171" t="s">
        <v>330</v>
      </c>
      <c r="O191" s="96">
        <v>2127027096.0999999</v>
      </c>
      <c r="P191" s="113">
        <f t="shared" si="130"/>
        <v>1.3879623682787317E-2</v>
      </c>
      <c r="Q191" s="171" t="s">
        <v>330</v>
      </c>
      <c r="R191" s="90">
        <v>503.53</v>
      </c>
      <c r="S191" s="171" t="s">
        <v>330</v>
      </c>
      <c r="T191" s="90">
        <v>508.91</v>
      </c>
      <c r="U191" s="92">
        <v>307</v>
      </c>
      <c r="V191" s="93">
        <v>1.37E-4</v>
      </c>
      <c r="W191" s="93">
        <v>0.40150000000000002</v>
      </c>
      <c r="X191" s="185">
        <f t="shared" si="133"/>
        <v>2.1987298121760413E-2</v>
      </c>
      <c r="Y191" s="185">
        <f t="shared" si="139"/>
        <v>3.4895780376207476E-2</v>
      </c>
      <c r="Z191" s="185">
        <f t="shared" si="140"/>
        <v>0.94303797468354433</v>
      </c>
      <c r="AA191" s="185">
        <f t="shared" si="141"/>
        <v>-1.3563E-2</v>
      </c>
      <c r="AB191" s="186">
        <f t="shared" si="142"/>
        <v>3.3700000000000008E-2</v>
      </c>
    </row>
    <row r="192" spans="1:33" ht="15.6" customHeight="1">
      <c r="A192" s="199">
        <v>169</v>
      </c>
      <c r="B192" s="84" t="s">
        <v>314</v>
      </c>
      <c r="C192" s="85" t="s">
        <v>313</v>
      </c>
      <c r="D192" s="171" t="s">
        <v>330</v>
      </c>
      <c r="E192" s="90">
        <v>50227850.869999997</v>
      </c>
      <c r="F192" s="91">
        <f t="shared" si="129"/>
        <v>3.4030488694784111E-4</v>
      </c>
      <c r="G192" s="171" t="s">
        <v>330</v>
      </c>
      <c r="H192" s="90">
        <v>1.0035529999999999</v>
      </c>
      <c r="I192" s="171" t="s">
        <v>330</v>
      </c>
      <c r="J192" s="90">
        <v>1.017962</v>
      </c>
      <c r="K192" s="92">
        <v>1</v>
      </c>
      <c r="L192" s="93">
        <v>1.9319209000110416E-3</v>
      </c>
      <c r="M192" s="93">
        <v>0</v>
      </c>
      <c r="N192" s="171" t="s">
        <v>330</v>
      </c>
      <c r="O192" s="90">
        <v>50273853.100000001</v>
      </c>
      <c r="P192" s="113">
        <f t="shared" si="130"/>
        <v>3.2805513544756701E-4</v>
      </c>
      <c r="Q192" s="171" t="s">
        <v>330</v>
      </c>
      <c r="R192" s="90">
        <v>1.004</v>
      </c>
      <c r="S192" s="171" t="s">
        <v>330</v>
      </c>
      <c r="T192" s="90">
        <v>1.022</v>
      </c>
      <c r="U192" s="92">
        <v>2</v>
      </c>
      <c r="V192" s="93">
        <v>9.1589999999999998E-4</v>
      </c>
      <c r="W192" s="93">
        <v>0</v>
      </c>
      <c r="X192" s="185">
        <f t="shared" ref="X192" si="143">((O192-E192)/E192)</f>
        <v>9.1587096009875879E-4</v>
      </c>
      <c r="Y192" s="185">
        <f t="shared" ref="Y192" si="144">((T192-J192)/J192)</f>
        <v>3.9667492499719887E-3</v>
      </c>
      <c r="Z192" s="185">
        <f t="shared" ref="Z192" si="145">((U192-K192)/K192)</f>
        <v>1</v>
      </c>
      <c r="AA192" s="185">
        <f t="shared" ref="AA192" si="146">V192-L192</f>
        <v>-1.0160209000110417E-3</v>
      </c>
      <c r="AB192" s="186">
        <f t="shared" ref="AB192" si="147">W192-M192</f>
        <v>0</v>
      </c>
    </row>
    <row r="193" spans="1:28" ht="16.8" customHeight="1">
      <c r="A193" s="199">
        <v>170</v>
      </c>
      <c r="B193" s="84" t="s">
        <v>225</v>
      </c>
      <c r="C193" s="85" t="s">
        <v>31</v>
      </c>
      <c r="D193" s="171" t="s">
        <v>330</v>
      </c>
      <c r="E193" s="96">
        <v>3107161875.04</v>
      </c>
      <c r="F193" s="91">
        <f t="shared" ref="F193:F202" si="148">(E193/$E$203)</f>
        <v>2.1051714383536979E-2</v>
      </c>
      <c r="G193" s="171" t="s">
        <v>330</v>
      </c>
      <c r="H193" s="90">
        <v>552.22</v>
      </c>
      <c r="I193" s="171" t="s">
        <v>330</v>
      </c>
      <c r="J193" s="90">
        <v>552.22</v>
      </c>
      <c r="K193" s="92">
        <v>823</v>
      </c>
      <c r="L193" s="93">
        <v>0.10159</v>
      </c>
      <c r="M193" s="93">
        <v>0.39001999999999998</v>
      </c>
      <c r="N193" s="171" t="s">
        <v>330</v>
      </c>
      <c r="O193" s="96">
        <v>3088553863.75</v>
      </c>
      <c r="P193" s="113">
        <f t="shared" si="130"/>
        <v>2.0153934771902585E-2</v>
      </c>
      <c r="Q193" s="171" t="s">
        <v>330</v>
      </c>
      <c r="R193" s="90">
        <v>552.22</v>
      </c>
      <c r="S193" s="171" t="s">
        <v>330</v>
      </c>
      <c r="T193" s="90">
        <v>552.22</v>
      </c>
      <c r="U193" s="92">
        <v>823</v>
      </c>
      <c r="V193" s="93">
        <v>-6.0000000000000001E-3</v>
      </c>
      <c r="W193" s="93">
        <v>0.43359999999999999</v>
      </c>
      <c r="X193" s="185">
        <f t="shared" si="133"/>
        <v>-5.9887485874099856E-3</v>
      </c>
      <c r="Y193" s="185">
        <f t="shared" ref="Y193:Z195" si="149">((T193-J193)/J193)</f>
        <v>0</v>
      </c>
      <c r="Z193" s="185">
        <f t="shared" si="149"/>
        <v>0</v>
      </c>
      <c r="AA193" s="185">
        <f t="shared" ref="AA193:AB195" si="150">V193-L193</f>
        <v>-0.10759000000000001</v>
      </c>
      <c r="AB193" s="186">
        <f t="shared" si="150"/>
        <v>4.3580000000000008E-2</v>
      </c>
    </row>
    <row r="194" spans="1:28" ht="16.2" customHeight="1">
      <c r="A194" s="199">
        <v>171</v>
      </c>
      <c r="B194" s="84" t="s">
        <v>226</v>
      </c>
      <c r="C194" s="85" t="s">
        <v>100</v>
      </c>
      <c r="D194" s="171" t="s">
        <v>330</v>
      </c>
      <c r="E194" s="90">
        <v>64517824.210000001</v>
      </c>
      <c r="F194" s="91">
        <f t="shared" si="148"/>
        <v>4.3712264199260054E-4</v>
      </c>
      <c r="G194" s="171" t="s">
        <v>330</v>
      </c>
      <c r="H194" s="90">
        <v>3.57</v>
      </c>
      <c r="I194" s="171" t="s">
        <v>330</v>
      </c>
      <c r="J194" s="90">
        <v>3.57</v>
      </c>
      <c r="K194" s="92">
        <v>11</v>
      </c>
      <c r="L194" s="93">
        <v>-1.6199999999999999E-2</v>
      </c>
      <c r="M194" s="93">
        <v>0.3584</v>
      </c>
      <c r="N194" s="171" t="s">
        <v>330</v>
      </c>
      <c r="O194" s="90">
        <v>65417824.210000001</v>
      </c>
      <c r="P194" s="113">
        <f t="shared" si="130"/>
        <v>4.2687504256356032E-4</v>
      </c>
      <c r="Q194" s="171" t="s">
        <v>330</v>
      </c>
      <c r="R194" s="90">
        <v>3.57</v>
      </c>
      <c r="S194" s="171" t="s">
        <v>330</v>
      </c>
      <c r="T194" s="90">
        <v>3.57</v>
      </c>
      <c r="U194" s="92">
        <v>12</v>
      </c>
      <c r="V194" s="93">
        <v>-1.6199999999999999E-2</v>
      </c>
      <c r="W194" s="93">
        <v>0.3584</v>
      </c>
      <c r="X194" s="185">
        <f t="shared" si="133"/>
        <v>1.3949633469823424E-2</v>
      </c>
      <c r="Y194" s="185">
        <f t="shared" si="149"/>
        <v>0</v>
      </c>
      <c r="Z194" s="185">
        <f t="shared" si="149"/>
        <v>9.0909090909090912E-2</v>
      </c>
      <c r="AA194" s="185">
        <f t="shared" si="150"/>
        <v>0</v>
      </c>
      <c r="AB194" s="186">
        <f t="shared" si="150"/>
        <v>0</v>
      </c>
    </row>
    <row r="195" spans="1:28" ht="15.6" customHeight="1">
      <c r="A195" s="199">
        <v>172</v>
      </c>
      <c r="B195" s="84" t="s">
        <v>227</v>
      </c>
      <c r="C195" s="85" t="s">
        <v>42</v>
      </c>
      <c r="D195" s="171" t="s">
        <v>330</v>
      </c>
      <c r="E195" s="90">
        <v>734295952.23000002</v>
      </c>
      <c r="F195" s="91">
        <f t="shared" si="148"/>
        <v>4.9750187730834821E-3</v>
      </c>
      <c r="G195" s="171" t="s">
        <v>330</v>
      </c>
      <c r="H195" s="90">
        <v>4.7</v>
      </c>
      <c r="I195" s="171" t="s">
        <v>330</v>
      </c>
      <c r="J195" s="90">
        <v>4.75</v>
      </c>
      <c r="K195" s="92">
        <v>139</v>
      </c>
      <c r="L195" s="93">
        <v>-1.9199999999999998E-2</v>
      </c>
      <c r="M195" s="93">
        <v>0.32919999999999999</v>
      </c>
      <c r="N195" s="171" t="s">
        <v>330</v>
      </c>
      <c r="O195" s="90">
        <v>754846877.30999994</v>
      </c>
      <c r="P195" s="113">
        <f t="shared" si="130"/>
        <v>4.9256498022051355E-3</v>
      </c>
      <c r="Q195" s="171" t="s">
        <v>330</v>
      </c>
      <c r="R195" s="90">
        <v>4.8899999999999997</v>
      </c>
      <c r="S195" s="171" t="s">
        <v>330</v>
      </c>
      <c r="T195" s="90">
        <v>4.9400000000000004</v>
      </c>
      <c r="U195" s="92">
        <v>139</v>
      </c>
      <c r="V195" s="93">
        <v>-2.52E-2</v>
      </c>
      <c r="W195" s="93">
        <v>0.2046</v>
      </c>
      <c r="X195" s="185">
        <f t="shared" si="133"/>
        <v>2.7987250940970536E-2</v>
      </c>
      <c r="Y195" s="185">
        <f t="shared" si="149"/>
        <v>4.0000000000000084E-2</v>
      </c>
      <c r="Z195" s="185">
        <f t="shared" si="149"/>
        <v>0</v>
      </c>
      <c r="AA195" s="185">
        <f t="shared" si="150"/>
        <v>-6.0000000000000019E-3</v>
      </c>
      <c r="AB195" s="186">
        <f t="shared" si="150"/>
        <v>-0.12459999999999999</v>
      </c>
    </row>
    <row r="196" spans="1:28" ht="15.6" customHeight="1">
      <c r="A196" s="199">
        <v>173</v>
      </c>
      <c r="B196" s="84" t="s">
        <v>301</v>
      </c>
      <c r="C196" s="85" t="s">
        <v>302</v>
      </c>
      <c r="D196" s="171" t="s">
        <v>330</v>
      </c>
      <c r="E196" s="90">
        <v>233872511.65955362</v>
      </c>
      <c r="F196" s="91">
        <f t="shared" si="148"/>
        <v>1.5845384037334596E-3</v>
      </c>
      <c r="G196" s="171" t="s">
        <v>330</v>
      </c>
      <c r="H196" s="90">
        <v>138.87643839819484</v>
      </c>
      <c r="I196" s="171" t="s">
        <v>330</v>
      </c>
      <c r="J196" s="90">
        <v>137.93064946420949</v>
      </c>
      <c r="K196" s="92">
        <v>115</v>
      </c>
      <c r="L196" s="93">
        <v>1.2095774897755041E-2</v>
      </c>
      <c r="M196" s="93">
        <v>0.21099103255256857</v>
      </c>
      <c r="N196" s="171" t="s">
        <v>330</v>
      </c>
      <c r="O196" s="90">
        <v>243374997.12</v>
      </c>
      <c r="P196" s="91">
        <f t="shared" si="130"/>
        <v>1.5881101750037303E-3</v>
      </c>
      <c r="Q196" s="171" t="s">
        <v>330</v>
      </c>
      <c r="R196" s="90">
        <v>143.5</v>
      </c>
      <c r="S196" s="171" t="s">
        <v>330</v>
      </c>
      <c r="T196" s="90">
        <v>144.55000000000001</v>
      </c>
      <c r="U196" s="92">
        <v>115</v>
      </c>
      <c r="V196" s="93">
        <v>2.8199999999999999E-2</v>
      </c>
      <c r="W196" s="93">
        <v>0.24490000000000001</v>
      </c>
      <c r="X196" s="185">
        <f t="shared" ref="X196" si="151">((O196-E196)/E196)</f>
        <v>4.0631048912148686E-2</v>
      </c>
      <c r="Y196" s="185">
        <f t="shared" ref="Y196" si="152">((T196-J196)/J196)</f>
        <v>4.7990425344209796E-2</v>
      </c>
      <c r="Z196" s="185">
        <f t="shared" ref="Z196" si="153">((U196-K196)/K196)</f>
        <v>0</v>
      </c>
      <c r="AA196" s="185">
        <f t="shared" ref="AA196" si="154">V196-L196</f>
        <v>1.6104225102244959E-2</v>
      </c>
      <c r="AB196" s="186">
        <f t="shared" ref="AB196" si="155">W196-M196</f>
        <v>3.3908967447431437E-2</v>
      </c>
    </row>
    <row r="197" spans="1:28" ht="16.2" customHeight="1">
      <c r="A197" s="199">
        <v>174</v>
      </c>
      <c r="B197" s="84" t="s">
        <v>228</v>
      </c>
      <c r="C197" s="85" t="s">
        <v>46</v>
      </c>
      <c r="D197" s="171" t="s">
        <v>330</v>
      </c>
      <c r="E197" s="96">
        <v>13443064702.879999</v>
      </c>
      <c r="F197" s="91">
        <f t="shared" si="148"/>
        <v>9.1079760226780576E-2</v>
      </c>
      <c r="G197" s="171" t="s">
        <v>330</v>
      </c>
      <c r="H197" s="90">
        <v>13656.95</v>
      </c>
      <c r="I197" s="171" t="s">
        <v>330</v>
      </c>
      <c r="J197" s="90">
        <v>13785.18</v>
      </c>
      <c r="K197" s="92">
        <v>6925</v>
      </c>
      <c r="L197" s="93">
        <v>3.5299999999999998E-2</v>
      </c>
      <c r="M197" s="93">
        <v>0.41660000000000003</v>
      </c>
      <c r="N197" s="171" t="s">
        <v>330</v>
      </c>
      <c r="O197" s="96">
        <v>14592873899.879999</v>
      </c>
      <c r="P197" s="91">
        <f t="shared" si="130"/>
        <v>9.5223797831290521E-2</v>
      </c>
      <c r="Q197" s="171" t="s">
        <v>330</v>
      </c>
      <c r="R197" s="90">
        <v>13814.22</v>
      </c>
      <c r="S197" s="171" t="s">
        <v>330</v>
      </c>
      <c r="T197" s="90">
        <v>13946.93</v>
      </c>
      <c r="U197" s="92">
        <v>7428</v>
      </c>
      <c r="V197" s="93">
        <v>1.41E-2</v>
      </c>
      <c r="W197" s="93">
        <v>0.43319999999999997</v>
      </c>
      <c r="X197" s="185">
        <f t="shared" si="133"/>
        <v>8.5531775857157669E-2</v>
      </c>
      <c r="Y197" s="185">
        <f t="shared" ref="Y197:Z202" si="156">((T197-J197)/J197)</f>
        <v>1.1733615375352372E-2</v>
      </c>
      <c r="Z197" s="185">
        <f t="shared" si="156"/>
        <v>7.2635379061371838E-2</v>
      </c>
      <c r="AA197" s="185">
        <f t="shared" ref="AA197:AB202" si="157">V197-L197</f>
        <v>-2.1199999999999997E-2</v>
      </c>
      <c r="AB197" s="186">
        <f t="shared" si="157"/>
        <v>1.6599999999999948E-2</v>
      </c>
    </row>
    <row r="198" spans="1:28" ht="16.8" customHeight="1">
      <c r="A198" s="199">
        <v>175</v>
      </c>
      <c r="B198" s="84" t="s">
        <v>229</v>
      </c>
      <c r="C198" s="84" t="s">
        <v>110</v>
      </c>
      <c r="D198" s="171" t="s">
        <v>330</v>
      </c>
      <c r="E198" s="96">
        <v>249269874.33000001</v>
      </c>
      <c r="F198" s="91">
        <f t="shared" si="148"/>
        <v>1.6888589683624906E-3</v>
      </c>
      <c r="G198" s="171" t="s">
        <v>330</v>
      </c>
      <c r="H198" s="90">
        <v>1845.2216000000001</v>
      </c>
      <c r="I198" s="171" t="s">
        <v>330</v>
      </c>
      <c r="J198" s="90">
        <v>1875.4797000000001</v>
      </c>
      <c r="K198" s="92">
        <v>119</v>
      </c>
      <c r="L198" s="93">
        <v>4.7999999999999996E-3</v>
      </c>
      <c r="M198" s="93">
        <v>0.27729999999999999</v>
      </c>
      <c r="N198" s="171" t="s">
        <v>330</v>
      </c>
      <c r="O198" s="96">
        <v>259651218.75</v>
      </c>
      <c r="P198" s="91">
        <f t="shared" si="130"/>
        <v>1.6943184276471759E-3</v>
      </c>
      <c r="Q198" s="171" t="s">
        <v>330</v>
      </c>
      <c r="R198" s="90">
        <v>1863.57</v>
      </c>
      <c r="S198" s="171" t="s">
        <v>330</v>
      </c>
      <c r="T198" s="90">
        <v>1893.41</v>
      </c>
      <c r="U198" s="92">
        <v>132</v>
      </c>
      <c r="V198" s="93">
        <v>9.9000000000000008E-3</v>
      </c>
      <c r="W198" s="93">
        <v>0.28789999999999999</v>
      </c>
      <c r="X198" s="185">
        <f t="shared" si="133"/>
        <v>4.1647007878121985E-2</v>
      </c>
      <c r="Y198" s="185">
        <f t="shared" si="156"/>
        <v>9.5603807388584313E-3</v>
      </c>
      <c r="Z198" s="185">
        <f t="shared" si="156"/>
        <v>0.1092436974789916</v>
      </c>
      <c r="AA198" s="185">
        <f t="shared" si="157"/>
        <v>5.1000000000000012E-3</v>
      </c>
      <c r="AB198" s="186">
        <f t="shared" si="157"/>
        <v>1.0599999999999998E-2</v>
      </c>
    </row>
    <row r="199" spans="1:28" ht="18.600000000000001" customHeight="1">
      <c r="A199" s="199">
        <v>176</v>
      </c>
      <c r="B199" s="84" t="s">
        <v>230</v>
      </c>
      <c r="C199" s="84" t="s">
        <v>91</v>
      </c>
      <c r="D199" s="171" t="s">
        <v>330</v>
      </c>
      <c r="E199" s="96">
        <v>846852863.70000005</v>
      </c>
      <c r="F199" s="91">
        <f t="shared" si="148"/>
        <v>5.7376169406247197E-3</v>
      </c>
      <c r="G199" s="171" t="s">
        <v>330</v>
      </c>
      <c r="H199" s="90">
        <v>1.609</v>
      </c>
      <c r="I199" s="171" t="s">
        <v>330</v>
      </c>
      <c r="J199" s="90">
        <v>1.609</v>
      </c>
      <c r="K199" s="92">
        <v>47</v>
      </c>
      <c r="L199" s="93">
        <v>1.91E-3</v>
      </c>
      <c r="M199" s="93">
        <v>5.3108000000000002E-2</v>
      </c>
      <c r="N199" s="171" t="s">
        <v>330</v>
      </c>
      <c r="O199" s="96">
        <v>849503167.51999998</v>
      </c>
      <c r="P199" s="91">
        <f t="shared" si="130"/>
        <v>5.5433164458188466E-3</v>
      </c>
      <c r="Q199" s="171" t="s">
        <v>330</v>
      </c>
      <c r="R199" s="90">
        <v>1.609</v>
      </c>
      <c r="S199" s="171" t="s">
        <v>330</v>
      </c>
      <c r="T199" s="90">
        <v>1.609</v>
      </c>
      <c r="U199" s="92">
        <v>47</v>
      </c>
      <c r="V199" s="93">
        <v>3.0999999999999999E-3</v>
      </c>
      <c r="W199" s="93">
        <v>5.62E-2</v>
      </c>
      <c r="X199" s="185">
        <f t="shared" si="133"/>
        <v>3.1295918495456735E-3</v>
      </c>
      <c r="Y199" s="185">
        <f t="shared" si="156"/>
        <v>0</v>
      </c>
      <c r="Z199" s="185">
        <f t="shared" si="156"/>
        <v>0</v>
      </c>
      <c r="AA199" s="185">
        <f t="shared" si="157"/>
        <v>1.1899999999999999E-3</v>
      </c>
      <c r="AB199" s="186">
        <f t="shared" si="157"/>
        <v>3.0919999999999975E-3</v>
      </c>
    </row>
    <row r="200" spans="1:28" ht="16.8" customHeight="1">
      <c r="A200" s="199">
        <v>177</v>
      </c>
      <c r="B200" s="84" t="s">
        <v>231</v>
      </c>
      <c r="C200" s="85" t="s">
        <v>49</v>
      </c>
      <c r="D200" s="171" t="s">
        <v>330</v>
      </c>
      <c r="E200" s="90">
        <v>8503013821.0200005</v>
      </c>
      <c r="F200" s="91">
        <f t="shared" si="148"/>
        <v>5.7609814215770806E-2</v>
      </c>
      <c r="G200" s="171" t="s">
        <v>330</v>
      </c>
      <c r="H200" s="90">
        <v>3.0075799999999999</v>
      </c>
      <c r="I200" s="171" t="s">
        <v>330</v>
      </c>
      <c r="J200" s="90">
        <v>3.0257000000000001</v>
      </c>
      <c r="K200" s="92">
        <v>3447</v>
      </c>
      <c r="L200" s="93">
        <v>-0.49469999999999997</v>
      </c>
      <c r="M200" s="93">
        <v>0.35410000000000003</v>
      </c>
      <c r="N200" s="171" t="s">
        <v>330</v>
      </c>
      <c r="O200" s="90">
        <v>8702487561.4400005</v>
      </c>
      <c r="P200" s="113">
        <f t="shared" si="130"/>
        <v>5.6786889399948665E-2</v>
      </c>
      <c r="Q200" s="171" t="s">
        <v>330</v>
      </c>
      <c r="R200" s="90">
        <v>3.0314999999999999</v>
      </c>
      <c r="S200" s="171" t="s">
        <v>330</v>
      </c>
      <c r="T200" s="90">
        <v>3.0501</v>
      </c>
      <c r="U200" s="92">
        <v>3468</v>
      </c>
      <c r="V200" s="93">
        <v>7.9000000000000008E-3</v>
      </c>
      <c r="W200" s="93">
        <v>0.3649</v>
      </c>
      <c r="X200" s="185">
        <f t="shared" si="133"/>
        <v>2.3459181017310368E-2</v>
      </c>
      <c r="Y200" s="185">
        <f t="shared" si="156"/>
        <v>8.0642495951350028E-3</v>
      </c>
      <c r="Z200" s="185">
        <f t="shared" si="156"/>
        <v>6.0922541340295913E-3</v>
      </c>
      <c r="AA200" s="185">
        <f t="shared" si="157"/>
        <v>0.50259999999999994</v>
      </c>
      <c r="AB200" s="186">
        <f t="shared" si="157"/>
        <v>1.0799999999999976E-2</v>
      </c>
    </row>
    <row r="201" spans="1:28" ht="14.4" customHeight="1">
      <c r="A201" s="199">
        <v>178</v>
      </c>
      <c r="B201" s="84" t="s">
        <v>232</v>
      </c>
      <c r="C201" s="85" t="s">
        <v>49</v>
      </c>
      <c r="D201" s="171" t="s">
        <v>330</v>
      </c>
      <c r="E201" s="90">
        <v>4897550253.8900003</v>
      </c>
      <c r="F201" s="91">
        <f t="shared" si="148"/>
        <v>3.3181994781840592E-2</v>
      </c>
      <c r="G201" s="171" t="s">
        <v>330</v>
      </c>
      <c r="H201" s="90">
        <v>2.4638900000000001</v>
      </c>
      <c r="I201" s="171" t="s">
        <v>330</v>
      </c>
      <c r="J201" s="90">
        <v>2.4817999999999998</v>
      </c>
      <c r="K201" s="92">
        <v>2031</v>
      </c>
      <c r="L201" s="93">
        <v>-0.75229999999999997</v>
      </c>
      <c r="M201" s="93">
        <v>0.37830000000000003</v>
      </c>
      <c r="N201" s="171" t="s">
        <v>330</v>
      </c>
      <c r="O201" s="90">
        <v>5013634188.9399996</v>
      </c>
      <c r="P201" s="113">
        <f t="shared" si="130"/>
        <v>3.2715782489670844E-2</v>
      </c>
      <c r="Q201" s="171" t="s">
        <v>330</v>
      </c>
      <c r="R201" s="90">
        <v>2.4965000000000002</v>
      </c>
      <c r="S201" s="171" t="s">
        <v>330</v>
      </c>
      <c r="T201" s="90">
        <v>2.5169000000000001</v>
      </c>
      <c r="U201" s="92">
        <v>2085</v>
      </c>
      <c r="V201" s="93">
        <v>1.3299999999999999E-2</v>
      </c>
      <c r="W201" s="93">
        <v>0.39660000000000001</v>
      </c>
      <c r="X201" s="185">
        <f t="shared" si="133"/>
        <v>2.3702448986163378E-2</v>
      </c>
      <c r="Y201" s="185">
        <f t="shared" si="156"/>
        <v>1.4142960754291384E-2</v>
      </c>
      <c r="Z201" s="185">
        <f t="shared" si="156"/>
        <v>2.6587887740029542E-2</v>
      </c>
      <c r="AA201" s="185">
        <f t="shared" si="157"/>
        <v>0.76559999999999995</v>
      </c>
      <c r="AB201" s="186">
        <f t="shared" si="157"/>
        <v>1.8299999999999983E-2</v>
      </c>
    </row>
    <row r="202" spans="1:28" ht="17.399999999999999" customHeight="1">
      <c r="A202" s="199">
        <v>179</v>
      </c>
      <c r="B202" s="84" t="s">
        <v>233</v>
      </c>
      <c r="C202" s="85" t="s">
        <v>115</v>
      </c>
      <c r="D202" s="171" t="s">
        <v>330</v>
      </c>
      <c r="E202" s="117">
        <v>14069680106.370001</v>
      </c>
      <c r="F202" s="91">
        <f t="shared" si="148"/>
        <v>9.5325219276906972E-2</v>
      </c>
      <c r="G202" s="171" t="s">
        <v>330</v>
      </c>
      <c r="H202" s="90">
        <v>908.11</v>
      </c>
      <c r="I202" s="171" t="s">
        <v>330</v>
      </c>
      <c r="J202" s="90">
        <v>918.45</v>
      </c>
      <c r="K202" s="92">
        <v>42</v>
      </c>
      <c r="L202" s="93">
        <v>2.0500000000000001E-2</v>
      </c>
      <c r="M202" s="93">
        <v>0.32090000000000002</v>
      </c>
      <c r="N202" s="171" t="s">
        <v>330</v>
      </c>
      <c r="O202" s="117">
        <v>14357648959.58</v>
      </c>
      <c r="P202" s="113">
        <f t="shared" si="130"/>
        <v>9.3688869734626257E-2</v>
      </c>
      <c r="Q202" s="171" t="s">
        <v>330</v>
      </c>
      <c r="R202" s="90">
        <v>908.11</v>
      </c>
      <c r="S202" s="171" t="s">
        <v>330</v>
      </c>
      <c r="T202" s="90">
        <v>918.45</v>
      </c>
      <c r="U202" s="92">
        <v>42</v>
      </c>
      <c r="V202" s="93">
        <v>2.0500000000000001E-2</v>
      </c>
      <c r="W202" s="93">
        <v>0.32090000000000002</v>
      </c>
      <c r="X202" s="185">
        <f t="shared" si="133"/>
        <v>2.0467334796021561E-2</v>
      </c>
      <c r="Y202" s="185">
        <f t="shared" si="156"/>
        <v>0</v>
      </c>
      <c r="Z202" s="185">
        <f t="shared" si="156"/>
        <v>0</v>
      </c>
      <c r="AA202" s="185">
        <f t="shared" si="157"/>
        <v>0</v>
      </c>
      <c r="AB202" s="186">
        <f t="shared" si="157"/>
        <v>0</v>
      </c>
    </row>
    <row r="203" spans="1:28">
      <c r="B203" s="99"/>
      <c r="C203" s="100" t="s">
        <v>52</v>
      </c>
      <c r="D203" s="145" t="s">
        <v>330</v>
      </c>
      <c r="E203" s="129">
        <f>SUM(E173:E202)</f>
        <v>147596619374.13925</v>
      </c>
      <c r="F203" s="102">
        <f>(E203/$E$238)</f>
        <v>1.6650520578575974E-2</v>
      </c>
      <c r="G203" s="171"/>
      <c r="H203" s="103"/>
      <c r="I203" s="171" t="s">
        <v>330</v>
      </c>
      <c r="J203" s="130"/>
      <c r="K203" s="105">
        <f>SUM(K173:K202)</f>
        <v>93417</v>
      </c>
      <c r="L203" s="131"/>
      <c r="M203" s="131"/>
      <c r="N203" s="171" t="s">
        <v>330</v>
      </c>
      <c r="O203" s="129">
        <f>SUM(O173:O202)</f>
        <v>153248181990.54001</v>
      </c>
      <c r="P203" s="102">
        <f>(O203/$O$238)</f>
        <v>1.7204759322978033E-2</v>
      </c>
      <c r="Q203" s="171" t="s">
        <v>330</v>
      </c>
      <c r="R203" s="103"/>
      <c r="S203" s="171" t="s">
        <v>330</v>
      </c>
      <c r="T203" s="130"/>
      <c r="U203" s="105">
        <f>SUM(U173:U202)</f>
        <v>95295</v>
      </c>
      <c r="V203" s="131"/>
      <c r="W203" s="131"/>
      <c r="X203" s="185">
        <f t="shared" ref="X203" si="158">((O203-E203)/E203)</f>
        <v>3.8290596629958991E-2</v>
      </c>
      <c r="Y203" s="185" t="e">
        <f t="shared" ref="Y203" si="159">((T203-J203)/J203)</f>
        <v>#DIV/0!</v>
      </c>
      <c r="Z203" s="185">
        <f t="shared" ref="Z203" si="160">((U203-K203)/K203)</f>
        <v>2.010340730273933E-2</v>
      </c>
      <c r="AA203" s="185">
        <f t="shared" ref="AA203" si="161">V203-L203</f>
        <v>0</v>
      </c>
      <c r="AB203" s="186">
        <f t="shared" ref="AB203" si="162">W203-M203</f>
        <v>0</v>
      </c>
    </row>
    <row r="204" spans="1:28" ht="5.25" customHeight="1">
      <c r="B204" s="209"/>
      <c r="C204" s="209"/>
      <c r="D204" s="209"/>
      <c r="E204" s="209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</row>
    <row r="205" spans="1:28" ht="15" customHeight="1">
      <c r="A205" s="191"/>
      <c r="B205" s="211" t="s">
        <v>234</v>
      </c>
      <c r="C205" s="2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</row>
    <row r="206" spans="1:28" ht="15" customHeight="1">
      <c r="A206" s="199">
        <v>180</v>
      </c>
      <c r="B206" s="84" t="s">
        <v>306</v>
      </c>
      <c r="C206" s="85" t="s">
        <v>130</v>
      </c>
      <c r="D206" s="171" t="s">
        <v>330</v>
      </c>
      <c r="E206" s="132">
        <v>601893711.48000002</v>
      </c>
      <c r="F206" s="91">
        <v>0</v>
      </c>
      <c r="G206" s="171" t="s">
        <v>330</v>
      </c>
      <c r="H206" s="133">
        <v>1043</v>
      </c>
      <c r="I206" s="171" t="s">
        <v>330</v>
      </c>
      <c r="J206" s="133">
        <v>1043</v>
      </c>
      <c r="K206" s="92">
        <v>32</v>
      </c>
      <c r="L206" s="93">
        <v>3.15E-3</v>
      </c>
      <c r="M206" s="93">
        <v>4.1880000000000001E-2</v>
      </c>
      <c r="N206" s="171" t="s">
        <v>330</v>
      </c>
      <c r="O206" s="132">
        <v>605717982.09000003</v>
      </c>
      <c r="P206" s="113">
        <f>(O206/$O$209)</f>
        <v>2.841143790573665E-2</v>
      </c>
      <c r="Q206" s="171" t="s">
        <v>330</v>
      </c>
      <c r="R206" s="133">
        <v>1047.9000000000001</v>
      </c>
      <c r="S206" s="171" t="s">
        <v>330</v>
      </c>
      <c r="T206" s="133">
        <v>1047.9000000000001</v>
      </c>
      <c r="U206" s="92">
        <v>32</v>
      </c>
      <c r="V206" s="93">
        <v>3.8999999999999998E-3</v>
      </c>
      <c r="W206" s="93">
        <v>4.6769999999999999E-2</v>
      </c>
      <c r="X206" s="185">
        <f>((O206-E206)/E206)</f>
        <v>6.3537307950875454E-3</v>
      </c>
      <c r="Y206" s="185">
        <f t="shared" ref="Y206" si="163">((T206-J206)/J206)</f>
        <v>4.6979865771812953E-3</v>
      </c>
      <c r="Z206" s="185">
        <f t="shared" ref="Z206" si="164">((U206-K206)/K206)</f>
        <v>0</v>
      </c>
      <c r="AA206" s="185">
        <f t="shared" ref="AA206" si="165">V206-L206</f>
        <v>7.499999999999998E-4</v>
      </c>
      <c r="AB206" s="186">
        <f t="shared" ref="AB206" si="166">W206-M206</f>
        <v>4.8899999999999985E-3</v>
      </c>
    </row>
    <row r="207" spans="1:28">
      <c r="A207" s="199">
        <v>181</v>
      </c>
      <c r="B207" s="84" t="s">
        <v>235</v>
      </c>
      <c r="C207" s="85" t="s">
        <v>236</v>
      </c>
      <c r="D207" s="171" t="s">
        <v>330</v>
      </c>
      <c r="E207" s="132">
        <v>1959383807.03</v>
      </c>
      <c r="F207" s="91">
        <f>(E207/$E$209)</f>
        <v>0.10016815203927019</v>
      </c>
      <c r="G207" s="171" t="s">
        <v>330</v>
      </c>
      <c r="H207" s="133">
        <v>53.505899999999997</v>
      </c>
      <c r="I207" s="171" t="s">
        <v>330</v>
      </c>
      <c r="J207" s="133">
        <v>54.064799999999998</v>
      </c>
      <c r="K207" s="92">
        <v>1553</v>
      </c>
      <c r="L207" s="93">
        <v>1.5599999999999999E-2</v>
      </c>
      <c r="M207" s="93">
        <v>0.33860000000000001</v>
      </c>
      <c r="N207" s="171" t="s">
        <v>330</v>
      </c>
      <c r="O207" s="132">
        <v>2003623680.3399999</v>
      </c>
      <c r="P207" s="113">
        <f>(O207/$O$209)</f>
        <v>9.3980749232544944E-2</v>
      </c>
      <c r="Q207" s="171" t="s">
        <v>330</v>
      </c>
      <c r="R207" s="133">
        <v>54.683999999999997</v>
      </c>
      <c r="S207" s="171" t="s">
        <v>330</v>
      </c>
      <c r="T207" s="133">
        <v>55.249699999999997</v>
      </c>
      <c r="U207" s="92">
        <v>1554</v>
      </c>
      <c r="V207" s="93">
        <v>2.7300000000000001E-2</v>
      </c>
      <c r="W207" s="93">
        <v>0.36809999999999998</v>
      </c>
      <c r="X207" s="185">
        <f>((O207-E207)/E207)</f>
        <v>2.257846224474927E-2</v>
      </c>
      <c r="Y207" s="185">
        <f t="shared" ref="Y207:Z209" si="167">((T207-J207)/J207)</f>
        <v>2.1916293040943443E-2</v>
      </c>
      <c r="Z207" s="185">
        <f t="shared" si="167"/>
        <v>6.43915003219575E-4</v>
      </c>
      <c r="AA207" s="185">
        <f t="shared" ref="AA207:AB209" si="168">V207-L207</f>
        <v>1.1700000000000002E-2</v>
      </c>
      <c r="AB207" s="186">
        <f t="shared" si="168"/>
        <v>2.9499999999999971E-2</v>
      </c>
    </row>
    <row r="208" spans="1:28">
      <c r="A208" s="199">
        <v>182</v>
      </c>
      <c r="B208" s="84" t="s">
        <v>237</v>
      </c>
      <c r="C208" s="85" t="s">
        <v>46</v>
      </c>
      <c r="D208" s="171" t="s">
        <v>330</v>
      </c>
      <c r="E208" s="107">
        <v>16999668422.290001</v>
      </c>
      <c r="F208" s="91">
        <f>(E208/$E$209)</f>
        <v>0.86906167389544708</v>
      </c>
      <c r="G208" s="171" t="s">
        <v>330</v>
      </c>
      <c r="H208" s="133">
        <v>7.18</v>
      </c>
      <c r="I208" s="171" t="s">
        <v>330</v>
      </c>
      <c r="J208" s="133">
        <v>7.28</v>
      </c>
      <c r="K208" s="92">
        <v>15180</v>
      </c>
      <c r="L208" s="93">
        <v>5.3499999999999999E-2</v>
      </c>
      <c r="M208" s="93">
        <v>0.60709999999999997</v>
      </c>
      <c r="N208" s="171" t="s">
        <v>330</v>
      </c>
      <c r="O208" s="107">
        <v>18710170010.990002</v>
      </c>
      <c r="P208" s="113">
        <f>(O208/$O$209)</f>
        <v>0.87760781286171841</v>
      </c>
      <c r="Q208" s="171" t="s">
        <v>330</v>
      </c>
      <c r="R208" s="133">
        <v>7.28</v>
      </c>
      <c r="S208" s="171" t="s">
        <v>330</v>
      </c>
      <c r="T208" s="133">
        <v>7.38</v>
      </c>
      <c r="U208" s="92">
        <v>15916</v>
      </c>
      <c r="V208" s="93">
        <v>1.23E-2</v>
      </c>
      <c r="W208" s="93">
        <v>0.62909999999999999</v>
      </c>
      <c r="X208" s="185">
        <f>((O208-E208)/E208)</f>
        <v>0.10061970305592476</v>
      </c>
      <c r="Y208" s="185">
        <f t="shared" si="167"/>
        <v>1.3736263736263687E-2</v>
      </c>
      <c r="Z208" s="185">
        <f t="shared" si="167"/>
        <v>4.8484848484848485E-2</v>
      </c>
      <c r="AA208" s="185">
        <f t="shared" si="168"/>
        <v>-4.1200000000000001E-2</v>
      </c>
      <c r="AB208" s="186">
        <f t="shared" si="168"/>
        <v>2.200000000000002E-2</v>
      </c>
    </row>
    <row r="209" spans="1:30">
      <c r="B209" s="99"/>
      <c r="C209" s="123" t="s">
        <v>52</v>
      </c>
      <c r="D209" s="123"/>
      <c r="E209" s="129">
        <f>SUM(E206:E208)</f>
        <v>19560945940.800003</v>
      </c>
      <c r="F209" s="102">
        <f>(E209/$E$238)</f>
        <v>2.2066896539011736E-3</v>
      </c>
      <c r="G209" s="145"/>
      <c r="H209" s="103"/>
      <c r="I209" s="103"/>
      <c r="J209" s="130"/>
      <c r="K209" s="105">
        <f>SUM(K206:K208)</f>
        <v>16765</v>
      </c>
      <c r="L209" s="131"/>
      <c r="M209" s="131"/>
      <c r="N209" s="171" t="s">
        <v>330</v>
      </c>
      <c r="O209" s="129">
        <f>SUM(O206:O208)</f>
        <v>21319511673.420002</v>
      </c>
      <c r="P209" s="102">
        <f>(O209/$O$238)</f>
        <v>2.3934839712960129E-3</v>
      </c>
      <c r="Q209" s="171" t="s">
        <v>330</v>
      </c>
      <c r="R209" s="103"/>
      <c r="S209" s="171" t="s">
        <v>330</v>
      </c>
      <c r="T209" s="130"/>
      <c r="U209" s="105">
        <f>SUM(U206:U208)</f>
        <v>17502</v>
      </c>
      <c r="V209" s="131"/>
      <c r="W209" s="131"/>
      <c r="X209" s="185">
        <f>((O209-E209)/E209)</f>
        <v>8.9901875806118456E-2</v>
      </c>
      <c r="Y209" s="185" t="e">
        <f t="shared" si="167"/>
        <v>#DIV/0!</v>
      </c>
      <c r="Z209" s="185">
        <f t="shared" si="167"/>
        <v>4.3960632269609307E-2</v>
      </c>
      <c r="AA209" s="185">
        <f t="shared" si="168"/>
        <v>0</v>
      </c>
      <c r="AB209" s="186">
        <f t="shared" si="168"/>
        <v>0</v>
      </c>
    </row>
    <row r="210" spans="1:30" ht="6" customHeight="1">
      <c r="B210" s="209"/>
      <c r="C210" s="209"/>
      <c r="D210" s="209"/>
      <c r="E210" s="209"/>
      <c r="F210" s="209"/>
      <c r="G210" s="209"/>
      <c r="H210" s="209"/>
      <c r="I210" s="209"/>
      <c r="J210" s="209"/>
      <c r="K210" s="209"/>
      <c r="L210" s="209"/>
      <c r="M210" s="209"/>
      <c r="N210" s="209"/>
      <c r="O210" s="209"/>
      <c r="P210" s="209"/>
      <c r="Q210" s="209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</row>
    <row r="211" spans="1:30" ht="15" customHeight="1">
      <c r="A211" s="191"/>
      <c r="B211" s="207" t="s">
        <v>337</v>
      </c>
      <c r="C211" s="207"/>
      <c r="D211" s="207"/>
      <c r="E211" s="207"/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07"/>
      <c r="S211" s="207"/>
      <c r="T211" s="207"/>
      <c r="U211" s="207"/>
      <c r="V211" s="207"/>
      <c r="W211" s="207"/>
      <c r="X211" s="207"/>
      <c r="Y211" s="207"/>
      <c r="Z211" s="207"/>
      <c r="AA211" s="207"/>
      <c r="AB211" s="207"/>
    </row>
    <row r="212" spans="1:30">
      <c r="A212" s="195"/>
      <c r="B212" s="210" t="s">
        <v>336</v>
      </c>
      <c r="C212" s="210"/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  <c r="W212" s="210"/>
      <c r="X212" s="210"/>
      <c r="Y212" s="210"/>
      <c r="Z212" s="210"/>
      <c r="AA212" s="210"/>
      <c r="AB212" s="210"/>
    </row>
    <row r="213" spans="1:30">
      <c r="A213" s="199">
        <v>183</v>
      </c>
      <c r="B213" s="84" t="s">
        <v>238</v>
      </c>
      <c r="C213" s="85" t="s">
        <v>239</v>
      </c>
      <c r="D213" s="171" t="s">
        <v>330</v>
      </c>
      <c r="E213" s="109">
        <v>17482432256.41</v>
      </c>
      <c r="F213" s="91">
        <f>(E213/$E$237)</f>
        <v>0.12796430081121993</v>
      </c>
      <c r="G213" s="171" t="s">
        <v>330</v>
      </c>
      <c r="H213" s="134">
        <v>4.1900000000000004</v>
      </c>
      <c r="I213" s="171" t="s">
        <v>330</v>
      </c>
      <c r="J213" s="134">
        <v>4.2699999999999996</v>
      </c>
      <c r="K213" s="110">
        <v>16445</v>
      </c>
      <c r="L213" s="111">
        <v>-1.23E-2</v>
      </c>
      <c r="M213" s="111">
        <v>0.42159999999999997</v>
      </c>
      <c r="N213" s="171" t="s">
        <v>330</v>
      </c>
      <c r="O213" s="109">
        <v>17743077075.25</v>
      </c>
      <c r="P213" s="91">
        <f>(O213/$O$237)</f>
        <v>0.12322934177594096</v>
      </c>
      <c r="Q213" s="171" t="s">
        <v>330</v>
      </c>
      <c r="R213" s="134">
        <v>4.2300000000000004</v>
      </c>
      <c r="S213" s="171" t="s">
        <v>330</v>
      </c>
      <c r="T213" s="134">
        <v>4.3</v>
      </c>
      <c r="U213" s="110">
        <v>16546</v>
      </c>
      <c r="V213" s="111">
        <v>8.6E-3</v>
      </c>
      <c r="W213" s="111">
        <v>0.43380000000000002</v>
      </c>
      <c r="X213" s="187">
        <f>((O213-E213)/E213)</f>
        <v>1.4908956317816347E-2</v>
      </c>
      <c r="Y213" s="187">
        <f>((T213-J213)/J213)</f>
        <v>7.0257611241218388E-3</v>
      </c>
      <c r="Z213" s="187">
        <f>((U213-K213)/K213)</f>
        <v>6.1416844025539681E-3</v>
      </c>
      <c r="AA213" s="187">
        <f>V213-L213</f>
        <v>2.0900000000000002E-2</v>
      </c>
      <c r="AB213" s="188">
        <f>W213-M213</f>
        <v>1.2200000000000044E-2</v>
      </c>
    </row>
    <row r="214" spans="1:30">
      <c r="A214" s="199">
        <v>184</v>
      </c>
      <c r="B214" s="84" t="s">
        <v>240</v>
      </c>
      <c r="C214" s="85" t="s">
        <v>46</v>
      </c>
      <c r="D214" s="171" t="s">
        <v>330</v>
      </c>
      <c r="E214" s="109">
        <v>33994011307.759998</v>
      </c>
      <c r="F214" s="91">
        <f>(E214/$E$237)</f>
        <v>0.24882235062980218</v>
      </c>
      <c r="G214" s="171" t="s">
        <v>330</v>
      </c>
      <c r="H214" s="134">
        <v>1559.87</v>
      </c>
      <c r="I214" s="171" t="s">
        <v>330</v>
      </c>
      <c r="J214" s="134">
        <v>1579.32</v>
      </c>
      <c r="K214" s="110">
        <v>7003</v>
      </c>
      <c r="L214" s="111">
        <v>8.8999999999999996E-2</v>
      </c>
      <c r="M214" s="111">
        <v>0.66100000000000003</v>
      </c>
      <c r="N214" s="171" t="s">
        <v>330</v>
      </c>
      <c r="O214" s="109">
        <v>39977027343.489998</v>
      </c>
      <c r="P214" s="91">
        <f>(O214/$O$237)</f>
        <v>0.27764872715166594</v>
      </c>
      <c r="Q214" s="171" t="s">
        <v>330</v>
      </c>
      <c r="R214" s="134">
        <v>1581.72</v>
      </c>
      <c r="S214" s="171" t="s">
        <v>330</v>
      </c>
      <c r="T214" s="134">
        <v>1603.78</v>
      </c>
      <c r="U214" s="110">
        <v>8272</v>
      </c>
      <c r="V214" s="111">
        <v>2.0299999999999999E-2</v>
      </c>
      <c r="W214" s="111">
        <v>0.68679999999999997</v>
      </c>
      <c r="X214" s="187">
        <f>((O214-E214)/E214)</f>
        <v>0.17600206052659115</v>
      </c>
      <c r="Y214" s="187">
        <f>((T214-J214)/J214)</f>
        <v>1.5487678241268418E-2</v>
      </c>
      <c r="Z214" s="187">
        <f>((U214-K214)/K214)</f>
        <v>0.18120805369127516</v>
      </c>
      <c r="AA214" s="187">
        <f>V214-L214</f>
        <v>-6.8699999999999997E-2</v>
      </c>
      <c r="AB214" s="188">
        <f>W214-M214</f>
        <v>2.5799999999999934E-2</v>
      </c>
    </row>
    <row r="215" spans="1:30" ht="6" customHeight="1">
      <c r="B215" s="209"/>
      <c r="C215" s="209"/>
      <c r="D215" s="209"/>
      <c r="E215" s="209"/>
      <c r="F215" s="209"/>
      <c r="G215" s="209"/>
      <c r="H215" s="209"/>
      <c r="I215" s="209"/>
      <c r="J215" s="209"/>
      <c r="K215" s="209"/>
      <c r="L215" s="209"/>
      <c r="M215" s="209"/>
      <c r="N215" s="209"/>
      <c r="O215" s="209"/>
      <c r="P215" s="209"/>
      <c r="Q215" s="209"/>
      <c r="R215" s="209"/>
      <c r="S215" s="209"/>
      <c r="T215" s="209"/>
      <c r="U215" s="209"/>
      <c r="V215" s="209"/>
      <c r="W215" s="209"/>
      <c r="X215" s="209"/>
      <c r="Y215" s="209"/>
      <c r="Z215" s="209"/>
      <c r="AA215" s="209"/>
      <c r="AB215" s="209"/>
    </row>
    <row r="216" spans="1:30" ht="15" customHeight="1">
      <c r="A216" s="195"/>
      <c r="B216" s="210" t="s">
        <v>334</v>
      </c>
      <c r="C216" s="210"/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  <c r="AA216" s="210"/>
      <c r="AB216" s="210"/>
    </row>
    <row r="217" spans="1:30">
      <c r="A217" s="199">
        <v>185</v>
      </c>
      <c r="B217" s="84" t="s">
        <v>241</v>
      </c>
      <c r="C217" s="85" t="s">
        <v>23</v>
      </c>
      <c r="D217" s="171" t="s">
        <v>330</v>
      </c>
      <c r="E217" s="96">
        <v>1464443459.1900001</v>
      </c>
      <c r="F217" s="91">
        <f>(E217/$E$237)</f>
        <v>1.0719131101686553E-2</v>
      </c>
      <c r="G217" s="171" t="s">
        <v>330</v>
      </c>
      <c r="H217" s="133">
        <v>1.18</v>
      </c>
      <c r="I217" s="171" t="s">
        <v>330</v>
      </c>
      <c r="J217" s="133">
        <v>1.18</v>
      </c>
      <c r="K217" s="92">
        <v>901</v>
      </c>
      <c r="L217" s="93">
        <v>0.14180000000000001</v>
      </c>
      <c r="M217" s="93">
        <v>0.1138</v>
      </c>
      <c r="N217" s="171" t="s">
        <v>330</v>
      </c>
      <c r="O217" s="96">
        <v>1458946994.6700001</v>
      </c>
      <c r="P217" s="91">
        <f t="shared" ref="P217:P230" si="169">(O217/$O$237)</f>
        <v>1.0132688770763185E-2</v>
      </c>
      <c r="Q217" s="171" t="s">
        <v>330</v>
      </c>
      <c r="R217" s="133">
        <v>1.1832</v>
      </c>
      <c r="S217" s="171" t="s">
        <v>330</v>
      </c>
      <c r="T217" s="133">
        <v>1.18</v>
      </c>
      <c r="U217" s="92">
        <v>904</v>
      </c>
      <c r="V217" s="93">
        <v>0.1414</v>
      </c>
      <c r="W217" s="93">
        <v>0.11559999999999999</v>
      </c>
      <c r="X217" s="185">
        <f>((O217-E217)/E217)</f>
        <v>-3.7532787527625932E-3</v>
      </c>
      <c r="Y217" s="185">
        <f>((T217-J217)/J217)</f>
        <v>0</v>
      </c>
      <c r="Z217" s="185">
        <f>((U217-K217)/K217)</f>
        <v>3.3296337402885681E-3</v>
      </c>
      <c r="AA217" s="185">
        <f>V217-L217</f>
        <v>-4.0000000000001146E-4</v>
      </c>
      <c r="AB217" s="186">
        <f>W217-M217</f>
        <v>1.799999999999996E-3</v>
      </c>
      <c r="AD217" s="31"/>
    </row>
    <row r="218" spans="1:30" ht="15" customHeight="1">
      <c r="A218" s="199">
        <v>186</v>
      </c>
      <c r="B218" s="84" t="s">
        <v>242</v>
      </c>
      <c r="C218" s="85" t="s">
        <v>243</v>
      </c>
      <c r="D218" s="171" t="s">
        <v>330</v>
      </c>
      <c r="E218" s="205">
        <v>374374092.31</v>
      </c>
      <c r="F218" s="91">
        <f>(E218/$E$237)</f>
        <v>2.7402662433723521E-3</v>
      </c>
      <c r="G218" s="171" t="s">
        <v>330</v>
      </c>
      <c r="H218" s="133">
        <v>1143.76</v>
      </c>
      <c r="I218" s="171" t="s">
        <v>330</v>
      </c>
      <c r="J218" s="133">
        <v>1143.76</v>
      </c>
      <c r="K218" s="92">
        <v>19</v>
      </c>
      <c r="L218" s="93">
        <v>2.5000000000000001E-3</v>
      </c>
      <c r="M218" s="93">
        <v>4.2299999999999997E-2</v>
      </c>
      <c r="N218" s="171" t="s">
        <v>330</v>
      </c>
      <c r="O218" s="205">
        <v>375182554.49000001</v>
      </c>
      <c r="P218" s="91">
        <f t="shared" si="169"/>
        <v>2.6057204756276681E-3</v>
      </c>
      <c r="Q218" s="171" t="s">
        <v>330</v>
      </c>
      <c r="R218" s="133">
        <v>1146.23</v>
      </c>
      <c r="S218" s="171" t="s">
        <v>330</v>
      </c>
      <c r="T218" s="133">
        <v>1146.23</v>
      </c>
      <c r="U218" s="92">
        <v>19</v>
      </c>
      <c r="V218" s="93">
        <v>2.5000000000000001E-3</v>
      </c>
      <c r="W218" s="93">
        <v>4.48E-2</v>
      </c>
      <c r="X218" s="185">
        <f>((O218-E218)/E218)</f>
        <v>2.159503546336644E-3</v>
      </c>
      <c r="Y218" s="185">
        <f>((T218-J218)/J218)</f>
        <v>2.1595439602714096E-3</v>
      </c>
      <c r="Z218" s="185">
        <f>((U218-K218)/K218)</f>
        <v>0</v>
      </c>
      <c r="AA218" s="185">
        <f>V218-L218</f>
        <v>0</v>
      </c>
      <c r="AB218" s="186">
        <f>W218-M218</f>
        <v>2.5000000000000022E-3</v>
      </c>
      <c r="AD218" s="31"/>
    </row>
    <row r="219" spans="1:30">
      <c r="A219" s="199">
        <v>187</v>
      </c>
      <c r="B219" s="84" t="s">
        <v>244</v>
      </c>
      <c r="C219" s="85" t="s">
        <v>69</v>
      </c>
      <c r="D219" s="171" t="s">
        <v>330</v>
      </c>
      <c r="E219" s="96">
        <v>355767397.51999998</v>
      </c>
      <c r="F219" s="91">
        <f>(E219/$E$237)</f>
        <v>2.6040727976155624E-3</v>
      </c>
      <c r="G219" s="171" t="s">
        <v>330</v>
      </c>
      <c r="H219" s="133">
        <v>128.52000000000001</v>
      </c>
      <c r="I219" s="171" t="s">
        <v>330</v>
      </c>
      <c r="J219" s="133">
        <v>128.52000000000001</v>
      </c>
      <c r="K219" s="92">
        <v>83</v>
      </c>
      <c r="L219" s="93">
        <v>5.9999999999999995E-4</v>
      </c>
      <c r="M219" s="93">
        <v>0.15770000000000001</v>
      </c>
      <c r="N219" s="171" t="s">
        <v>330</v>
      </c>
      <c r="O219" s="96">
        <v>364065502.26999998</v>
      </c>
      <c r="P219" s="91">
        <f t="shared" si="169"/>
        <v>2.5285102475624179E-3</v>
      </c>
      <c r="Q219" s="171" t="s">
        <v>330</v>
      </c>
      <c r="R219" s="133">
        <v>124.56</v>
      </c>
      <c r="S219" s="171" t="s">
        <v>330</v>
      </c>
      <c r="T219" s="133">
        <v>124.56</v>
      </c>
      <c r="U219" s="92">
        <v>84</v>
      </c>
      <c r="V219" s="93">
        <v>2.8999999999999998E-3</v>
      </c>
      <c r="W219" s="93">
        <v>0.15770000000000001</v>
      </c>
      <c r="X219" s="185">
        <f t="shared" ref="X219:X238" si="170">((O219-E219)/E219)</f>
        <v>2.3324522729864561E-2</v>
      </c>
      <c r="Y219" s="185">
        <f t="shared" ref="Y219:Y237" si="171">((T219-J219)/J219)</f>
        <v>-3.0812324929972049E-2</v>
      </c>
      <c r="Z219" s="185">
        <f t="shared" ref="Z219:Z237" si="172">((U219-K219)/K219)</f>
        <v>1.2048192771084338E-2</v>
      </c>
      <c r="AA219" s="185">
        <f t="shared" ref="AA219:AA237" si="173">V219-L219</f>
        <v>2.3E-3</v>
      </c>
      <c r="AB219" s="186">
        <f t="shared" ref="AB219:AB237" si="174">W219-M219</f>
        <v>0</v>
      </c>
    </row>
    <row r="220" spans="1:30">
      <c r="A220" s="199">
        <v>188</v>
      </c>
      <c r="B220" s="206" t="s">
        <v>245</v>
      </c>
      <c r="C220" s="85" t="s">
        <v>246</v>
      </c>
      <c r="D220" s="171" t="s">
        <v>330</v>
      </c>
      <c r="E220" s="96">
        <v>53974889.868766837</v>
      </c>
      <c r="F220" s="91">
        <v>0</v>
      </c>
      <c r="G220" s="171" t="s">
        <v>330</v>
      </c>
      <c r="H220" s="133">
        <v>105.54627985272737</v>
      </c>
      <c r="I220" s="171" t="s">
        <v>330</v>
      </c>
      <c r="J220" s="133">
        <v>105.54627985272737</v>
      </c>
      <c r="K220" s="92">
        <v>14</v>
      </c>
      <c r="L220" s="93">
        <v>2.8E-3</v>
      </c>
      <c r="M220" s="93">
        <v>5.5500000000000001E-2</v>
      </c>
      <c r="N220" s="171" t="s">
        <v>330</v>
      </c>
      <c r="O220" s="96">
        <v>54142586.700000003</v>
      </c>
      <c r="P220" s="91">
        <f t="shared" si="169"/>
        <v>3.7603146809267907E-4</v>
      </c>
      <c r="Q220" s="171" t="s">
        <v>330</v>
      </c>
      <c r="R220" s="133">
        <v>105.87</v>
      </c>
      <c r="S220" s="171" t="s">
        <v>330</v>
      </c>
      <c r="T220" s="133">
        <v>105.87</v>
      </c>
      <c r="U220" s="92">
        <v>14</v>
      </c>
      <c r="V220" s="93">
        <v>3.2000000000000002E-3</v>
      </c>
      <c r="W220" s="93">
        <v>5.8700000000000002E-2</v>
      </c>
      <c r="X220" s="185">
        <f t="shared" si="170"/>
        <v>3.1069416100875783E-3</v>
      </c>
      <c r="Y220" s="185">
        <f t="shared" si="171"/>
        <v>3.0670919687964086E-3</v>
      </c>
      <c r="Z220" s="185">
        <f t="shared" si="172"/>
        <v>0</v>
      </c>
      <c r="AA220" s="185">
        <f t="shared" si="173"/>
        <v>4.0000000000000018E-4</v>
      </c>
      <c r="AB220" s="186">
        <f t="shared" si="174"/>
        <v>3.2000000000000015E-3</v>
      </c>
    </row>
    <row r="221" spans="1:30">
      <c r="A221" s="199">
        <v>189</v>
      </c>
      <c r="B221" s="206" t="s">
        <v>247</v>
      </c>
      <c r="C221" s="85" t="s">
        <v>75</v>
      </c>
      <c r="D221" s="171" t="s">
        <v>330</v>
      </c>
      <c r="E221" s="107">
        <v>85334147.849999994</v>
      </c>
      <c r="F221" s="91">
        <f>(E221/$E$237)</f>
        <v>6.2461129005334816E-4</v>
      </c>
      <c r="G221" s="171" t="s">
        <v>330</v>
      </c>
      <c r="H221" s="133">
        <v>113.25</v>
      </c>
      <c r="I221" s="171" t="s">
        <v>330</v>
      </c>
      <c r="J221" s="133">
        <v>113.25</v>
      </c>
      <c r="K221" s="92">
        <v>20</v>
      </c>
      <c r="L221" s="93">
        <v>-1.1900000000000001E-2</v>
      </c>
      <c r="M221" s="93">
        <v>0.1472</v>
      </c>
      <c r="N221" s="171" t="s">
        <v>330</v>
      </c>
      <c r="O221" s="107">
        <v>89334147.849999994</v>
      </c>
      <c r="P221" s="91">
        <f t="shared" si="169"/>
        <v>6.2044414229739679E-4</v>
      </c>
      <c r="Q221" s="171" t="s">
        <v>330</v>
      </c>
      <c r="R221" s="133">
        <v>114.18</v>
      </c>
      <c r="S221" s="171" t="s">
        <v>330</v>
      </c>
      <c r="T221" s="133">
        <v>114.18</v>
      </c>
      <c r="U221" s="92">
        <v>20</v>
      </c>
      <c r="V221" s="93">
        <v>9.7999999999999997E-3</v>
      </c>
      <c r="W221" s="93">
        <v>0.157</v>
      </c>
      <c r="X221" s="185">
        <f t="shared" si="170"/>
        <v>4.6874552576902546E-2</v>
      </c>
      <c r="Y221" s="185">
        <f t="shared" si="171"/>
        <v>8.2119205298013843E-3</v>
      </c>
      <c r="Z221" s="185">
        <f t="shared" si="172"/>
        <v>0</v>
      </c>
      <c r="AA221" s="185">
        <f t="shared" si="173"/>
        <v>2.1700000000000001E-2</v>
      </c>
      <c r="AB221" s="186">
        <f t="shared" si="174"/>
        <v>9.8000000000000032E-3</v>
      </c>
    </row>
    <row r="222" spans="1:30">
      <c r="A222" s="199">
        <v>190</v>
      </c>
      <c r="B222" s="84" t="s">
        <v>248</v>
      </c>
      <c r="C222" s="85" t="s">
        <v>78</v>
      </c>
      <c r="D222" s="171" t="s">
        <v>330</v>
      </c>
      <c r="E222" s="107">
        <v>332236210.81999999</v>
      </c>
      <c r="F222" s="91">
        <v>0</v>
      </c>
      <c r="G222" s="171" t="s">
        <v>330</v>
      </c>
      <c r="H222" s="133">
        <v>1.22034</v>
      </c>
      <c r="I222" s="171" t="s">
        <v>330</v>
      </c>
      <c r="J222" s="133">
        <v>1.22034</v>
      </c>
      <c r="K222" s="92">
        <v>58</v>
      </c>
      <c r="L222" s="93">
        <v>0</v>
      </c>
      <c r="M222" s="93">
        <v>0.1658</v>
      </c>
      <c r="N222" s="171" t="s">
        <v>330</v>
      </c>
      <c r="O222" s="107">
        <v>334025231.5</v>
      </c>
      <c r="P222" s="91">
        <f t="shared" si="169"/>
        <v>2.3198743509781736E-3</v>
      </c>
      <c r="Q222" s="171" t="s">
        <v>330</v>
      </c>
      <c r="R222" s="133">
        <v>1.22034</v>
      </c>
      <c r="S222" s="171" t="s">
        <v>330</v>
      </c>
      <c r="T222" s="133">
        <v>1.22034</v>
      </c>
      <c r="U222" s="92">
        <v>57</v>
      </c>
      <c r="V222" s="93">
        <v>0</v>
      </c>
      <c r="W222" s="93">
        <v>0.16450000000000001</v>
      </c>
      <c r="X222" s="185">
        <f t="shared" ref="X222:X223" si="175">((O222-E222)/E222)</f>
        <v>5.3847853477033197E-3</v>
      </c>
      <c r="Y222" s="185">
        <f t="shared" ref="Y222:Y223" si="176">((T222-J222)/J222)</f>
        <v>0</v>
      </c>
      <c r="Z222" s="185">
        <f t="shared" ref="Z222" si="177">((U222-K222)/K222)</f>
        <v>-1.7241379310344827E-2</v>
      </c>
      <c r="AA222" s="185">
        <f t="shared" ref="AA222" si="178">V222-L222</f>
        <v>0</v>
      </c>
      <c r="AB222" s="186">
        <f t="shared" ref="AB222" si="179">W222-M222</f>
        <v>-1.2999999999999956E-3</v>
      </c>
    </row>
    <row r="223" spans="1:30">
      <c r="A223" s="199">
        <v>191</v>
      </c>
      <c r="B223" s="84" t="s">
        <v>327</v>
      </c>
      <c r="C223" s="85" t="s">
        <v>79</v>
      </c>
      <c r="D223" s="171" t="s">
        <v>330</v>
      </c>
      <c r="E223" s="96">
        <v>5435609063.2700005</v>
      </c>
      <c r="F223" s="91">
        <f t="shared" ref="F223:F230" si="180">(E223/$E$237)</f>
        <v>3.978644979501892E-2</v>
      </c>
      <c r="G223" s="171" t="s">
        <v>330</v>
      </c>
      <c r="H223" s="133">
        <v>149.16</v>
      </c>
      <c r="I223" s="171" t="s">
        <v>330</v>
      </c>
      <c r="J223" s="133">
        <v>149.16</v>
      </c>
      <c r="K223" s="92">
        <v>809</v>
      </c>
      <c r="L223" s="93">
        <v>2.7000000000000001E-3</v>
      </c>
      <c r="M223" s="93">
        <v>4.8300000000000003E-2</v>
      </c>
      <c r="N223" s="171" t="s">
        <v>330</v>
      </c>
      <c r="O223" s="96">
        <v>5494368499.6300001</v>
      </c>
      <c r="P223" s="91">
        <f t="shared" si="169"/>
        <v>3.8159526152784264E-2</v>
      </c>
      <c r="Q223" s="171" t="s">
        <v>330</v>
      </c>
      <c r="R223" s="133">
        <v>149.56</v>
      </c>
      <c r="S223" s="171" t="s">
        <v>330</v>
      </c>
      <c r="T223" s="133">
        <v>149.56</v>
      </c>
      <c r="U223" s="92">
        <v>921</v>
      </c>
      <c r="V223" s="93">
        <v>2.7000000000000001E-3</v>
      </c>
      <c r="W223" s="93">
        <v>5.11E-2</v>
      </c>
      <c r="X223" s="185">
        <f t="shared" si="175"/>
        <v>1.0810092424978527E-2</v>
      </c>
      <c r="Y223" s="185">
        <f t="shared" si="176"/>
        <v>2.6816840976133394E-3</v>
      </c>
      <c r="Z223" s="185">
        <f t="shared" si="172"/>
        <v>0.138442521631644</v>
      </c>
      <c r="AA223" s="185">
        <f t="shared" si="173"/>
        <v>0</v>
      </c>
      <c r="AB223" s="186">
        <f t="shared" si="174"/>
        <v>2.7999999999999969E-3</v>
      </c>
    </row>
    <row r="224" spans="1:30">
      <c r="A224" s="199">
        <v>192</v>
      </c>
      <c r="B224" s="84" t="s">
        <v>249</v>
      </c>
      <c r="C224" s="85" t="s">
        <v>67</v>
      </c>
      <c r="D224" s="171" t="s">
        <v>330</v>
      </c>
      <c r="E224" s="96">
        <v>969247985.29892099</v>
      </c>
      <c r="F224" s="91">
        <f t="shared" si="180"/>
        <v>7.0945014362051514E-3</v>
      </c>
      <c r="G224" s="171" t="s">
        <v>330</v>
      </c>
      <c r="H224" s="95">
        <v>1380.9781386985001</v>
      </c>
      <c r="I224" s="171" t="s">
        <v>330</v>
      </c>
      <c r="J224" s="95">
        <v>1380.9781386985001</v>
      </c>
      <c r="K224" s="92">
        <v>364</v>
      </c>
      <c r="L224" s="93">
        <v>7.1886181197260396E-2</v>
      </c>
      <c r="M224" s="93">
        <v>7.00388905244827E-2</v>
      </c>
      <c r="N224" s="171" t="s">
        <v>330</v>
      </c>
      <c r="O224" s="96">
        <v>964630342.86000001</v>
      </c>
      <c r="P224" s="91">
        <f t="shared" si="169"/>
        <v>6.6995573374108875E-3</v>
      </c>
      <c r="Q224" s="171" t="s">
        <v>330</v>
      </c>
      <c r="R224" s="95">
        <v>138.21</v>
      </c>
      <c r="S224" s="171" t="s">
        <v>330</v>
      </c>
      <c r="T224" s="95">
        <v>1384.21</v>
      </c>
      <c r="U224" s="92">
        <v>348</v>
      </c>
      <c r="V224" s="93">
        <v>0.12189999999999999</v>
      </c>
      <c r="W224" s="93">
        <v>0.1211</v>
      </c>
      <c r="X224" s="185">
        <f t="shared" si="170"/>
        <v>-4.7641496386467809E-3</v>
      </c>
      <c r="Y224" s="185">
        <f t="shared" si="171"/>
        <v>2.3402697051713188E-3</v>
      </c>
      <c r="Z224" s="185">
        <f t="shared" si="172"/>
        <v>-4.3956043956043959E-2</v>
      </c>
      <c r="AA224" s="185">
        <f t="shared" si="173"/>
        <v>5.0013818802739599E-2</v>
      </c>
      <c r="AB224" s="186">
        <f t="shared" si="174"/>
        <v>5.10611094755173E-2</v>
      </c>
    </row>
    <row r="225" spans="1:32">
      <c r="A225" s="199">
        <v>193</v>
      </c>
      <c r="B225" s="84" t="s">
        <v>250</v>
      </c>
      <c r="C225" s="85" t="s">
        <v>239</v>
      </c>
      <c r="D225" s="171" t="s">
        <v>330</v>
      </c>
      <c r="E225" s="96">
        <v>45271892433.839996</v>
      </c>
      <c r="F225" s="91">
        <f t="shared" si="180"/>
        <v>0.33137185814479558</v>
      </c>
      <c r="G225" s="171" t="s">
        <v>330</v>
      </c>
      <c r="H225" s="95">
        <v>1290.3699999999999</v>
      </c>
      <c r="I225" s="171" t="s">
        <v>330</v>
      </c>
      <c r="J225" s="95">
        <v>1290.3699999999999</v>
      </c>
      <c r="K225" s="92">
        <v>13094</v>
      </c>
      <c r="L225" s="93">
        <v>3.2000000000000002E-3</v>
      </c>
      <c r="M225" s="93">
        <v>5.3800000000000001E-2</v>
      </c>
      <c r="N225" s="171" t="s">
        <v>330</v>
      </c>
      <c r="O225" s="96">
        <v>45450617882.440002</v>
      </c>
      <c r="P225" s="91">
        <f t="shared" si="169"/>
        <v>0.31566394606804565</v>
      </c>
      <c r="Q225" s="171" t="s">
        <v>330</v>
      </c>
      <c r="R225" s="95">
        <v>1293.57</v>
      </c>
      <c r="S225" s="171" t="s">
        <v>330</v>
      </c>
      <c r="T225" s="95">
        <v>1293.57</v>
      </c>
      <c r="U225" s="92">
        <v>13190</v>
      </c>
      <c r="V225" s="93">
        <v>2.5000000000000001E-3</v>
      </c>
      <c r="W225" s="93">
        <v>5.6300000000000003E-2</v>
      </c>
      <c r="X225" s="185">
        <f t="shared" si="170"/>
        <v>3.9478236714136508E-3</v>
      </c>
      <c r="Y225" s="185">
        <f t="shared" si="171"/>
        <v>2.4799088633493073E-3</v>
      </c>
      <c r="Z225" s="185">
        <f t="shared" si="172"/>
        <v>7.3316022605773639E-3</v>
      </c>
      <c r="AA225" s="185">
        <f t="shared" si="173"/>
        <v>-7.000000000000001E-4</v>
      </c>
      <c r="AB225" s="186">
        <f t="shared" si="174"/>
        <v>2.5000000000000022E-3</v>
      </c>
    </row>
    <row r="226" spans="1:32">
      <c r="A226" s="199">
        <v>194</v>
      </c>
      <c r="B226" s="84" t="s">
        <v>251</v>
      </c>
      <c r="C226" s="85" t="s">
        <v>252</v>
      </c>
      <c r="D226" s="171" t="s">
        <v>330</v>
      </c>
      <c r="E226" s="96">
        <v>569191222.22000003</v>
      </c>
      <c r="F226" s="91">
        <f t="shared" si="180"/>
        <v>4.1662484779576578E-3</v>
      </c>
      <c r="G226" s="171" t="s">
        <v>330</v>
      </c>
      <c r="H226" s="134">
        <v>140.57</v>
      </c>
      <c r="I226" s="171" t="s">
        <v>330</v>
      </c>
      <c r="J226" s="134">
        <v>141.05000000000001</v>
      </c>
      <c r="K226" s="110">
        <v>140</v>
      </c>
      <c r="L226" s="93">
        <v>1.0699999999999999E-2</v>
      </c>
      <c r="M226" s="93">
        <v>0.15629999999999999</v>
      </c>
      <c r="N226" s="171" t="s">
        <v>330</v>
      </c>
      <c r="O226" s="96">
        <v>573720270.67999995</v>
      </c>
      <c r="P226" s="91">
        <f t="shared" si="169"/>
        <v>3.9846059970077043E-3</v>
      </c>
      <c r="Q226" s="171" t="s">
        <v>330</v>
      </c>
      <c r="R226" s="134">
        <v>141.24</v>
      </c>
      <c r="S226" s="171" t="s">
        <v>330</v>
      </c>
      <c r="T226" s="134">
        <v>141.72999999999999</v>
      </c>
      <c r="U226" s="110">
        <v>142</v>
      </c>
      <c r="V226" s="93">
        <v>4.7999999999999996E-3</v>
      </c>
      <c r="W226" s="93">
        <v>0.16</v>
      </c>
      <c r="X226" s="185">
        <f>((O226-E226)/E226)</f>
        <v>7.9569892914641283E-3</v>
      </c>
      <c r="Y226" s="185">
        <f t="shared" si="171"/>
        <v>4.8209854661466029E-3</v>
      </c>
      <c r="Z226" s="185">
        <f t="shared" si="172"/>
        <v>1.4285714285714285E-2</v>
      </c>
      <c r="AA226" s="185">
        <f t="shared" si="173"/>
        <v>-5.8999999999999999E-3</v>
      </c>
      <c r="AB226" s="186">
        <f t="shared" si="174"/>
        <v>3.7000000000000088E-3</v>
      </c>
    </row>
    <row r="227" spans="1:32">
      <c r="A227" s="199">
        <v>195</v>
      </c>
      <c r="B227" s="84" t="s">
        <v>253</v>
      </c>
      <c r="C227" s="85" t="s">
        <v>252</v>
      </c>
      <c r="D227" s="171" t="s">
        <v>330</v>
      </c>
      <c r="E227" s="96">
        <v>947492258.78999996</v>
      </c>
      <c r="F227" s="91">
        <f t="shared" si="180"/>
        <v>6.9352583577522971E-3</v>
      </c>
      <c r="G227" s="171" t="s">
        <v>330</v>
      </c>
      <c r="H227" s="134">
        <v>145.21</v>
      </c>
      <c r="I227" s="171" t="s">
        <v>330</v>
      </c>
      <c r="J227" s="134">
        <v>145.21</v>
      </c>
      <c r="K227" s="110">
        <v>132</v>
      </c>
      <c r="L227" s="93">
        <v>5.8999999999999999E-3</v>
      </c>
      <c r="M227" s="93">
        <v>7.0699999999999999E-2</v>
      </c>
      <c r="N227" s="171" t="s">
        <v>330</v>
      </c>
      <c r="O227" s="96">
        <v>996663237.10000002</v>
      </c>
      <c r="P227" s="91">
        <f t="shared" si="169"/>
        <v>6.9220324163181308E-3</v>
      </c>
      <c r="Q227" s="171" t="s">
        <v>330</v>
      </c>
      <c r="R227" s="134">
        <v>145.93</v>
      </c>
      <c r="S227" s="171" t="s">
        <v>330</v>
      </c>
      <c r="T227" s="134">
        <v>145.93</v>
      </c>
      <c r="U227" s="110">
        <v>136</v>
      </c>
      <c r="V227" s="93">
        <v>5.0000000000000001E-3</v>
      </c>
      <c r="W227" s="93">
        <v>7.6100000000000001E-2</v>
      </c>
      <c r="X227" s="185">
        <f t="shared" si="170"/>
        <v>5.189591561707757E-2</v>
      </c>
      <c r="Y227" s="185">
        <f t="shared" si="171"/>
        <v>4.95833620274085E-3</v>
      </c>
      <c r="Z227" s="185">
        <f t="shared" si="172"/>
        <v>3.0303030303030304E-2</v>
      </c>
      <c r="AA227" s="185">
        <f t="shared" si="173"/>
        <v>-8.9999999999999976E-4</v>
      </c>
      <c r="AB227" s="186">
        <f t="shared" si="174"/>
        <v>5.400000000000002E-3</v>
      </c>
    </row>
    <row r="228" spans="1:32" ht="13.5" customHeight="1">
      <c r="A228" s="199">
        <v>196</v>
      </c>
      <c r="B228" s="84" t="s">
        <v>254</v>
      </c>
      <c r="C228" s="85" t="s">
        <v>98</v>
      </c>
      <c r="D228" s="171" t="s">
        <v>330</v>
      </c>
      <c r="E228" s="96">
        <v>3181309799</v>
      </c>
      <c r="F228" s="91">
        <f t="shared" si="180"/>
        <v>2.3285895127301583E-2</v>
      </c>
      <c r="G228" s="171" t="s">
        <v>330</v>
      </c>
      <c r="H228" s="116">
        <v>106.58</v>
      </c>
      <c r="I228" s="171" t="s">
        <v>330</v>
      </c>
      <c r="J228" s="116">
        <v>106.58</v>
      </c>
      <c r="K228" s="92">
        <v>898</v>
      </c>
      <c r="L228" s="93">
        <v>3.8999999999999998E-3</v>
      </c>
      <c r="M228" s="93">
        <v>0.18279999999999999</v>
      </c>
      <c r="N228" s="171" t="s">
        <v>330</v>
      </c>
      <c r="O228" s="96">
        <v>3237820880</v>
      </c>
      <c r="P228" s="91">
        <f t="shared" si="169"/>
        <v>2.2487335998069888E-2</v>
      </c>
      <c r="Q228" s="171" t="s">
        <v>330</v>
      </c>
      <c r="R228" s="116">
        <v>106.96</v>
      </c>
      <c r="S228" s="171" t="s">
        <v>330</v>
      </c>
      <c r="T228" s="116">
        <v>106.96</v>
      </c>
      <c r="U228" s="92">
        <v>906</v>
      </c>
      <c r="V228" s="93">
        <v>3.5999999999999999E-3</v>
      </c>
      <c r="W228" s="93">
        <v>0.18340000000000001</v>
      </c>
      <c r="X228" s="185">
        <f t="shared" si="170"/>
        <v>1.7763463658196213E-2</v>
      </c>
      <c r="Y228" s="185">
        <f t="shared" si="171"/>
        <v>3.5653968849689945E-3</v>
      </c>
      <c r="Z228" s="185">
        <f t="shared" si="172"/>
        <v>8.9086859688195987E-3</v>
      </c>
      <c r="AA228" s="185">
        <f t="shared" si="173"/>
        <v>-2.9999999999999992E-4</v>
      </c>
      <c r="AB228" s="186">
        <f t="shared" si="174"/>
        <v>6.0000000000001719E-4</v>
      </c>
    </row>
    <row r="229" spans="1:32" ht="15.75" customHeight="1">
      <c r="A229" s="199">
        <v>197</v>
      </c>
      <c r="B229" s="84" t="s">
        <v>255</v>
      </c>
      <c r="C229" s="85" t="s">
        <v>46</v>
      </c>
      <c r="D229" s="171" t="s">
        <v>330</v>
      </c>
      <c r="E229" s="96">
        <v>2605471951.7600002</v>
      </c>
      <c r="F229" s="91">
        <f t="shared" si="180"/>
        <v>1.9070996054794832E-2</v>
      </c>
      <c r="G229" s="171" t="s">
        <v>330</v>
      </c>
      <c r="H229" s="116">
        <v>152.44</v>
      </c>
      <c r="I229" s="171" t="s">
        <v>330</v>
      </c>
      <c r="J229" s="116">
        <v>152.44</v>
      </c>
      <c r="K229" s="92">
        <v>2812</v>
      </c>
      <c r="L229" s="93">
        <v>2.9999999999999997E-4</v>
      </c>
      <c r="M229" s="93">
        <v>0.16889999999999999</v>
      </c>
      <c r="N229" s="171" t="s">
        <v>330</v>
      </c>
      <c r="O229" s="96">
        <v>2518184845.8000002</v>
      </c>
      <c r="P229" s="91">
        <f t="shared" si="169"/>
        <v>1.7489314829779102E-2</v>
      </c>
      <c r="Q229" s="171" t="s">
        <v>330</v>
      </c>
      <c r="R229" s="116">
        <v>153.31</v>
      </c>
      <c r="S229" s="171" t="s">
        <v>330</v>
      </c>
      <c r="T229" s="116">
        <v>153.31</v>
      </c>
      <c r="U229" s="92">
        <v>2908</v>
      </c>
      <c r="V229" s="93">
        <v>2.7000000000000001E-3</v>
      </c>
      <c r="W229" s="93">
        <v>0.16639999999999999</v>
      </c>
      <c r="X229" s="185">
        <f t="shared" si="170"/>
        <v>-3.3501456771022793E-2</v>
      </c>
      <c r="Y229" s="185">
        <f t="shared" si="171"/>
        <v>5.7071634741537956E-3</v>
      </c>
      <c r="Z229" s="185">
        <f t="shared" si="172"/>
        <v>3.4139402560455195E-2</v>
      </c>
      <c r="AA229" s="185">
        <f t="shared" si="173"/>
        <v>2.4000000000000002E-3</v>
      </c>
      <c r="AB229" s="186">
        <f t="shared" si="174"/>
        <v>-2.5000000000000022E-3</v>
      </c>
    </row>
    <row r="230" spans="1:32">
      <c r="A230" s="199">
        <v>198</v>
      </c>
      <c r="B230" s="84" t="s">
        <v>256</v>
      </c>
      <c r="C230" s="85" t="s">
        <v>49</v>
      </c>
      <c r="D230" s="171" t="s">
        <v>330</v>
      </c>
      <c r="E230" s="96">
        <v>4124837732.27</v>
      </c>
      <c r="F230" s="91">
        <f t="shared" si="180"/>
        <v>3.0192136232996811E-2</v>
      </c>
      <c r="G230" s="171" t="s">
        <v>330</v>
      </c>
      <c r="H230" s="116">
        <v>1.2689600000000001</v>
      </c>
      <c r="I230" s="171" t="s">
        <v>330</v>
      </c>
      <c r="J230" s="116">
        <v>1.2689600000000001</v>
      </c>
      <c r="K230" s="92">
        <v>2233</v>
      </c>
      <c r="L230" s="93">
        <v>9.4799999999999995E-2</v>
      </c>
      <c r="M230" s="93">
        <v>9.2200000000000004E-2</v>
      </c>
      <c r="N230" s="171" t="s">
        <v>330</v>
      </c>
      <c r="O230" s="96">
        <v>4147327736.3499999</v>
      </c>
      <c r="P230" s="91">
        <f t="shared" si="169"/>
        <v>2.8804049315234836E-2</v>
      </c>
      <c r="Q230" s="171" t="s">
        <v>330</v>
      </c>
      <c r="R230" s="116">
        <v>1.2717000000000001</v>
      </c>
      <c r="S230" s="171" t="s">
        <v>330</v>
      </c>
      <c r="T230" s="116">
        <v>1.2717000000000001</v>
      </c>
      <c r="U230" s="92">
        <v>2241</v>
      </c>
      <c r="V230" s="93">
        <v>0.1216</v>
      </c>
      <c r="W230" s="93">
        <v>9.3700000000000006E-2</v>
      </c>
      <c r="X230" s="185">
        <f t="shared" si="170"/>
        <v>5.4523366832234443E-3</v>
      </c>
      <c r="Y230" s="185">
        <f t="shared" si="171"/>
        <v>2.1592485184717914E-3</v>
      </c>
      <c r="Z230" s="185">
        <f t="shared" si="172"/>
        <v>3.5826242722794446E-3</v>
      </c>
      <c r="AA230" s="185">
        <f t="shared" si="173"/>
        <v>2.6800000000000004E-2</v>
      </c>
      <c r="AB230" s="186">
        <f t="shared" si="174"/>
        <v>1.5000000000000013E-3</v>
      </c>
    </row>
    <row r="231" spans="1:32" ht="4.8" customHeight="1">
      <c r="B231" s="209"/>
      <c r="C231" s="209"/>
      <c r="D231" s="209"/>
      <c r="E231" s="209"/>
      <c r="F231" s="209"/>
      <c r="G231" s="209"/>
      <c r="H231" s="209"/>
      <c r="I231" s="209"/>
      <c r="J231" s="209"/>
      <c r="K231" s="209"/>
      <c r="L231" s="209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209"/>
      <c r="X231" s="209"/>
      <c r="Y231" s="209"/>
      <c r="Z231" s="209"/>
      <c r="AA231" s="209"/>
      <c r="AB231" s="209"/>
    </row>
    <row r="232" spans="1:32">
      <c r="A232" s="195"/>
      <c r="B232" s="210" t="s">
        <v>335</v>
      </c>
      <c r="C232" s="210"/>
      <c r="D232" s="210"/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  <c r="AA232" s="210"/>
      <c r="AB232" s="210"/>
    </row>
    <row r="233" spans="1:32">
      <c r="A233" s="199">
        <v>199</v>
      </c>
      <c r="B233" s="84" t="s">
        <v>257</v>
      </c>
      <c r="C233" s="85" t="s">
        <v>19</v>
      </c>
      <c r="D233" s="171" t="s">
        <v>330</v>
      </c>
      <c r="E233" s="132">
        <v>552254594.30999994</v>
      </c>
      <c r="F233" s="91">
        <f>(E233/$E$209)</f>
        <v>2.8232509612846148E-2</v>
      </c>
      <c r="G233" s="171" t="s">
        <v>330</v>
      </c>
      <c r="H233" s="133">
        <v>118.4542</v>
      </c>
      <c r="I233" s="171" t="s">
        <v>330</v>
      </c>
      <c r="J233" s="133">
        <v>118.4542</v>
      </c>
      <c r="K233" s="88">
        <v>110</v>
      </c>
      <c r="L233" s="89">
        <v>-2.7000000000000001E-3</v>
      </c>
      <c r="M233" s="89">
        <v>0.12939999999999999</v>
      </c>
      <c r="N233" s="171" t="s">
        <v>330</v>
      </c>
      <c r="O233" s="132">
        <v>649285432.99000001</v>
      </c>
      <c r="P233" s="113">
        <f>(O233/O234)</f>
        <v>3.4288491740665207E-2</v>
      </c>
      <c r="Q233" s="171" t="s">
        <v>330</v>
      </c>
      <c r="R233" s="133">
        <v>119.9417</v>
      </c>
      <c r="S233" s="171" t="s">
        <v>330</v>
      </c>
      <c r="T233" s="133">
        <v>119.9417</v>
      </c>
      <c r="U233" s="88">
        <v>110</v>
      </c>
      <c r="V233" s="89">
        <v>1.26E-2</v>
      </c>
      <c r="W233" s="89">
        <v>0.14360000000000001</v>
      </c>
      <c r="X233" s="185">
        <f>((O233-E233)/E233)</f>
        <v>0.17569946846930753</v>
      </c>
      <c r="Y233" s="185">
        <f t="shared" ref="Y233" si="181">((T233-J233)/J233)</f>
        <v>1.255759610043373E-2</v>
      </c>
      <c r="Z233" s="185">
        <f t="shared" ref="Z233" si="182">((U233-K233)/K233)</f>
        <v>0</v>
      </c>
      <c r="AA233" s="185">
        <f t="shared" ref="AA233" si="183">V233-L233</f>
        <v>1.5300000000000001E-2</v>
      </c>
      <c r="AB233" s="186">
        <f t="shared" ref="AB233" si="184">W233-M233</f>
        <v>1.4200000000000018E-2</v>
      </c>
      <c r="AE233" s="52"/>
    </row>
    <row r="234" spans="1:32">
      <c r="A234" s="204">
        <v>200</v>
      </c>
      <c r="B234" s="84" t="s">
        <v>258</v>
      </c>
      <c r="C234" s="85" t="s">
        <v>23</v>
      </c>
      <c r="D234" s="171" t="s">
        <v>330</v>
      </c>
      <c r="E234" s="132">
        <v>18199040305.73</v>
      </c>
      <c r="F234" s="91">
        <f>(E234/$E$209)</f>
        <v>0.93037628961341001</v>
      </c>
      <c r="G234" s="171" t="s">
        <v>330</v>
      </c>
      <c r="H234" s="133">
        <v>151.38069999999999</v>
      </c>
      <c r="I234" s="171" t="s">
        <v>330</v>
      </c>
      <c r="J234" s="133">
        <v>155.94489999999999</v>
      </c>
      <c r="K234" s="88">
        <v>6820</v>
      </c>
      <c r="L234" s="89">
        <v>-0.67779999999999996</v>
      </c>
      <c r="M234" s="89">
        <v>0.45372265849311272</v>
      </c>
      <c r="N234" s="171" t="s">
        <v>330</v>
      </c>
      <c r="O234" s="132">
        <v>18935957810.59</v>
      </c>
      <c r="P234" s="113">
        <f>(O234/$O$209)</f>
        <v>0.88819847755698433</v>
      </c>
      <c r="Q234" s="171" t="s">
        <v>330</v>
      </c>
      <c r="R234" s="133">
        <v>152.98099999999999</v>
      </c>
      <c r="S234" s="171" t="s">
        <v>330</v>
      </c>
      <c r="T234" s="133">
        <v>157.5934</v>
      </c>
      <c r="U234" s="88">
        <v>7064</v>
      </c>
      <c r="V234" s="89">
        <v>1.06E-2</v>
      </c>
      <c r="W234" s="89">
        <v>0.46910000000000002</v>
      </c>
      <c r="X234" s="185">
        <f>((O234-E234)/E234)</f>
        <v>4.0492107961757791E-2</v>
      </c>
      <c r="Y234" s="185">
        <f t="shared" ref="Y234" si="185">((T234-J234)/J234)</f>
        <v>1.0571041438354271E-2</v>
      </c>
      <c r="Z234" s="185">
        <f t="shared" ref="Z234" si="186">((U234-K234)/K234)</f>
        <v>3.5777126099706742E-2</v>
      </c>
      <c r="AA234" s="185">
        <f t="shared" ref="AA234" si="187">V234-L234</f>
        <v>0.68840000000000001</v>
      </c>
      <c r="AB234" s="186">
        <f t="shared" ref="AB234" si="188">W234-M234</f>
        <v>1.5377341506887299E-2</v>
      </c>
      <c r="AD234" s="41"/>
      <c r="AE234" s="41"/>
      <c r="AF234" s="52"/>
    </row>
    <row r="235" spans="1:32">
      <c r="A235" s="199">
        <v>201</v>
      </c>
      <c r="B235" s="84" t="s">
        <v>259</v>
      </c>
      <c r="C235" s="85" t="s">
        <v>239</v>
      </c>
      <c r="D235" s="171" t="s">
        <v>330</v>
      </c>
      <c r="E235" s="96">
        <v>418162389.48000002</v>
      </c>
      <c r="F235" s="91">
        <f t="shared" ref="F235" si="189">(E235/$E$237)</f>
        <v>3.0607787869870134E-3</v>
      </c>
      <c r="G235" s="171" t="s">
        <v>330</v>
      </c>
      <c r="H235" s="95">
        <v>1720.74</v>
      </c>
      <c r="I235" s="171" t="s">
        <v>330</v>
      </c>
      <c r="J235" s="95">
        <v>1720.74</v>
      </c>
      <c r="K235" s="92">
        <v>172</v>
      </c>
      <c r="L235" s="93">
        <v>-2.6800000000000001E-2</v>
      </c>
      <c r="M235" s="93">
        <v>0.38109999999999999</v>
      </c>
      <c r="N235" s="171" t="s">
        <v>330</v>
      </c>
      <c r="O235" s="96">
        <v>418536404.94999999</v>
      </c>
      <c r="P235" s="91">
        <f t="shared" ref="P235" si="190">(O235/$O$237)</f>
        <v>2.9068219380730198E-3</v>
      </c>
      <c r="Q235" s="171" t="s">
        <v>330</v>
      </c>
      <c r="R235" s="95">
        <v>1725.17</v>
      </c>
      <c r="S235" s="171" t="s">
        <v>330</v>
      </c>
      <c r="T235" s="95">
        <v>1725.17</v>
      </c>
      <c r="U235" s="92">
        <v>172</v>
      </c>
      <c r="V235" s="93">
        <v>8.0000000000000004E-4</v>
      </c>
      <c r="W235" s="93">
        <v>0.38229999999999997</v>
      </c>
      <c r="X235" s="185">
        <f t="shared" ref="X235" si="191">((O235-E235)/E235)</f>
        <v>8.9442637456006193E-4</v>
      </c>
      <c r="Y235" s="185">
        <f t="shared" ref="Y235" si="192">((T235-J235)/J235)</f>
        <v>2.5744737729116911E-3</v>
      </c>
      <c r="Z235" s="185">
        <f t="shared" ref="Z235" si="193">((U235-K235)/K235)</f>
        <v>0</v>
      </c>
      <c r="AA235" s="185">
        <f t="shared" ref="AA235" si="194">V235-L235</f>
        <v>2.76E-2</v>
      </c>
      <c r="AB235" s="186">
        <f t="shared" ref="AB235" si="195">W235-M235</f>
        <v>1.1999999999999789E-3</v>
      </c>
    </row>
    <row r="236" spans="1:32">
      <c r="A236" s="199">
        <v>202</v>
      </c>
      <c r="B236" s="84" t="s">
        <v>260</v>
      </c>
      <c r="C236" s="85" t="s">
        <v>261</v>
      </c>
      <c r="D236" s="171" t="s">
        <v>330</v>
      </c>
      <c r="E236" s="96">
        <v>202521701.41999999</v>
      </c>
      <c r="F236" s="91">
        <f t="shared" ref="F236" si="196">(E236/$E$237)</f>
        <v>1.4823765675858354E-3</v>
      </c>
      <c r="G236" s="171" t="s">
        <v>330</v>
      </c>
      <c r="H236" s="95">
        <v>129.02000000000001</v>
      </c>
      <c r="I236" s="171" t="s">
        <v>330</v>
      </c>
      <c r="J236" s="95">
        <v>131.68</v>
      </c>
      <c r="K236" s="92">
        <v>313</v>
      </c>
      <c r="L236" s="93">
        <v>1.3599999999999999E-2</v>
      </c>
      <c r="M236" s="93">
        <v>0.17649999999999999</v>
      </c>
      <c r="N236" s="171" t="s">
        <v>330</v>
      </c>
      <c r="O236" s="96">
        <v>201276156.91999999</v>
      </c>
      <c r="P236" s="91">
        <f t="shared" ref="P236" si="197">(O236/$O$237)</f>
        <v>1.39790455890206E-3</v>
      </c>
      <c r="Q236" s="171" t="s">
        <v>330</v>
      </c>
      <c r="R236" s="95">
        <v>129.19999999999999</v>
      </c>
      <c r="S236" s="171" t="s">
        <v>330</v>
      </c>
      <c r="T236" s="95">
        <v>131.86000000000001</v>
      </c>
      <c r="U236" s="92">
        <v>315</v>
      </c>
      <c r="V236" s="93">
        <v>1.2999999999999999E-3</v>
      </c>
      <c r="W236" s="93">
        <v>0.17849999999999999</v>
      </c>
      <c r="X236" s="185">
        <f t="shared" ref="X236" si="198">((O236-E236)/E236)</f>
        <v>-6.1501779378049237E-3</v>
      </c>
      <c r="Y236" s="185">
        <f t="shared" ref="Y236" si="199">((T236-J236)/J236)</f>
        <v>1.366950182260076E-3</v>
      </c>
      <c r="Z236" s="185">
        <f t="shared" ref="Z236" si="200">((U236-K236)/K236)</f>
        <v>6.3897763578274758E-3</v>
      </c>
      <c r="AA236" s="185">
        <f t="shared" ref="AA236" si="201">V236-L236</f>
        <v>-1.2299999999999998E-2</v>
      </c>
      <c r="AB236" s="186">
        <f t="shared" ref="AB236" si="202">W236-M236</f>
        <v>2.0000000000000018E-3</v>
      </c>
    </row>
    <row r="237" spans="1:32">
      <c r="B237" s="99"/>
      <c r="C237" s="123" t="s">
        <v>52</v>
      </c>
      <c r="D237" s="145" t="s">
        <v>330</v>
      </c>
      <c r="E237" s="114">
        <f>SUM(E213:E236)</f>
        <v>136619605199.11766</v>
      </c>
      <c r="F237" s="102">
        <f>(E237/$E$238)</f>
        <v>1.5412192755164178E-2</v>
      </c>
      <c r="G237" s="145" t="s">
        <v>330</v>
      </c>
      <c r="H237" s="103"/>
      <c r="I237" s="145" t="s">
        <v>330</v>
      </c>
      <c r="J237" s="127"/>
      <c r="K237" s="135">
        <f>SUM(K213:K236)</f>
        <v>52440</v>
      </c>
      <c r="L237" s="128"/>
      <c r="M237" s="128"/>
      <c r="N237" s="171" t="s">
        <v>330</v>
      </c>
      <c r="O237" s="114">
        <f>SUM(O213:O236)</f>
        <v>143984190936.53003</v>
      </c>
      <c r="P237" s="102">
        <f>(O237/$O$238)</f>
        <v>1.6164716078195515E-2</v>
      </c>
      <c r="Q237" s="171" t="s">
        <v>330</v>
      </c>
      <c r="R237" s="103"/>
      <c r="S237" s="171" t="s">
        <v>330</v>
      </c>
      <c r="T237" s="127"/>
      <c r="U237" s="105">
        <f>SUM(U213:U236)</f>
        <v>54369</v>
      </c>
      <c r="V237" s="128"/>
      <c r="W237" s="128"/>
      <c r="X237" s="185">
        <f t="shared" si="170"/>
        <v>5.3905775285170654E-2</v>
      </c>
      <c r="Y237" s="185" t="e">
        <f t="shared" si="171"/>
        <v>#DIV/0!</v>
      </c>
      <c r="Z237" s="185">
        <f t="shared" si="172"/>
        <v>3.6784897025171626E-2</v>
      </c>
      <c r="AA237" s="185">
        <f t="shared" si="173"/>
        <v>0</v>
      </c>
      <c r="AB237" s="186">
        <f t="shared" si="174"/>
        <v>0</v>
      </c>
    </row>
    <row r="238" spans="1:32">
      <c r="A238" s="196"/>
      <c r="B238" s="136"/>
      <c r="C238" s="137" t="s">
        <v>262</v>
      </c>
      <c r="D238" s="137"/>
      <c r="E238" s="138">
        <f>SUM(E26,E76,E117,E161,E170,E203,E209,E237)</f>
        <v>8864384670594.0273</v>
      </c>
      <c r="F238" s="139"/>
      <c r="G238" s="139"/>
      <c r="H238" s="139"/>
      <c r="I238" s="139"/>
      <c r="J238" s="140"/>
      <c r="K238" s="138">
        <f>SUM(K26,K76,K117,K161,K170,K203,K209,K237)</f>
        <v>1341020</v>
      </c>
      <c r="L238" s="141"/>
      <c r="M238" s="141"/>
      <c r="N238" s="141"/>
      <c r="O238" s="138">
        <f>SUM(O26,O76,O117,O161,O170,O203,O209,O237)</f>
        <v>8907313326136.8828</v>
      </c>
      <c r="P238" s="139"/>
      <c r="Q238" s="139"/>
      <c r="R238" s="139"/>
      <c r="S238" s="139"/>
      <c r="T238" s="140"/>
      <c r="U238" s="138">
        <f>SUM(U26,U76,U117,U161,U170,U203,U209,U237)</f>
        <v>1356189</v>
      </c>
      <c r="V238" s="142"/>
      <c r="W238" s="138"/>
      <c r="X238" s="143">
        <f t="shared" si="170"/>
        <v>4.8428240806452612E-3</v>
      </c>
      <c r="Y238" s="143"/>
      <c r="Z238" s="143"/>
      <c r="AA238" s="143"/>
      <c r="AB238" s="143"/>
    </row>
    <row r="239" spans="1:32" ht="6.75" customHeight="1">
      <c r="B239" s="209"/>
      <c r="C239" s="209"/>
      <c r="D239" s="209"/>
      <c r="E239" s="209"/>
      <c r="F239" s="209"/>
      <c r="G239" s="209"/>
      <c r="H239" s="209"/>
      <c r="I239" s="209"/>
      <c r="J239" s="209"/>
      <c r="K239" s="209"/>
      <c r="L239" s="209"/>
      <c r="M239" s="209"/>
      <c r="N239" s="209"/>
      <c r="O239" s="209"/>
      <c r="P239" s="209"/>
      <c r="Q239" s="209"/>
      <c r="R239" s="209"/>
      <c r="S239" s="209"/>
      <c r="T239" s="209"/>
      <c r="U239" s="209"/>
      <c r="V239" s="209"/>
      <c r="W239" s="209"/>
      <c r="X239" s="209"/>
      <c r="Y239" s="209"/>
      <c r="Z239" s="209"/>
      <c r="AA239" s="209"/>
      <c r="AB239" s="99"/>
    </row>
    <row r="240" spans="1:32" ht="14.4" customHeight="1">
      <c r="A240" s="191"/>
      <c r="B240" s="207" t="s">
        <v>263</v>
      </c>
      <c r="C240" s="207"/>
      <c r="D240" s="207"/>
      <c r="E240" s="207"/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207"/>
      <c r="AA240" s="207"/>
      <c r="AB240" s="207"/>
    </row>
    <row r="241" spans="1:33" ht="14.4" customHeight="1">
      <c r="A241" s="199">
        <v>1</v>
      </c>
      <c r="B241" s="84" t="s">
        <v>264</v>
      </c>
      <c r="C241" s="85" t="s">
        <v>23</v>
      </c>
      <c r="D241" s="174">
        <v>1764689.49</v>
      </c>
      <c r="E241" s="96">
        <v>2400776051.9252758</v>
      </c>
      <c r="F241" s="91">
        <f t="shared" ref="F241:F244" si="203">(E241/$E$237)</f>
        <v>1.7572705238214088E-2</v>
      </c>
      <c r="G241" s="174">
        <v>1.0556000000000001</v>
      </c>
      <c r="H241" s="95">
        <v>1436.0935534400001</v>
      </c>
      <c r="I241" s="95">
        <v>1.0556000000000001</v>
      </c>
      <c r="J241" s="95">
        <v>1436.0935534400001</v>
      </c>
      <c r="K241" s="92">
        <v>58</v>
      </c>
      <c r="L241" s="93">
        <v>8.4099999999999994E-2</v>
      </c>
      <c r="M241" s="93">
        <v>5.2299999999999999E-2</v>
      </c>
      <c r="N241" s="174">
        <v>1763879.95</v>
      </c>
      <c r="O241" s="96">
        <f>1763879.95*1370.8163</f>
        <v>2417955386.7031851</v>
      </c>
      <c r="P241" s="91">
        <f t="shared" ref="P241:P246" si="204">(O241/$O$247)</f>
        <v>7.7133550552353006E-2</v>
      </c>
      <c r="Q241" s="174">
        <v>1.0550999999999999</v>
      </c>
      <c r="R241" s="95">
        <f>1.0551*1370.8163</f>
        <v>1446.3482781299999</v>
      </c>
      <c r="S241" s="174">
        <v>1.0550999999999999</v>
      </c>
      <c r="T241" s="95">
        <f>1.0551*1370.8163</f>
        <v>1446.3482781299999</v>
      </c>
      <c r="U241" s="92">
        <v>58</v>
      </c>
      <c r="V241" s="93">
        <v>-2.47E-2</v>
      </c>
      <c r="W241" s="93">
        <v>4.8300000000000003E-2</v>
      </c>
      <c r="X241" s="185">
        <f t="shared" ref="X241" si="205">((O241-E241)/E241)</f>
        <v>7.155742312629494E-3</v>
      </c>
      <c r="Y241" s="185">
        <f t="shared" ref="Y241" si="206">((T241-J241)/J241)</f>
        <v>7.1407079750729604E-3</v>
      </c>
      <c r="Z241" s="185">
        <f t="shared" ref="Z241" si="207">((U241-K241)/K241)</f>
        <v>0</v>
      </c>
      <c r="AA241" s="185">
        <f t="shared" ref="AA241" si="208">V241-L241</f>
        <v>-0.10879999999999999</v>
      </c>
      <c r="AB241" s="186">
        <f t="shared" ref="AB241" si="209">W241-M241</f>
        <v>-3.9999999999999966E-3</v>
      </c>
    </row>
    <row r="242" spans="1:33" ht="14.4" customHeight="1">
      <c r="A242" s="204">
        <v>2</v>
      </c>
      <c r="B242" s="84" t="s">
        <v>265</v>
      </c>
      <c r="C242" s="85" t="s">
        <v>198</v>
      </c>
      <c r="D242" s="172" t="s">
        <v>330</v>
      </c>
      <c r="E242" s="96">
        <v>15657680446.360001</v>
      </c>
      <c r="F242" s="91">
        <f t="shared" ref="F242" si="210">(E242/$E$237)</f>
        <v>0.11460785897850863</v>
      </c>
      <c r="G242" s="172" t="s">
        <v>330</v>
      </c>
      <c r="H242" s="95">
        <v>123.2</v>
      </c>
      <c r="I242" s="95" t="s">
        <v>330</v>
      </c>
      <c r="J242" s="95">
        <v>123.2</v>
      </c>
      <c r="K242" s="92">
        <v>11</v>
      </c>
      <c r="L242" s="93">
        <v>1.2999999999999999E-3</v>
      </c>
      <c r="M242" s="93">
        <v>2.8065000000000002</v>
      </c>
      <c r="N242" s="172" t="s">
        <v>330</v>
      </c>
      <c r="O242" s="96">
        <v>14979692583.280001</v>
      </c>
      <c r="P242" s="91">
        <f t="shared" si="204"/>
        <v>0.47785698672734467</v>
      </c>
      <c r="Q242" s="172" t="s">
        <v>330</v>
      </c>
      <c r="R242" s="95">
        <v>123.2</v>
      </c>
      <c r="S242" s="172" t="s">
        <v>330</v>
      </c>
      <c r="T242" s="95">
        <v>123.2</v>
      </c>
      <c r="U242" s="92">
        <v>11</v>
      </c>
      <c r="V242" s="93">
        <v>-4.3299999999999998E-2</v>
      </c>
      <c r="W242" s="93">
        <v>2.6417000000000002</v>
      </c>
      <c r="X242" s="185">
        <f t="shared" ref="X242" si="211">((O242-E242)/E242)</f>
        <v>-4.3300657808329091E-2</v>
      </c>
      <c r="Y242" s="185">
        <f t="shared" ref="Y242" si="212">((T242-J242)/J242)</f>
        <v>0</v>
      </c>
      <c r="Z242" s="185">
        <f t="shared" ref="Z242" si="213">((U242-K242)/K242)</f>
        <v>0</v>
      </c>
      <c r="AA242" s="185">
        <f t="shared" ref="AA242" si="214">V242-L242</f>
        <v>-4.4600000000000001E-2</v>
      </c>
      <c r="AB242" s="186">
        <f t="shared" ref="AB242" si="215">W242-M242</f>
        <v>-0.16480000000000006</v>
      </c>
      <c r="AD242" s="50"/>
      <c r="AE242" s="34"/>
      <c r="AG242" s="50"/>
    </row>
    <row r="243" spans="1:33" ht="14.4" customHeight="1">
      <c r="A243" s="199">
        <v>3</v>
      </c>
      <c r="B243" s="84" t="s">
        <v>328</v>
      </c>
      <c r="C243" s="85" t="s">
        <v>79</v>
      </c>
      <c r="D243" s="174">
        <v>921986.52</v>
      </c>
      <c r="E243" s="96">
        <v>1253625075.8099999</v>
      </c>
      <c r="F243" s="91">
        <f>(E243/$E$237)</f>
        <v>9.1760261931872148E-3</v>
      </c>
      <c r="G243" s="174">
        <v>113.07</v>
      </c>
      <c r="H243" s="95">
        <v>153741.27900000001</v>
      </c>
      <c r="I243" s="95">
        <v>113.07</v>
      </c>
      <c r="J243" s="95">
        <v>153741.27900000001</v>
      </c>
      <c r="K243" s="92">
        <v>18</v>
      </c>
      <c r="L243" s="93">
        <v>5.0000000000000001E-3</v>
      </c>
      <c r="M243" s="93">
        <v>1.15E-2</v>
      </c>
      <c r="N243" s="174">
        <v>920645.28</v>
      </c>
      <c r="O243" s="96">
        <v>1263060880.97</v>
      </c>
      <c r="P243" s="91">
        <f t="shared" si="204"/>
        <v>4.0292046267170561E-2</v>
      </c>
      <c r="Q243" s="95">
        <v>112.9</v>
      </c>
      <c r="R243" s="95">
        <v>154890.9</v>
      </c>
      <c r="S243" s="95">
        <v>112.9</v>
      </c>
      <c r="T243" s="95">
        <v>154890.9</v>
      </c>
      <c r="U243" s="92">
        <v>18</v>
      </c>
      <c r="V243" s="93">
        <v>-1.5E-3</v>
      </c>
      <c r="W243" s="93">
        <v>9.9000000000000008E-3</v>
      </c>
      <c r="X243" s="185">
        <f t="shared" ref="X243:X244" si="216">((O243-E243)/E243)</f>
        <v>7.5268159053881126E-3</v>
      </c>
      <c r="Y243" s="185">
        <f t="shared" ref="Y243:Y244" si="217">((T243-J243)/J243)</f>
        <v>7.4776339020828919E-3</v>
      </c>
      <c r="Z243" s="185">
        <f t="shared" ref="Z243:Z244" si="218">((U243-K243)/K243)</f>
        <v>0</v>
      </c>
      <c r="AA243" s="185">
        <f t="shared" ref="AA243:AA244" si="219">V243-L243</f>
        <v>-6.5000000000000006E-3</v>
      </c>
      <c r="AB243" s="186">
        <f t="shared" ref="AB243:AB244" si="220">W243-M243</f>
        <v>-1.599999999999999E-3</v>
      </c>
      <c r="AD243" s="41"/>
    </row>
    <row r="244" spans="1:33" ht="14.4" customHeight="1">
      <c r="A244" s="199">
        <v>4</v>
      </c>
      <c r="B244" s="84" t="s">
        <v>266</v>
      </c>
      <c r="C244" s="85" t="s">
        <v>38</v>
      </c>
      <c r="D244" s="172" t="s">
        <v>330</v>
      </c>
      <c r="E244" s="96">
        <v>11749640578.799999</v>
      </c>
      <c r="F244" s="91">
        <f t="shared" si="203"/>
        <v>8.6002595027817305E-2</v>
      </c>
      <c r="G244" s="172" t="s">
        <v>330</v>
      </c>
      <c r="H244" s="95">
        <v>1.46</v>
      </c>
      <c r="I244" s="95" t="s">
        <v>330</v>
      </c>
      <c r="J244" s="95">
        <v>1.46</v>
      </c>
      <c r="K244" s="92">
        <v>16</v>
      </c>
      <c r="L244" s="93">
        <v>8.0000000000000002E-3</v>
      </c>
      <c r="M244" s="93">
        <v>0.38969999999999999</v>
      </c>
      <c r="N244" s="172" t="s">
        <v>330</v>
      </c>
      <c r="O244" s="96">
        <v>11757364522.98</v>
      </c>
      <c r="P244" s="91">
        <f t="shared" si="204"/>
        <v>0.37506369049771232</v>
      </c>
      <c r="Q244" s="172" t="s">
        <v>330</v>
      </c>
      <c r="R244" s="95">
        <v>1.46</v>
      </c>
      <c r="S244" s="172" t="s">
        <v>330</v>
      </c>
      <c r="T244" s="95">
        <v>1.46</v>
      </c>
      <c r="U244" s="92">
        <v>16</v>
      </c>
      <c r="V244" s="93">
        <v>-5.0000000000000001E-4</v>
      </c>
      <c r="W244" s="93">
        <v>0.3695</v>
      </c>
      <c r="X244" s="185">
        <f t="shared" si="216"/>
        <v>6.5737706002145287E-4</v>
      </c>
      <c r="Y244" s="185">
        <f t="shared" si="217"/>
        <v>0</v>
      </c>
      <c r="Z244" s="185">
        <f t="shared" si="218"/>
        <v>0</v>
      </c>
      <c r="AA244" s="185">
        <f t="shared" si="219"/>
        <v>-8.5000000000000006E-3</v>
      </c>
      <c r="AB244" s="186">
        <f t="shared" si="220"/>
        <v>-2.0199999999999996E-2</v>
      </c>
    </row>
    <row r="245" spans="1:33" ht="14.4" customHeight="1">
      <c r="A245" s="199">
        <v>5</v>
      </c>
      <c r="B245" s="84" t="s">
        <v>267</v>
      </c>
      <c r="C245" s="85" t="s">
        <v>49</v>
      </c>
      <c r="D245" s="172" t="s">
        <v>330</v>
      </c>
      <c r="E245" s="96">
        <v>379182012.44</v>
      </c>
      <c r="F245" s="91">
        <f t="shared" ref="F245" si="221">(E245/$E$237)</f>
        <v>2.7754582652127946E-3</v>
      </c>
      <c r="G245" s="172" t="s">
        <v>330</v>
      </c>
      <c r="H245" s="95">
        <v>1.51861</v>
      </c>
      <c r="I245" s="95" t="s">
        <v>330</v>
      </c>
      <c r="J245" s="95">
        <v>1.51861</v>
      </c>
      <c r="K245" s="92">
        <v>28</v>
      </c>
      <c r="L245" s="93">
        <v>-0.32369999999999999</v>
      </c>
      <c r="M245" s="93">
        <v>0.3619</v>
      </c>
      <c r="N245" s="172" t="s">
        <v>330</v>
      </c>
      <c r="O245" s="96">
        <v>351286543.06999999</v>
      </c>
      <c r="P245" s="91">
        <f t="shared" si="204"/>
        <v>1.1206153131384195E-2</v>
      </c>
      <c r="Q245" s="172" t="s">
        <v>330</v>
      </c>
      <c r="R245" s="95">
        <v>1.5408999999999999</v>
      </c>
      <c r="S245" s="172" t="s">
        <v>330</v>
      </c>
      <c r="T245" s="95">
        <v>1.5408999999999999</v>
      </c>
      <c r="U245" s="92">
        <v>38</v>
      </c>
      <c r="V245" s="93">
        <v>1.47E-2</v>
      </c>
      <c r="W245" s="93">
        <v>0.38219999999999998</v>
      </c>
      <c r="X245" s="185">
        <f t="shared" ref="X245:X247" si="222">((O245-E245)/E245)</f>
        <v>-7.3567491217463948E-2</v>
      </c>
      <c r="Y245" s="185">
        <f t="shared" ref="Y245" si="223">((T245-J245)/J245)</f>
        <v>1.4677896234056092E-2</v>
      </c>
      <c r="Z245" s="185">
        <f t="shared" ref="Z245" si="224">((U245-K245)/K245)</f>
        <v>0.35714285714285715</v>
      </c>
      <c r="AA245" s="185">
        <f t="shared" ref="AA245" si="225">V245-L245</f>
        <v>0.33839999999999998</v>
      </c>
      <c r="AB245" s="186">
        <f t="shared" ref="AB245" si="226">W245-M245</f>
        <v>2.0299999999999985E-2</v>
      </c>
      <c r="AD245" s="31"/>
    </row>
    <row r="246" spans="1:33" ht="14.4" customHeight="1">
      <c r="A246" s="199">
        <v>6</v>
      </c>
      <c r="B246" s="84" t="s">
        <v>316</v>
      </c>
      <c r="C246" s="85" t="s">
        <v>115</v>
      </c>
      <c r="D246" s="174">
        <v>423567.56</v>
      </c>
      <c r="E246" s="96">
        <v>576642758.34619999</v>
      </c>
      <c r="F246" s="91">
        <v>0</v>
      </c>
      <c r="G246" s="174">
        <v>9.9</v>
      </c>
      <c r="H246" s="95">
        <v>13477.8105</v>
      </c>
      <c r="I246" s="95">
        <v>9.9</v>
      </c>
      <c r="J246" s="95">
        <v>13477.8105</v>
      </c>
      <c r="K246" s="92">
        <v>12</v>
      </c>
      <c r="L246" s="93">
        <v>1.9E-3</v>
      </c>
      <c r="M246" s="93">
        <v>-0.01</v>
      </c>
      <c r="N246" s="174">
        <v>421788.13</v>
      </c>
      <c r="O246" s="96">
        <f>421788.13*C269</f>
        <v>578288018.14588296</v>
      </c>
      <c r="P246" s="91">
        <f t="shared" si="204"/>
        <v>1.8447572824035325E-2</v>
      </c>
      <c r="Q246" s="174">
        <v>9.86</v>
      </c>
      <c r="R246" s="95">
        <f>9.86*C269</f>
        <v>13518.445526</v>
      </c>
      <c r="S246" s="174">
        <v>9.86</v>
      </c>
      <c r="T246" s="95">
        <f>9.86*C269</f>
        <v>13518.445526</v>
      </c>
      <c r="U246" s="92">
        <v>12</v>
      </c>
      <c r="V246" s="93">
        <v>-4.1999999999999997E-3</v>
      </c>
      <c r="W246" s="93">
        <v>-1.41E-2</v>
      </c>
      <c r="X246" s="185">
        <f t="shared" ref="X246" si="227">((O246-E246)/E246)</f>
        <v>2.8531699667946014E-3</v>
      </c>
      <c r="Y246" s="185">
        <f t="shared" ref="Y246" si="228">((T246-J246)/J246)</f>
        <v>3.0149575110883127E-3</v>
      </c>
      <c r="Z246" s="185">
        <f t="shared" ref="Z246" si="229">((U246-K246)/K246)</f>
        <v>0</v>
      </c>
      <c r="AA246" s="185">
        <f t="shared" ref="AA246" si="230">V246-L246</f>
        <v>-6.0999999999999995E-3</v>
      </c>
      <c r="AB246" s="186">
        <f t="shared" ref="AB246" si="231">W246-M246</f>
        <v>-4.0999999999999995E-3</v>
      </c>
    </row>
    <row r="247" spans="1:33" ht="14.4" customHeight="1">
      <c r="A247" s="196"/>
      <c r="B247" s="144"/>
      <c r="C247" s="144" t="s">
        <v>52</v>
      </c>
      <c r="D247" s="144"/>
      <c r="E247" s="144">
        <f>SUM(E241:E246)</f>
        <v>32017546923.681477</v>
      </c>
      <c r="F247" s="144"/>
      <c r="G247" s="144"/>
      <c r="H247" s="144"/>
      <c r="I247" s="144"/>
      <c r="J247" s="144"/>
      <c r="K247" s="144">
        <f>SUM(K241:K246)</f>
        <v>143</v>
      </c>
      <c r="L247" s="144"/>
      <c r="M247" s="144"/>
      <c r="N247" s="144"/>
      <c r="O247" s="144">
        <f>SUM(O241:O246)</f>
        <v>31347647935.149067</v>
      </c>
      <c r="P247" s="144"/>
      <c r="Q247" s="144"/>
      <c r="R247" s="144"/>
      <c r="S247" s="144"/>
      <c r="T247" s="144"/>
      <c r="U247" s="144">
        <f>SUM(U241:U246)</f>
        <v>153</v>
      </c>
      <c r="V247" s="144"/>
      <c r="W247" s="144"/>
      <c r="X247" s="143">
        <f t="shared" si="222"/>
        <v>-2.0922870516258234E-2</v>
      </c>
      <c r="Y247" s="144"/>
      <c r="Z247" s="144"/>
      <c r="AA247" s="144"/>
      <c r="AB247" s="144"/>
    </row>
    <row r="248" spans="1:33" ht="6" customHeight="1">
      <c r="B248" s="145"/>
      <c r="C248" s="123"/>
      <c r="D248" s="123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99"/>
    </row>
    <row r="249" spans="1:33" ht="15.6">
      <c r="A249" s="191"/>
      <c r="B249" s="207"/>
      <c r="C249" s="207"/>
      <c r="D249" s="207"/>
      <c r="E249" s="207"/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  <c r="AA249" s="207"/>
      <c r="AB249" s="207"/>
    </row>
    <row r="250" spans="1:33">
      <c r="A250" s="199">
        <v>1</v>
      </c>
      <c r="B250" s="84" t="s">
        <v>268</v>
      </c>
      <c r="C250" s="85" t="s">
        <v>269</v>
      </c>
      <c r="D250" s="172" t="s">
        <v>330</v>
      </c>
      <c r="E250" s="96">
        <v>130535438849</v>
      </c>
      <c r="F250" s="91">
        <f>(E250/$E$252)</f>
        <v>0.91012362487296361</v>
      </c>
      <c r="G250" s="172" t="s">
        <v>330</v>
      </c>
      <c r="H250" s="112" t="s">
        <v>298</v>
      </c>
      <c r="I250" s="172" t="s">
        <v>330</v>
      </c>
      <c r="J250" s="190" t="s">
        <v>298</v>
      </c>
      <c r="K250" s="92">
        <v>0</v>
      </c>
      <c r="L250" s="93" t="s">
        <v>298</v>
      </c>
      <c r="M250" s="93">
        <v>0.18440000000000001</v>
      </c>
      <c r="N250" s="172" t="s">
        <v>330</v>
      </c>
      <c r="O250" s="96">
        <v>132424914636</v>
      </c>
      <c r="P250" s="91">
        <f>(O250/$O$252)</f>
        <v>0.91083310511705484</v>
      </c>
      <c r="Q250" s="172" t="s">
        <v>330</v>
      </c>
      <c r="R250" s="112" t="s">
        <v>298</v>
      </c>
      <c r="S250" s="172" t="s">
        <v>330</v>
      </c>
      <c r="T250" s="190" t="s">
        <v>298</v>
      </c>
      <c r="U250" s="92">
        <v>0</v>
      </c>
      <c r="V250" s="93" t="s">
        <v>298</v>
      </c>
      <c r="W250" s="93">
        <v>0.18440000000000001</v>
      </c>
      <c r="X250" s="185">
        <f>((O250-E250)/E250)</f>
        <v>1.4474810853362944E-2</v>
      </c>
      <c r="Y250" s="185" t="e">
        <f>((T250-J250)/J250)</f>
        <v>#VALUE!</v>
      </c>
      <c r="Z250" s="185" t="e">
        <f>((U250-K250)/K250)</f>
        <v>#DIV/0!</v>
      </c>
      <c r="AA250" s="185" t="e">
        <f>V250-L250</f>
        <v>#VALUE!</v>
      </c>
      <c r="AB250" s="186">
        <f>W250-M250</f>
        <v>0</v>
      </c>
    </row>
    <row r="251" spans="1:33" ht="14.4" customHeight="1">
      <c r="A251" s="199">
        <v>2</v>
      </c>
      <c r="B251" s="84" t="s">
        <v>270</v>
      </c>
      <c r="C251" s="85" t="s">
        <v>49</v>
      </c>
      <c r="D251" s="172" t="s">
        <v>330</v>
      </c>
      <c r="E251" s="96">
        <v>12890613702.07</v>
      </c>
      <c r="F251" s="91">
        <f>(E251/$E$252)</f>
        <v>8.9876375127036376E-2</v>
      </c>
      <c r="G251" s="172" t="s">
        <v>330</v>
      </c>
      <c r="H251" s="146">
        <v>1000000</v>
      </c>
      <c r="I251" s="172" t="s">
        <v>330</v>
      </c>
      <c r="J251" s="146">
        <v>1000000</v>
      </c>
      <c r="K251" s="92">
        <v>26</v>
      </c>
      <c r="L251" s="93">
        <v>0.1704</v>
      </c>
      <c r="M251" s="93">
        <v>0.1704</v>
      </c>
      <c r="N251" s="172" t="s">
        <v>330</v>
      </c>
      <c r="O251" s="96">
        <v>12963866131.889999</v>
      </c>
      <c r="P251" s="91">
        <f>(O251/$O$252)</f>
        <v>8.9166894882945102E-2</v>
      </c>
      <c r="Q251" s="172" t="s">
        <v>330</v>
      </c>
      <c r="R251" s="146">
        <v>1000000</v>
      </c>
      <c r="S251" s="172" t="s">
        <v>330</v>
      </c>
      <c r="T251" s="146">
        <v>1000000</v>
      </c>
      <c r="U251" s="92">
        <v>26</v>
      </c>
      <c r="V251" s="93">
        <v>0.17730000000000001</v>
      </c>
      <c r="W251" s="93">
        <v>0.17730000000000001</v>
      </c>
      <c r="X251" s="185">
        <f>((O251-E251)/E251)</f>
        <v>5.6826177180560981E-3</v>
      </c>
      <c r="Y251" s="185">
        <f>((T251-J251)/J251)</f>
        <v>0</v>
      </c>
      <c r="Z251" s="185">
        <f>((U251-K251)/K251)</f>
        <v>0</v>
      </c>
      <c r="AA251" s="185">
        <f>V251-L251</f>
        <v>6.9000000000000172E-3</v>
      </c>
      <c r="AB251" s="186">
        <f>W251-M251</f>
        <v>6.9000000000000172E-3</v>
      </c>
    </row>
    <row r="252" spans="1:33" ht="15" customHeight="1">
      <c r="A252" s="196"/>
      <c r="B252" s="136"/>
      <c r="C252" s="137" t="s">
        <v>271</v>
      </c>
      <c r="D252" s="137"/>
      <c r="E252" s="144">
        <f>SUM(E250:E251)</f>
        <v>143426052551.07001</v>
      </c>
      <c r="F252" s="147"/>
      <c r="G252" s="147"/>
      <c r="H252" s="148"/>
      <c r="I252" s="148"/>
      <c r="J252" s="148"/>
      <c r="K252" s="144">
        <f>SUM(K250:K251)</f>
        <v>26</v>
      </c>
      <c r="L252" s="149"/>
      <c r="M252" s="149"/>
      <c r="N252" s="149"/>
      <c r="O252" s="144">
        <f>SUM(O250:O251)</f>
        <v>145388780767.89001</v>
      </c>
      <c r="P252" s="147"/>
      <c r="Q252" s="147"/>
      <c r="R252" s="148"/>
      <c r="S252" s="148"/>
      <c r="T252" s="148"/>
      <c r="U252" s="144">
        <f>SUM(U250:U251)</f>
        <v>26</v>
      </c>
      <c r="V252" s="149"/>
      <c r="W252" s="144"/>
      <c r="X252" s="143">
        <f>((O252-E252)/E252)</f>
        <v>1.3684600404944803E-2</v>
      </c>
      <c r="Y252" s="150"/>
      <c r="Z252" s="150"/>
      <c r="AA252" s="143"/>
      <c r="AB252" s="151"/>
    </row>
    <row r="253" spans="1:33" ht="4.5" customHeight="1">
      <c r="B253" s="208"/>
      <c r="C253" s="208"/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  <c r="X253" s="208"/>
      <c r="Y253" s="208"/>
      <c r="Z253" s="208"/>
      <c r="AA253" s="208"/>
      <c r="AB253" s="208"/>
    </row>
    <row r="254" spans="1:33" ht="15.6">
      <c r="A254" s="191"/>
      <c r="B254" s="207"/>
      <c r="C254" s="207"/>
      <c r="D254" s="207"/>
      <c r="E254" s="207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7"/>
      <c r="S254" s="207"/>
      <c r="T254" s="207"/>
      <c r="U254" s="207"/>
      <c r="V254" s="207"/>
      <c r="W254" s="207"/>
      <c r="X254" s="207"/>
      <c r="Y254" s="207"/>
      <c r="Z254" s="207"/>
      <c r="AA254" s="207"/>
      <c r="AB254" s="207"/>
      <c r="AD254" s="30"/>
    </row>
    <row r="255" spans="1:33">
      <c r="A255" s="204">
        <v>1</v>
      </c>
      <c r="B255" s="84" t="s">
        <v>272</v>
      </c>
      <c r="C255" s="85" t="s">
        <v>89</v>
      </c>
      <c r="D255" s="172" t="s">
        <v>330</v>
      </c>
      <c r="E255" s="152">
        <v>2285362675.6700001</v>
      </c>
      <c r="F255" s="153">
        <f t="shared" ref="F255:F266" si="232">(E255/$E$267)</f>
        <v>7.4181253758578952E-2</v>
      </c>
      <c r="G255" s="172" t="s">
        <v>330</v>
      </c>
      <c r="H255" s="146">
        <v>558.38023267999995</v>
      </c>
      <c r="I255" s="172" t="s">
        <v>330</v>
      </c>
      <c r="J255" s="146">
        <v>558.38023267999995</v>
      </c>
      <c r="K255" s="154">
        <v>2305</v>
      </c>
      <c r="L255" s="106">
        <v>1.6034E-2</v>
      </c>
      <c r="M255" s="106">
        <v>0.58217225626204216</v>
      </c>
      <c r="N255" s="172" t="s">
        <v>330</v>
      </c>
      <c r="O255" s="152">
        <v>2335604630.3000002</v>
      </c>
      <c r="P255" s="153">
        <f t="shared" ref="P255:P266" si="233">(O255/$O$267)</f>
        <v>7.344956086034185E-2</v>
      </c>
      <c r="Q255" s="172" t="s">
        <v>330</v>
      </c>
      <c r="R255" s="146">
        <v>570.69000000000005</v>
      </c>
      <c r="S255" s="172" t="s">
        <v>330</v>
      </c>
      <c r="T255" s="146">
        <v>570.69000000000005</v>
      </c>
      <c r="U255" s="154">
        <v>2318</v>
      </c>
      <c r="V255" s="106">
        <v>2.1999999999999999E-2</v>
      </c>
      <c r="W255" s="106">
        <v>0.61709999999999998</v>
      </c>
      <c r="X255" s="185">
        <f>((O255-E255)/E255)</f>
        <v>2.1984236972484323E-2</v>
      </c>
      <c r="Y255" s="185">
        <f>((T255-J255)/J255)</f>
        <v>2.2045492658144768E-2</v>
      </c>
      <c r="Z255" s="185">
        <f>((U255-K255)/K255)</f>
        <v>5.6399132321041214E-3</v>
      </c>
      <c r="AA255" s="185">
        <f>V255-L255</f>
        <v>5.9659999999999991E-3</v>
      </c>
      <c r="AB255" s="186">
        <f>W255-M255</f>
        <v>3.4927743737957817E-2</v>
      </c>
      <c r="AD255" s="193"/>
      <c r="AF255" s="30"/>
    </row>
    <row r="256" spans="1:33">
      <c r="A256" s="199">
        <v>2</v>
      </c>
      <c r="B256" s="84" t="s">
        <v>273</v>
      </c>
      <c r="C256" s="85" t="s">
        <v>239</v>
      </c>
      <c r="D256" s="172" t="s">
        <v>330</v>
      </c>
      <c r="E256" s="152">
        <v>3782311583.5100002</v>
      </c>
      <c r="F256" s="153">
        <f t="shared" si="232"/>
        <v>0.12277115503696201</v>
      </c>
      <c r="G256" s="172" t="s">
        <v>330</v>
      </c>
      <c r="H256" s="146">
        <v>107.58</v>
      </c>
      <c r="I256" s="172" t="s">
        <v>330</v>
      </c>
      <c r="J256" s="146">
        <v>118.91</v>
      </c>
      <c r="K256" s="154">
        <v>1805</v>
      </c>
      <c r="L256" s="106">
        <v>-2.6100000000000002E-2</v>
      </c>
      <c r="M256" s="106">
        <v>0.8347</v>
      </c>
      <c r="N256" s="172" t="s">
        <v>330</v>
      </c>
      <c r="O256" s="152">
        <v>3828461496.27</v>
      </c>
      <c r="P256" s="153">
        <f t="shared" si="233"/>
        <v>0.12039658254815148</v>
      </c>
      <c r="Q256" s="172" t="s">
        <v>330</v>
      </c>
      <c r="R256" s="146">
        <v>108.89</v>
      </c>
      <c r="S256" s="172" t="s">
        <v>330</v>
      </c>
      <c r="T256" s="146">
        <v>120.35</v>
      </c>
      <c r="U256" s="154">
        <v>2469</v>
      </c>
      <c r="V256" s="106">
        <v>1.2200000000000001E-2</v>
      </c>
      <c r="W256" s="106">
        <v>0.85709999999999997</v>
      </c>
      <c r="X256" s="185">
        <f t="shared" ref="X256:X267" si="234">((O256-E256)/E256)</f>
        <v>1.220151003983983E-2</v>
      </c>
      <c r="Y256" s="185">
        <f t="shared" ref="Y256:Y267" si="235">((T256-J256)/J256)</f>
        <v>1.2109999159027817E-2</v>
      </c>
      <c r="Z256" s="185">
        <f t="shared" ref="Z256:Z267" si="236">((U256-K256)/K256)</f>
        <v>0.36786703601108034</v>
      </c>
      <c r="AA256" s="185">
        <f t="shared" ref="AA256:AA267" si="237">V256-L256</f>
        <v>3.8300000000000001E-2</v>
      </c>
      <c r="AB256" s="186">
        <f t="shared" ref="AB256:AB267" si="238">W256-M256</f>
        <v>2.2399999999999975E-2</v>
      </c>
      <c r="AD256" s="194"/>
    </row>
    <row r="257" spans="1:32">
      <c r="A257" s="199">
        <v>3</v>
      </c>
      <c r="B257" s="84" t="s">
        <v>274</v>
      </c>
      <c r="C257" s="85" t="s">
        <v>40</v>
      </c>
      <c r="D257" s="172" t="s">
        <v>330</v>
      </c>
      <c r="E257" s="152">
        <v>820642614.45000005</v>
      </c>
      <c r="F257" s="153">
        <f t="shared" si="232"/>
        <v>2.6637478014193968E-2</v>
      </c>
      <c r="G257" s="172" t="s">
        <v>330</v>
      </c>
      <c r="H257" s="146">
        <v>68.37</v>
      </c>
      <c r="I257" s="172" t="s">
        <v>330</v>
      </c>
      <c r="J257" s="146">
        <v>68.650000000000006</v>
      </c>
      <c r="K257" s="154">
        <v>1269</v>
      </c>
      <c r="L257" s="106">
        <v>1.3299999999999999E-2</v>
      </c>
      <c r="M257" s="106">
        <v>0.69120000000000004</v>
      </c>
      <c r="N257" s="172" t="s">
        <v>330</v>
      </c>
      <c r="O257" s="152">
        <v>823970380.25</v>
      </c>
      <c r="P257" s="153">
        <f t="shared" si="233"/>
        <v>2.5912032287552785E-2</v>
      </c>
      <c r="Q257" s="172" t="s">
        <v>330</v>
      </c>
      <c r="R257" s="146">
        <v>68.650000000000006</v>
      </c>
      <c r="S257" s="172" t="s">
        <v>330</v>
      </c>
      <c r="T257" s="146">
        <v>68.94</v>
      </c>
      <c r="U257" s="154">
        <v>1269</v>
      </c>
      <c r="V257" s="106">
        <v>4.1000000000000003E-3</v>
      </c>
      <c r="W257" s="106">
        <v>0.69799999999999995</v>
      </c>
      <c r="X257" s="185">
        <f t="shared" si="234"/>
        <v>4.0550731114910995E-3</v>
      </c>
      <c r="Y257" s="185">
        <f t="shared" si="235"/>
        <v>4.2243262927893956E-3</v>
      </c>
      <c r="Z257" s="185">
        <f t="shared" si="236"/>
        <v>0</v>
      </c>
      <c r="AA257" s="185">
        <f t="shared" si="237"/>
        <v>-9.1999999999999998E-3</v>
      </c>
      <c r="AB257" s="186">
        <f t="shared" si="238"/>
        <v>6.7999999999999172E-3</v>
      </c>
    </row>
    <row r="258" spans="1:32">
      <c r="A258" s="199">
        <v>4</v>
      </c>
      <c r="B258" s="84" t="s">
        <v>275</v>
      </c>
      <c r="C258" s="85" t="s">
        <v>40</v>
      </c>
      <c r="D258" s="172" t="s">
        <v>330</v>
      </c>
      <c r="E258" s="152">
        <v>1524181660.25</v>
      </c>
      <c r="F258" s="153">
        <f t="shared" si="232"/>
        <v>4.9473857132995284E-2</v>
      </c>
      <c r="G258" s="172" t="s">
        <v>330</v>
      </c>
      <c r="H258" s="146">
        <v>129.43</v>
      </c>
      <c r="I258" s="172" t="s">
        <v>330</v>
      </c>
      <c r="J258" s="146">
        <v>129.97</v>
      </c>
      <c r="K258" s="154">
        <v>1299</v>
      </c>
      <c r="L258" s="106">
        <v>7.4999999999999997E-3</v>
      </c>
      <c r="M258" s="106">
        <v>0.55369999999999997</v>
      </c>
      <c r="N258" s="172" t="s">
        <v>330</v>
      </c>
      <c r="O258" s="152">
        <v>1600594595.5</v>
      </c>
      <c r="P258" s="153">
        <f t="shared" si="233"/>
        <v>5.0335133194101843E-2</v>
      </c>
      <c r="Q258" s="172" t="s">
        <v>330</v>
      </c>
      <c r="R258" s="146">
        <v>135.91999999999999</v>
      </c>
      <c r="S258" s="172" t="s">
        <v>330</v>
      </c>
      <c r="T258" s="146">
        <v>136.49</v>
      </c>
      <c r="U258" s="154">
        <v>1299</v>
      </c>
      <c r="V258" s="106">
        <v>5.0099999999999999E-2</v>
      </c>
      <c r="W258" s="106">
        <v>0.63160000000000005</v>
      </c>
      <c r="X258" s="185">
        <f t="shared" si="234"/>
        <v>5.0133745368295908E-2</v>
      </c>
      <c r="Y258" s="185">
        <f t="shared" si="235"/>
        <v>5.0165422789874667E-2</v>
      </c>
      <c r="Z258" s="185">
        <f t="shared" si="236"/>
        <v>0</v>
      </c>
      <c r="AA258" s="185">
        <f t="shared" si="237"/>
        <v>4.2599999999999999E-2</v>
      </c>
      <c r="AB258" s="186">
        <f t="shared" si="238"/>
        <v>7.790000000000008E-2</v>
      </c>
    </row>
    <row r="259" spans="1:32">
      <c r="A259" s="199">
        <v>5</v>
      </c>
      <c r="B259" s="84" t="s">
        <v>276</v>
      </c>
      <c r="C259" s="85" t="s">
        <v>277</v>
      </c>
      <c r="D259" s="172" t="s">
        <v>330</v>
      </c>
      <c r="E259" s="152">
        <v>2052729720.3099999</v>
      </c>
      <c r="F259" s="153">
        <f t="shared" si="232"/>
        <v>6.6630152798592759E-2</v>
      </c>
      <c r="G259" s="172" t="s">
        <v>330</v>
      </c>
      <c r="H259" s="146">
        <v>56950</v>
      </c>
      <c r="I259" s="172" t="s">
        <v>330</v>
      </c>
      <c r="J259" s="146">
        <v>63200</v>
      </c>
      <c r="K259" s="154">
        <v>855</v>
      </c>
      <c r="L259" s="106">
        <v>1.7000000000000001E-2</v>
      </c>
      <c r="M259" s="106">
        <v>0.02</v>
      </c>
      <c r="N259" s="172" t="s">
        <v>330</v>
      </c>
      <c r="O259" s="152">
        <v>1976357219.7</v>
      </c>
      <c r="P259" s="153">
        <f t="shared" si="233"/>
        <v>6.2152030359472928E-2</v>
      </c>
      <c r="Q259" s="172" t="s">
        <v>330</v>
      </c>
      <c r="R259" s="146">
        <v>56180</v>
      </c>
      <c r="S259" s="172" t="s">
        <v>330</v>
      </c>
      <c r="T259" s="146">
        <v>61515</v>
      </c>
      <c r="U259" s="154">
        <v>855</v>
      </c>
      <c r="V259" s="106">
        <v>-3.6999999999999998E-2</v>
      </c>
      <c r="W259" s="106">
        <v>-0.02</v>
      </c>
      <c r="X259" s="185">
        <f t="shared" si="234"/>
        <v>-3.7205336803164832E-2</v>
      </c>
      <c r="Y259" s="185">
        <f t="shared" si="235"/>
        <v>-2.6661392405063291E-2</v>
      </c>
      <c r="Z259" s="185">
        <f t="shared" si="236"/>
        <v>0</v>
      </c>
      <c r="AA259" s="185">
        <f t="shared" si="237"/>
        <v>-5.3999999999999999E-2</v>
      </c>
      <c r="AB259" s="186">
        <f t="shared" si="238"/>
        <v>-0.04</v>
      </c>
    </row>
    <row r="260" spans="1:32">
      <c r="A260" s="199">
        <v>6</v>
      </c>
      <c r="B260" s="84" t="s">
        <v>278</v>
      </c>
      <c r="C260" s="85" t="s">
        <v>279</v>
      </c>
      <c r="D260" s="172" t="s">
        <v>330</v>
      </c>
      <c r="E260" s="152">
        <v>1620722861.5799999</v>
      </c>
      <c r="F260" s="153">
        <f t="shared" si="232"/>
        <v>5.2607516149247149E-2</v>
      </c>
      <c r="G260" s="172" t="s">
        <v>330</v>
      </c>
      <c r="H260" s="146">
        <v>9349.99</v>
      </c>
      <c r="I260" s="172" t="s">
        <v>330</v>
      </c>
      <c r="J260" s="146">
        <v>9349.99</v>
      </c>
      <c r="K260" s="154">
        <v>1254</v>
      </c>
      <c r="L260" s="106">
        <v>-3.7731031645838399E-3</v>
      </c>
      <c r="M260" s="106">
        <v>0.62140640688748405</v>
      </c>
      <c r="N260" s="172" t="s">
        <v>330</v>
      </c>
      <c r="O260" s="152">
        <v>1663729525.3699999</v>
      </c>
      <c r="P260" s="153">
        <f t="shared" si="233"/>
        <v>5.2320586045899078E-2</v>
      </c>
      <c r="Q260" s="172" t="s">
        <v>330</v>
      </c>
      <c r="R260" s="146">
        <v>7700</v>
      </c>
      <c r="S260" s="172" t="s">
        <v>330</v>
      </c>
      <c r="T260" s="146">
        <v>7700</v>
      </c>
      <c r="U260" s="154">
        <v>1254</v>
      </c>
      <c r="V260" s="106">
        <v>2.6499999999999999E-2</v>
      </c>
      <c r="W260" s="106">
        <v>0.66439999999999999</v>
      </c>
      <c r="X260" s="185">
        <f t="shared" si="234"/>
        <v>2.6535482906728362E-2</v>
      </c>
      <c r="Y260" s="185">
        <f t="shared" si="235"/>
        <v>-0.17646970745423254</v>
      </c>
      <c r="Z260" s="185">
        <f t="shared" si="236"/>
        <v>0</v>
      </c>
      <c r="AA260" s="185">
        <f t="shared" si="237"/>
        <v>3.0273103164583839E-2</v>
      </c>
      <c r="AB260" s="186">
        <f t="shared" si="238"/>
        <v>4.2993593112515938E-2</v>
      </c>
    </row>
    <row r="261" spans="1:32">
      <c r="A261" s="199">
        <v>7</v>
      </c>
      <c r="B261" s="84" t="s">
        <v>280</v>
      </c>
      <c r="C261" s="85" t="s">
        <v>279</v>
      </c>
      <c r="D261" s="172" t="s">
        <v>330</v>
      </c>
      <c r="E261" s="152">
        <v>1700527919.9000001</v>
      </c>
      <c r="F261" s="153">
        <f t="shared" si="232"/>
        <v>5.5197931817394241E-2</v>
      </c>
      <c r="G261" s="172" t="s">
        <v>330</v>
      </c>
      <c r="H261" s="146">
        <v>4730</v>
      </c>
      <c r="I261" s="172" t="s">
        <v>330</v>
      </c>
      <c r="J261" s="146">
        <v>4730</v>
      </c>
      <c r="K261" s="154">
        <v>7373</v>
      </c>
      <c r="L261" s="106">
        <v>6.5594411274929399E-3</v>
      </c>
      <c r="M261" s="106">
        <v>0.54500009802796301</v>
      </c>
      <c r="N261" s="172" t="s">
        <v>330</v>
      </c>
      <c r="O261" s="152">
        <v>1734585734.02</v>
      </c>
      <c r="P261" s="153">
        <f t="shared" si="233"/>
        <v>5.4548855908895015E-2</v>
      </c>
      <c r="Q261" s="172" t="s">
        <v>330</v>
      </c>
      <c r="R261" s="146">
        <v>4450</v>
      </c>
      <c r="S261" s="172" t="s">
        <v>330</v>
      </c>
      <c r="T261" s="146">
        <v>4450</v>
      </c>
      <c r="U261" s="154">
        <v>7373</v>
      </c>
      <c r="V261" s="106">
        <v>0.02</v>
      </c>
      <c r="W261" s="106">
        <v>0.57599999999999996</v>
      </c>
      <c r="X261" s="185">
        <f t="shared" si="234"/>
        <v>2.0027788853947581E-2</v>
      </c>
      <c r="Y261" s="185">
        <f t="shared" si="235"/>
        <v>-5.9196617336152217E-2</v>
      </c>
      <c r="Z261" s="185">
        <f t="shared" si="236"/>
        <v>0</v>
      </c>
      <c r="AA261" s="185">
        <f t="shared" si="237"/>
        <v>1.3440558872507061E-2</v>
      </c>
      <c r="AB261" s="186">
        <f t="shared" si="238"/>
        <v>3.0999901972036947E-2</v>
      </c>
    </row>
    <row r="262" spans="1:32">
      <c r="A262" s="199">
        <v>8</v>
      </c>
      <c r="B262" s="84" t="s">
        <v>281</v>
      </c>
      <c r="C262" s="85" t="s">
        <v>282</v>
      </c>
      <c r="D262" s="172" t="s">
        <v>330</v>
      </c>
      <c r="E262" s="152">
        <v>690507834.19000006</v>
      </c>
      <c r="F262" s="153">
        <f t="shared" si="232"/>
        <v>2.2413395219784176E-2</v>
      </c>
      <c r="G262" s="172" t="s">
        <v>330</v>
      </c>
      <c r="H262" s="146">
        <v>49.36</v>
      </c>
      <c r="I262" s="172" t="s">
        <v>330</v>
      </c>
      <c r="J262" s="146">
        <v>49.46</v>
      </c>
      <c r="K262" s="154">
        <v>3851</v>
      </c>
      <c r="L262" s="106">
        <v>5.5800000000000002E-2</v>
      </c>
      <c r="M262" s="106">
        <v>0.35899999999999999</v>
      </c>
      <c r="N262" s="172" t="s">
        <v>330</v>
      </c>
      <c r="O262" s="152">
        <v>701526145.29999995</v>
      </c>
      <c r="P262" s="153">
        <f t="shared" si="233"/>
        <v>2.2061433958415699E-2</v>
      </c>
      <c r="Q262" s="172" t="s">
        <v>330</v>
      </c>
      <c r="R262" s="146">
        <v>50.17</v>
      </c>
      <c r="S262" s="172" t="s">
        <v>330</v>
      </c>
      <c r="T262" s="146">
        <v>50.27</v>
      </c>
      <c r="U262" s="154">
        <v>4125</v>
      </c>
      <c r="V262" s="106">
        <v>2.2599999999999999E-2</v>
      </c>
      <c r="W262" s="106">
        <v>0.38969999999999999</v>
      </c>
      <c r="X262" s="185">
        <f t="shared" si="234"/>
        <v>1.5956822738912038E-2</v>
      </c>
      <c r="Y262" s="185">
        <f t="shared" si="235"/>
        <v>1.6376870198139958E-2</v>
      </c>
      <c r="Z262" s="185">
        <f t="shared" si="236"/>
        <v>7.1150350558296549E-2</v>
      </c>
      <c r="AA262" s="185">
        <f t="shared" si="237"/>
        <v>-3.3200000000000007E-2</v>
      </c>
      <c r="AB262" s="186">
        <f t="shared" si="238"/>
        <v>3.0700000000000005E-2</v>
      </c>
    </row>
    <row r="263" spans="1:32">
      <c r="A263" s="199">
        <v>9</v>
      </c>
      <c r="B263" s="84" t="s">
        <v>283</v>
      </c>
      <c r="C263" s="85" t="s">
        <v>282</v>
      </c>
      <c r="D263" s="172" t="s">
        <v>330</v>
      </c>
      <c r="E263" s="155">
        <v>1980696343.3199999</v>
      </c>
      <c r="F263" s="153">
        <f t="shared" si="232"/>
        <v>6.4292000401833235E-2</v>
      </c>
      <c r="G263" s="172" t="s">
        <v>330</v>
      </c>
      <c r="H263" s="146">
        <v>23.2</v>
      </c>
      <c r="I263" s="172" t="s">
        <v>330</v>
      </c>
      <c r="J263" s="146">
        <v>23.3</v>
      </c>
      <c r="K263" s="154">
        <v>4214</v>
      </c>
      <c r="L263" s="106">
        <v>0</v>
      </c>
      <c r="M263" s="106">
        <v>0.6</v>
      </c>
      <c r="N263" s="172" t="s">
        <v>330</v>
      </c>
      <c r="O263" s="155">
        <v>2035042245.52</v>
      </c>
      <c r="P263" s="153">
        <f t="shared" si="233"/>
        <v>6.3997543645256741E-2</v>
      </c>
      <c r="Q263" s="172" t="s">
        <v>330</v>
      </c>
      <c r="R263" s="146">
        <v>23.85</v>
      </c>
      <c r="S263" s="172" t="s">
        <v>330</v>
      </c>
      <c r="T263" s="146">
        <v>23.95</v>
      </c>
      <c r="U263" s="154">
        <v>4679</v>
      </c>
      <c r="V263" s="106">
        <v>0.125</v>
      </c>
      <c r="W263" s="106">
        <v>0.8</v>
      </c>
      <c r="X263" s="185">
        <f t="shared" si="234"/>
        <v>2.7437775802073041E-2</v>
      </c>
      <c r="Y263" s="185">
        <f t="shared" si="235"/>
        <v>2.7896995708154446E-2</v>
      </c>
      <c r="Z263" s="185">
        <f t="shared" si="236"/>
        <v>0.11034646416706217</v>
      </c>
      <c r="AA263" s="185">
        <f t="shared" si="237"/>
        <v>0.125</v>
      </c>
      <c r="AB263" s="186">
        <f t="shared" si="238"/>
        <v>0.20000000000000007</v>
      </c>
    </row>
    <row r="264" spans="1:32" ht="15" customHeight="1">
      <c r="A264" s="199">
        <v>10</v>
      </c>
      <c r="B264" s="84" t="s">
        <v>284</v>
      </c>
      <c r="C264" s="85" t="s">
        <v>282</v>
      </c>
      <c r="D264" s="172" t="s">
        <v>330</v>
      </c>
      <c r="E264" s="152">
        <v>396294772.10000002</v>
      </c>
      <c r="F264" s="153">
        <f t="shared" si="232"/>
        <v>1.286344761175808E-2</v>
      </c>
      <c r="G264" s="172" t="s">
        <v>330</v>
      </c>
      <c r="H264" s="146">
        <v>147.22</v>
      </c>
      <c r="I264" s="172" t="s">
        <v>330</v>
      </c>
      <c r="J264" s="146">
        <v>149.22</v>
      </c>
      <c r="K264" s="154">
        <v>1975</v>
      </c>
      <c r="L264" s="106">
        <v>-3.85E-2</v>
      </c>
      <c r="M264" s="106">
        <v>0.1547</v>
      </c>
      <c r="N264" s="172" t="s">
        <v>330</v>
      </c>
      <c r="O264" s="152">
        <v>396472233.14999998</v>
      </c>
      <c r="P264" s="153">
        <f t="shared" si="233"/>
        <v>1.2468168216658363E-2</v>
      </c>
      <c r="Q264" s="172" t="s">
        <v>330</v>
      </c>
      <c r="R264" s="146">
        <v>147.29</v>
      </c>
      <c r="S264" s="172" t="s">
        <v>330</v>
      </c>
      <c r="T264" s="146">
        <v>149.29</v>
      </c>
      <c r="U264" s="154">
        <v>2165</v>
      </c>
      <c r="V264" s="106">
        <v>0.04</v>
      </c>
      <c r="W264" s="106">
        <v>0.2009</v>
      </c>
      <c r="X264" s="185">
        <f t="shared" si="234"/>
        <v>4.4780063350210493E-4</v>
      </c>
      <c r="Y264" s="185">
        <f t="shared" si="235"/>
        <v>4.6910601796001326E-4</v>
      </c>
      <c r="Z264" s="185">
        <f t="shared" si="236"/>
        <v>9.6202531645569619E-2</v>
      </c>
      <c r="AA264" s="185">
        <f t="shared" si="237"/>
        <v>7.85E-2</v>
      </c>
      <c r="AB264" s="186">
        <f t="shared" si="238"/>
        <v>4.6199999999999991E-2</v>
      </c>
      <c r="AE264" s="30"/>
      <c r="AF264" s="30"/>
    </row>
    <row r="265" spans="1:32">
      <c r="A265" s="204">
        <v>11</v>
      </c>
      <c r="B265" s="84" t="s">
        <v>285</v>
      </c>
      <c r="C265" s="85" t="s">
        <v>282</v>
      </c>
      <c r="D265" s="172" t="s">
        <v>330</v>
      </c>
      <c r="E265" s="152">
        <v>13277393401.799999</v>
      </c>
      <c r="F265" s="153">
        <f t="shared" si="232"/>
        <v>0.43097478561150232</v>
      </c>
      <c r="G265" s="172" t="s">
        <v>330</v>
      </c>
      <c r="H265" s="146">
        <v>89.05</v>
      </c>
      <c r="I265" s="172" t="s">
        <v>330</v>
      </c>
      <c r="J265" s="146">
        <v>89.25</v>
      </c>
      <c r="K265" s="154">
        <v>5001</v>
      </c>
      <c r="L265" s="106">
        <v>0.1338</v>
      </c>
      <c r="M265" s="106">
        <v>0.55325443786982242</v>
      </c>
      <c r="N265" s="172" t="s">
        <v>330</v>
      </c>
      <c r="O265" s="152">
        <v>13989516139.24</v>
      </c>
      <c r="P265" s="153">
        <f t="shared" si="233"/>
        <v>0.43993910773496842</v>
      </c>
      <c r="Q265" s="172" t="s">
        <v>330</v>
      </c>
      <c r="R265" s="146">
        <v>90.85</v>
      </c>
      <c r="S265" s="172" t="s">
        <v>330</v>
      </c>
      <c r="T265" s="146">
        <v>91.05</v>
      </c>
      <c r="U265" s="154">
        <v>6032</v>
      </c>
      <c r="V265" s="106">
        <v>-0.11799999999999999</v>
      </c>
      <c r="W265" s="106">
        <v>0.79600000000000004</v>
      </c>
      <c r="X265" s="185">
        <f t="shared" si="234"/>
        <v>5.3634227433786735E-2</v>
      </c>
      <c r="Y265" s="185">
        <f t="shared" si="235"/>
        <v>2.0168067226890723E-2</v>
      </c>
      <c r="Z265" s="185">
        <f t="shared" si="236"/>
        <v>0.20615876824635074</v>
      </c>
      <c r="AA265" s="185">
        <f t="shared" si="237"/>
        <v>-0.25180000000000002</v>
      </c>
      <c r="AB265" s="186">
        <f t="shared" si="238"/>
        <v>0.24274556213017762</v>
      </c>
      <c r="AD265" s="30"/>
      <c r="AE265" s="30"/>
    </row>
    <row r="266" spans="1:32">
      <c r="A266" s="204">
        <v>12</v>
      </c>
      <c r="B266" s="84" t="s">
        <v>286</v>
      </c>
      <c r="C266" s="85" t="s">
        <v>282</v>
      </c>
      <c r="D266" s="172" t="s">
        <v>330</v>
      </c>
      <c r="E266" s="155">
        <v>676448107.41999996</v>
      </c>
      <c r="F266" s="153">
        <f t="shared" si="232"/>
        <v>2.1957026447157794E-2</v>
      </c>
      <c r="G266" s="172" t="s">
        <v>330</v>
      </c>
      <c r="H266" s="146">
        <v>118.43</v>
      </c>
      <c r="I266" s="172" t="s">
        <v>330</v>
      </c>
      <c r="J266" s="146">
        <v>118.63</v>
      </c>
      <c r="K266" s="154">
        <v>3172</v>
      </c>
      <c r="L266" s="106">
        <v>0.12139999999999999</v>
      </c>
      <c r="M266" s="106">
        <v>1.0859855811499912</v>
      </c>
      <c r="N266" s="172" t="s">
        <v>330</v>
      </c>
      <c r="O266" s="155">
        <v>712895195.13</v>
      </c>
      <c r="P266" s="153">
        <f t="shared" si="233"/>
        <v>2.2418965240285776E-2</v>
      </c>
      <c r="Q266" s="172" t="s">
        <v>330</v>
      </c>
      <c r="R266" s="146">
        <v>123.96</v>
      </c>
      <c r="S266" s="172" t="s">
        <v>330</v>
      </c>
      <c r="T266" s="146">
        <v>124.16</v>
      </c>
      <c r="U266" s="154">
        <v>3384</v>
      </c>
      <c r="V266" s="106">
        <v>-0.10829999999999999</v>
      </c>
      <c r="W266" s="106">
        <v>1.3332999999999999</v>
      </c>
      <c r="X266" s="185">
        <f t="shared" si="234"/>
        <v>5.3880094142048356E-2</v>
      </c>
      <c r="Y266" s="185">
        <f t="shared" si="235"/>
        <v>4.6615527269661984E-2</v>
      </c>
      <c r="Z266" s="185">
        <f t="shared" si="236"/>
        <v>6.683480453972257E-2</v>
      </c>
      <c r="AA266" s="185">
        <f t="shared" si="237"/>
        <v>-0.22969999999999999</v>
      </c>
      <c r="AB266" s="186">
        <f t="shared" si="238"/>
        <v>0.24731441885000871</v>
      </c>
      <c r="AD266" s="41"/>
      <c r="AE266" s="41"/>
      <c r="AF266" s="30"/>
    </row>
    <row r="267" spans="1:32">
      <c r="A267" s="156"/>
      <c r="B267" s="156"/>
      <c r="C267" s="157" t="s">
        <v>287</v>
      </c>
      <c r="D267" s="178"/>
      <c r="E267" s="144">
        <f>SUM(E255:E266)</f>
        <v>30807819494.5</v>
      </c>
      <c r="F267" s="147"/>
      <c r="G267" s="147"/>
      <c r="H267" s="147"/>
      <c r="I267" s="147"/>
      <c r="J267" s="148"/>
      <c r="K267" s="144">
        <f>SUM(K255:K266)</f>
        <v>34373</v>
      </c>
      <c r="L267" s="149"/>
      <c r="M267" s="149"/>
      <c r="N267" s="149"/>
      <c r="O267" s="144">
        <f>SUM(O255:O266)</f>
        <v>31798755539.75</v>
      </c>
      <c r="P267" s="147"/>
      <c r="Q267" s="147"/>
      <c r="R267" s="147"/>
      <c r="S267" s="147"/>
      <c r="T267" s="148"/>
      <c r="U267" s="144">
        <f>SUM(U255:U266)</f>
        <v>37222</v>
      </c>
      <c r="V267" s="149"/>
      <c r="W267" s="149"/>
      <c r="X267" s="185">
        <f t="shared" si="234"/>
        <v>3.2165082161264541E-2</v>
      </c>
      <c r="Y267" s="185" t="e">
        <f t="shared" si="235"/>
        <v>#DIV/0!</v>
      </c>
      <c r="Z267" s="185">
        <f t="shared" si="236"/>
        <v>8.288482238966631E-2</v>
      </c>
      <c r="AA267" s="185">
        <f t="shared" si="237"/>
        <v>0</v>
      </c>
      <c r="AB267" s="186">
        <f t="shared" si="238"/>
        <v>0</v>
      </c>
      <c r="AF267" s="23"/>
    </row>
    <row r="268" spans="1:32">
      <c r="A268" s="158"/>
      <c r="B268" s="158"/>
      <c r="C268" s="159" t="s">
        <v>288</v>
      </c>
      <c r="D268" s="177"/>
      <c r="E268" s="160">
        <f>SUM(E238,E247,E252,E267)</f>
        <v>9070636089563.2793</v>
      </c>
      <c r="F268" s="161"/>
      <c r="G268" s="161"/>
      <c r="H268" s="161"/>
      <c r="I268" s="161"/>
      <c r="J268" s="162"/>
      <c r="K268" s="160">
        <f>SUM(K238,K247,K252,K267)</f>
        <v>1375562</v>
      </c>
      <c r="L268" s="163"/>
      <c r="M268" s="163"/>
      <c r="N268" s="163"/>
      <c r="O268" s="160">
        <f>SUM(O238,O247,O252,O267)</f>
        <v>9115848510379.6719</v>
      </c>
      <c r="P268" s="161"/>
      <c r="Q268" s="161"/>
      <c r="R268" s="161"/>
      <c r="S268" s="161"/>
      <c r="T268" s="160"/>
      <c r="U268" s="160">
        <f>SUM(U238,U247,U252,U267)</f>
        <v>1393590</v>
      </c>
      <c r="V268" s="164"/>
      <c r="W268" s="160"/>
      <c r="X268" s="165"/>
      <c r="Y268" s="166"/>
      <c r="Z268" s="166"/>
      <c r="AA268" s="167"/>
      <c r="AB268" s="167"/>
      <c r="AF268" s="23"/>
    </row>
    <row r="269" spans="1:32">
      <c r="A269" s="168"/>
      <c r="B269" s="168" t="s">
        <v>344</v>
      </c>
      <c r="C269" s="176">
        <v>1371.0391</v>
      </c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</row>
    <row r="270" spans="1:32">
      <c r="B270" s="32"/>
    </row>
    <row r="271" spans="1:32">
      <c r="B271" s="32"/>
      <c r="D271" s="33"/>
      <c r="E271" s="34"/>
      <c r="O271" s="34"/>
    </row>
    <row r="272" spans="1:32" ht="15">
      <c r="B272" s="35"/>
      <c r="C272" s="36"/>
      <c r="D272" s="36"/>
      <c r="E272" s="37"/>
      <c r="H272" s="38"/>
      <c r="I272" s="38"/>
      <c r="J272" s="38"/>
      <c r="L272" s="39"/>
      <c r="M272" s="40"/>
      <c r="N272" s="40"/>
    </row>
    <row r="273" spans="2:15">
      <c r="C273" s="32"/>
      <c r="D273" s="32"/>
    </row>
    <row r="274" spans="2:15">
      <c r="O274" s="31"/>
    </row>
    <row r="275" spans="2:15">
      <c r="B275" s="33"/>
    </row>
    <row r="276" spans="2:15">
      <c r="O276" s="41"/>
    </row>
  </sheetData>
  <sheetProtection algorithmName="SHA-512" hashValue="c3X26Ghugi8rA6jNgQG1CVh2heok5J9dn/8DCSsPM9yP971Er2jrFEsAktWCspAX95VLo3RSm152t77qzrYgWw==" saltValue="8gZ3N9U2tYB+xbrEhlucjA==" spinCount="100000" sheet="1" objects="1" scenarios="1"/>
  <mergeCells count="34">
    <mergeCell ref="A1:AB1"/>
    <mergeCell ref="D2:M2"/>
    <mergeCell ref="N2:W2"/>
    <mergeCell ref="X2:Z2"/>
    <mergeCell ref="AA2:AB2"/>
    <mergeCell ref="B4:AB4"/>
    <mergeCell ref="B5:AB5"/>
    <mergeCell ref="B27:AB27"/>
    <mergeCell ref="B28:AB28"/>
    <mergeCell ref="B77:AB77"/>
    <mergeCell ref="B78:AB78"/>
    <mergeCell ref="B118:AB118"/>
    <mergeCell ref="B119:AB119"/>
    <mergeCell ref="B120:AB120"/>
    <mergeCell ref="B139:AB139"/>
    <mergeCell ref="B140:AB140"/>
    <mergeCell ref="B162:AB162"/>
    <mergeCell ref="B163:AB163"/>
    <mergeCell ref="B171:AB171"/>
    <mergeCell ref="B172:AB172"/>
    <mergeCell ref="B204:AB204"/>
    <mergeCell ref="B205:AB205"/>
    <mergeCell ref="B210:AB210"/>
    <mergeCell ref="B211:AB211"/>
    <mergeCell ref="B212:AB212"/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</mergeCells>
  <pageMargins left="0.7" right="0.7" top="0.75" bottom="0.75" header="0.3" footer="0.3"/>
  <pageSetup paperSize="9" orientation="portrait" horizontalDpi="300" verticalDpi="300" r:id="rId1"/>
  <ignoredErrors>
    <ignoredError sqref="F103 F83 P53 P37 F37 P146 F146" formula="1"/>
    <ignoredError sqref="Y170 Y26 Y76 Y117 Y161 Y203 Y209 Y237 Y267 Z250:Z251 X54:Z54 X146 X132:Z132 X49:Z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F10" sqref="F10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54"/>
      <c r="B1" s="54"/>
      <c r="C1" s="54"/>
      <c r="D1" s="54"/>
      <c r="F1" s="15"/>
      <c r="G1" s="15"/>
      <c r="H1" s="20"/>
    </row>
    <row r="2" spans="1:8" ht="27.6">
      <c r="A2" s="55" t="s">
        <v>289</v>
      </c>
      <c r="B2" s="56" t="s">
        <v>341</v>
      </c>
      <c r="C2" s="56" t="s">
        <v>346</v>
      </c>
      <c r="D2" s="57"/>
      <c r="F2" s="15"/>
      <c r="G2" s="15"/>
      <c r="H2" s="20"/>
    </row>
    <row r="3" spans="1:8">
      <c r="A3" s="58" t="s">
        <v>17</v>
      </c>
      <c r="B3" s="59">
        <f t="shared" ref="B3:C10" si="0">B13</f>
        <v>246.41309322244683</v>
      </c>
      <c r="C3" s="59">
        <f t="shared" si="0"/>
        <v>261.27421100901637</v>
      </c>
      <c r="D3" s="57"/>
      <c r="F3" s="15"/>
      <c r="G3" s="15"/>
      <c r="H3" s="20"/>
    </row>
    <row r="4" spans="1:8" ht="15.6" customHeight="1">
      <c r="A4" s="55" t="s">
        <v>53</v>
      </c>
      <c r="B4" s="60">
        <f t="shared" si="0"/>
        <v>5722.0014617762681</v>
      </c>
      <c r="C4" s="60">
        <f t="shared" si="0"/>
        <v>5750.770301084799</v>
      </c>
      <c r="D4" s="57"/>
      <c r="F4" s="15"/>
      <c r="G4" s="15"/>
      <c r="H4" s="20"/>
    </row>
    <row r="5" spans="1:8" ht="16.2" customHeight="1">
      <c r="A5" s="55" t="s">
        <v>290</v>
      </c>
      <c r="B5" s="59">
        <f t="shared" si="0"/>
        <v>234.90360018606745</v>
      </c>
      <c r="C5" s="59">
        <f t="shared" si="0"/>
        <v>233.96329323405999</v>
      </c>
      <c r="D5" s="57"/>
      <c r="F5" s="15"/>
      <c r="G5" s="15"/>
      <c r="H5" s="20"/>
    </row>
    <row r="6" spans="1:8">
      <c r="A6" s="55" t="s">
        <v>164</v>
      </c>
      <c r="B6" s="60">
        <f t="shared" si="0"/>
        <v>1849.8559300856921</v>
      </c>
      <c r="C6" s="60">
        <f t="shared" si="0"/>
        <v>1834.9145695086283</v>
      </c>
      <c r="D6" s="57"/>
      <c r="F6" s="15"/>
      <c r="G6" s="15"/>
      <c r="H6" s="20"/>
    </row>
    <row r="7" spans="1:8">
      <c r="A7" s="55" t="s">
        <v>291</v>
      </c>
      <c r="B7" s="59">
        <f t="shared" si="0"/>
        <v>507.43341480949522</v>
      </c>
      <c r="C7" s="59">
        <f t="shared" si="0"/>
        <v>507.83906669988863</v>
      </c>
      <c r="D7" s="57"/>
      <c r="F7" s="15"/>
      <c r="G7" s="15"/>
      <c r="H7" s="20"/>
    </row>
    <row r="8" spans="1:8">
      <c r="A8" s="55" t="s">
        <v>203</v>
      </c>
      <c r="B8" s="61">
        <f t="shared" si="0"/>
        <v>147.59661937413927</v>
      </c>
      <c r="C8" s="61">
        <f t="shared" si="0"/>
        <v>153.24818199054002</v>
      </c>
      <c r="D8" s="57"/>
      <c r="F8" s="15"/>
      <c r="G8" s="15"/>
      <c r="H8" s="20"/>
    </row>
    <row r="9" spans="1:8">
      <c r="A9" s="55" t="s">
        <v>234</v>
      </c>
      <c r="B9" s="59">
        <f t="shared" si="0"/>
        <v>19.560945940800003</v>
      </c>
      <c r="C9" s="59">
        <f t="shared" si="0"/>
        <v>21.319511673420003</v>
      </c>
      <c r="D9" s="57"/>
      <c r="F9" s="15"/>
      <c r="G9" s="15"/>
      <c r="H9" s="20"/>
    </row>
    <row r="10" spans="1:8">
      <c r="A10" s="55" t="s">
        <v>292</v>
      </c>
      <c r="B10" s="59">
        <f t="shared" si="0"/>
        <v>136.61960519911767</v>
      </c>
      <c r="C10" s="59">
        <f t="shared" si="0"/>
        <v>143.98419093653004</v>
      </c>
      <c r="D10" s="57"/>
      <c r="F10" s="15"/>
      <c r="G10" s="15"/>
      <c r="H10" s="20"/>
    </row>
    <row r="11" spans="1:8">
      <c r="A11" s="55" t="s">
        <v>263</v>
      </c>
      <c r="B11" s="59">
        <f>B21</f>
        <v>32.017546923681479</v>
      </c>
      <c r="C11" s="59">
        <f>C21</f>
        <v>31.347647935149066</v>
      </c>
      <c r="D11" s="57"/>
      <c r="F11" s="15"/>
      <c r="G11" s="15"/>
      <c r="H11" s="20"/>
    </row>
    <row r="12" spans="1:8">
      <c r="A12" s="54"/>
      <c r="B12" s="54"/>
      <c r="C12" s="54"/>
      <c r="D12" s="54"/>
      <c r="F12" s="15"/>
      <c r="G12" s="15"/>
      <c r="H12" s="20"/>
    </row>
    <row r="13" spans="1:8">
      <c r="A13" s="62" t="s">
        <v>17</v>
      </c>
      <c r="B13" s="63">
        <f>'Weekly Valuation'!E26/1000000000</f>
        <v>246.41309322244683</v>
      </c>
      <c r="C13" s="64">
        <f>'Weekly Valuation'!O26/1000000000</f>
        <v>261.27421100901637</v>
      </c>
      <c r="D13" s="54"/>
      <c r="F13" s="15"/>
      <c r="G13" s="15"/>
      <c r="H13" s="20"/>
    </row>
    <row r="14" spans="1:8">
      <c r="A14" s="65" t="s">
        <v>53</v>
      </c>
      <c r="B14" s="63">
        <f>'Weekly Valuation'!E76/1000000000</f>
        <v>5722.0014617762681</v>
      </c>
      <c r="C14" s="66">
        <f>'Weekly Valuation'!O76/1000000000</f>
        <v>5750.770301084799</v>
      </c>
      <c r="D14" s="54"/>
      <c r="F14" s="15"/>
      <c r="G14" s="15"/>
      <c r="H14" s="20"/>
    </row>
    <row r="15" spans="1:8">
      <c r="A15" s="65" t="s">
        <v>290</v>
      </c>
      <c r="B15" s="63">
        <f>'Weekly Valuation'!E117/1000000000</f>
        <v>234.90360018606745</v>
      </c>
      <c r="C15" s="64">
        <f>'Weekly Valuation'!O117/1000000000</f>
        <v>233.96329323405999</v>
      </c>
      <c r="D15" s="54"/>
      <c r="F15" s="15"/>
      <c r="G15" s="15"/>
      <c r="H15" s="20"/>
    </row>
    <row r="16" spans="1:8">
      <c r="A16" s="65" t="s">
        <v>164</v>
      </c>
      <c r="B16" s="63">
        <f>'Weekly Valuation'!E161/1000000000</f>
        <v>1849.8559300856921</v>
      </c>
      <c r="C16" s="66">
        <f>'Weekly Valuation'!O161/1000000000</f>
        <v>1834.9145695086283</v>
      </c>
      <c r="D16" s="54"/>
      <c r="F16" s="15"/>
      <c r="G16" s="15"/>
      <c r="H16" s="20"/>
    </row>
    <row r="17" spans="1:8">
      <c r="A17" s="65" t="s">
        <v>291</v>
      </c>
      <c r="B17" s="63">
        <f>'Weekly Valuation'!E170/1000000000</f>
        <v>507.43341480949522</v>
      </c>
      <c r="C17" s="64">
        <f>'Weekly Valuation'!O170/1000000000</f>
        <v>507.83906669988863</v>
      </c>
      <c r="D17" s="54"/>
      <c r="F17" s="15"/>
      <c r="G17" s="15"/>
      <c r="H17" s="20"/>
    </row>
    <row r="18" spans="1:8">
      <c r="A18" s="65" t="s">
        <v>203</v>
      </c>
      <c r="B18" s="63">
        <f>'Weekly Valuation'!E203/1000000000</f>
        <v>147.59661937413927</v>
      </c>
      <c r="C18" s="67">
        <f>'Weekly Valuation'!O203/1000000000</f>
        <v>153.24818199054002</v>
      </c>
      <c r="D18" s="54"/>
      <c r="F18" s="15"/>
      <c r="G18" s="15"/>
      <c r="H18" s="20"/>
    </row>
    <row r="19" spans="1:8">
      <c r="A19" s="65" t="s">
        <v>234</v>
      </c>
      <c r="B19" s="63">
        <f>'Weekly Valuation'!E209/1000000000</f>
        <v>19.560945940800003</v>
      </c>
      <c r="C19" s="64">
        <f>'Weekly Valuation'!O209/1000000000</f>
        <v>21.319511673420003</v>
      </c>
      <c r="D19" s="54"/>
      <c r="F19" s="15"/>
      <c r="G19" s="15"/>
      <c r="H19" s="20"/>
    </row>
    <row r="20" spans="1:8">
      <c r="A20" s="65" t="s">
        <v>292</v>
      </c>
      <c r="B20" s="63">
        <f>'Weekly Valuation'!E237/1000000000</f>
        <v>136.61960519911767</v>
      </c>
      <c r="C20" s="64">
        <f>'Weekly Valuation'!O237/1000000000</f>
        <v>143.98419093653004</v>
      </c>
      <c r="D20" s="54"/>
      <c r="F20" s="15"/>
      <c r="G20" s="15"/>
      <c r="H20" s="20"/>
    </row>
    <row r="21" spans="1:8">
      <c r="A21" s="65" t="s">
        <v>263</v>
      </c>
      <c r="B21" s="63">
        <f>'Weekly Valuation'!E247/1000000000</f>
        <v>32.017546923681479</v>
      </c>
      <c r="C21" s="64">
        <f>'Weekly Valuation'!O247/1000000000</f>
        <v>31.347647935149066</v>
      </c>
      <c r="D21" s="54"/>
      <c r="F21" s="15"/>
      <c r="G21" s="15"/>
      <c r="H21" s="20"/>
    </row>
    <row r="22" spans="1:8">
      <c r="A22" s="68"/>
      <c r="B22" s="54"/>
      <c r="C22" s="69"/>
      <c r="D22" s="54"/>
      <c r="F22" s="15"/>
      <c r="G22" s="15"/>
      <c r="H22" s="20"/>
    </row>
    <row r="23" spans="1:8">
      <c r="A23" s="70"/>
      <c r="B23" s="69"/>
      <c r="C23" s="71"/>
      <c r="F23" s="15"/>
      <c r="G23" s="15"/>
      <c r="H23" s="20"/>
    </row>
    <row r="24" spans="1:8">
      <c r="A24" s="70"/>
      <c r="B24" s="69"/>
      <c r="C24" s="69"/>
      <c r="F24" s="15"/>
      <c r="G24" s="15"/>
      <c r="H24" s="20"/>
    </row>
    <row r="25" spans="1:8">
      <c r="A25" s="70"/>
      <c r="B25" s="69"/>
      <c r="C25" s="69"/>
      <c r="F25" s="15"/>
      <c r="G25" s="15"/>
      <c r="H25" s="20"/>
    </row>
    <row r="26" spans="1:8">
      <c r="A26" s="70"/>
      <c r="B26" s="69"/>
      <c r="C26" s="69"/>
      <c r="F26" s="15"/>
      <c r="G26" s="20"/>
      <c r="H26" s="20"/>
    </row>
    <row r="27" spans="1:8">
      <c r="A27" s="70"/>
      <c r="B27" s="69"/>
      <c r="C27" s="69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hXNnwGTA3FUayMyNGmgUd8lYiJipLMRLkc+6MdxbUg+gEMYJ9s3fjIhcLSN+muZqZkz8lMwb++iFE+BZfdjAGg==" saltValue="Mpdo3H7GRK0HcgqJPP62O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I13" sqref="I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72" t="s">
        <v>289</v>
      </c>
      <c r="B1" s="73">
        <v>46157</v>
      </c>
      <c r="C1" s="54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68" t="s">
        <v>234</v>
      </c>
      <c r="B2" s="69">
        <f>'Weekly Valuation'!O209</f>
        <v>21319511673.420002</v>
      </c>
      <c r="C2" s="54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68" t="s">
        <v>263</v>
      </c>
      <c r="B3" s="69">
        <f>'Weekly Valuation'!O247</f>
        <v>31347647935.149067</v>
      </c>
      <c r="C3" s="54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68" t="s">
        <v>292</v>
      </c>
      <c r="B4" s="69">
        <f>'Weekly Valuation'!O237</f>
        <v>143984190936.53003</v>
      </c>
      <c r="C4" s="54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68" t="s">
        <v>203</v>
      </c>
      <c r="B5" s="71">
        <f>'Weekly Valuation'!O203</f>
        <v>153248181990.54001</v>
      </c>
      <c r="C5" s="54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68" t="s">
        <v>17</v>
      </c>
      <c r="B6" s="69">
        <f>'Weekly Valuation'!O26</f>
        <v>261274211009.01639</v>
      </c>
      <c r="C6" s="54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68" t="s">
        <v>290</v>
      </c>
      <c r="B7" s="69">
        <f>'Weekly Valuation'!O117</f>
        <v>233963293234.06</v>
      </c>
      <c r="C7" s="54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68" t="s">
        <v>291</v>
      </c>
      <c r="B8" s="69">
        <f>'Weekly Valuation'!O170</f>
        <v>507839066699.88861</v>
      </c>
      <c r="C8" s="54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68" t="s">
        <v>164</v>
      </c>
      <c r="B9" s="74">
        <f>'Weekly Valuation'!O161</f>
        <v>1834914569508.6284</v>
      </c>
      <c r="C9" s="54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68" t="s">
        <v>53</v>
      </c>
      <c r="B10" s="74">
        <f>'Weekly Valuation'!O76</f>
        <v>5750770301084.7988</v>
      </c>
      <c r="C10" s="54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54"/>
      <c r="B11" s="54"/>
      <c r="C11" s="54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68"/>
      <c r="B12" s="75"/>
      <c r="C12" s="54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68"/>
      <c r="B13" s="54"/>
      <c r="C13" s="54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69"/>
      <c r="B14" s="69"/>
      <c r="C14" s="54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69"/>
      <c r="B15" s="69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47"/>
      <c r="B16" s="22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97"/>
      <c r="B17" s="19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97"/>
      <c r="B18" s="19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8"/>
      <c r="B19" s="19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48"/>
      <c r="B20" s="4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8"/>
      <c r="B21" s="4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7"/>
      <c r="B22" s="4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1"/>
    </row>
    <row r="34" spans="1:17" ht="15" customHeight="1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nLmwrl0P4vH+SMbMcq8DxU41+h22ZezlIZg4ZKBhw0ueulLs9bvBogQLIY49u4WzGI+a/AW1CpwCsfao3OZxzw==" saltValue="CBCo8vIiZt1oImov54Tah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H9" sqref="H9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46"/>
    </row>
    <row r="2" spans="1:15">
      <c r="A2" s="76" t="s">
        <v>293</v>
      </c>
      <c r="B2" s="77">
        <v>46108</v>
      </c>
      <c r="C2" s="77">
        <v>46114</v>
      </c>
      <c r="D2" s="77">
        <v>46122</v>
      </c>
      <c r="E2" s="77">
        <v>46129</v>
      </c>
      <c r="F2" s="77">
        <v>46136</v>
      </c>
      <c r="G2" s="77">
        <v>46142</v>
      </c>
      <c r="H2" s="77">
        <v>46150</v>
      </c>
      <c r="I2" s="77">
        <v>46157</v>
      </c>
      <c r="J2" s="20"/>
      <c r="K2" s="20"/>
      <c r="L2" s="15"/>
      <c r="M2" s="15"/>
      <c r="N2" s="15"/>
      <c r="O2" s="46"/>
    </row>
    <row r="3" spans="1:15">
      <c r="A3" s="76" t="s">
        <v>294</v>
      </c>
      <c r="B3" s="78">
        <f t="shared" ref="B3:I3" si="0">B4</f>
        <v>8440.5567676688224</v>
      </c>
      <c r="C3" s="78">
        <f t="shared" si="0"/>
        <v>8593.7769156229697</v>
      </c>
      <c r="D3" s="78">
        <f t="shared" si="0"/>
        <v>8623.4476305652915</v>
      </c>
      <c r="E3" s="78">
        <f t="shared" si="0"/>
        <v>8682.1345271243354</v>
      </c>
      <c r="F3" s="78">
        <f t="shared" si="0"/>
        <v>8768.912163579158</v>
      </c>
      <c r="G3" s="78">
        <f t="shared" si="0"/>
        <v>8856.6861092070776</v>
      </c>
      <c r="H3" s="78">
        <f t="shared" si="0"/>
        <v>8896.4022175177088</v>
      </c>
      <c r="I3" s="78">
        <f t="shared" si="0"/>
        <v>8938.6609740720305</v>
      </c>
      <c r="J3" s="20"/>
      <c r="K3" s="20"/>
      <c r="L3" s="15"/>
      <c r="M3" s="15"/>
      <c r="N3" s="15"/>
      <c r="O3" s="46"/>
    </row>
    <row r="4" spans="1:15">
      <c r="A4" s="20"/>
      <c r="B4" s="79">
        <f>'NAV Trend'!C11/1000000000</f>
        <v>8440.5567676688224</v>
      </c>
      <c r="C4" s="79">
        <f>'NAV Trend'!D11/1000000000</f>
        <v>8593.7769156229697</v>
      </c>
      <c r="D4" s="79">
        <f>'NAV Trend'!E11/1000000000</f>
        <v>8623.4476305652915</v>
      </c>
      <c r="E4" s="79">
        <f>'NAV Trend'!F11/1000000000</f>
        <v>8682.1345271243354</v>
      </c>
      <c r="F4" s="79">
        <f>'NAV Trend'!G11/1000000000</f>
        <v>8768.912163579158</v>
      </c>
      <c r="G4" s="79">
        <f>'NAV Trend'!H11/1000000000</f>
        <v>8856.6861092070776</v>
      </c>
      <c r="H4" s="80">
        <f>'NAV Trend'!I11/1000000000</f>
        <v>8896.4022175177088</v>
      </c>
      <c r="I4" s="80">
        <f>'NAV Trend'!J11/1000000000</f>
        <v>8938.6609740720305</v>
      </c>
      <c r="J4" s="20"/>
      <c r="K4" s="20"/>
      <c r="L4" s="15"/>
      <c r="M4" s="15"/>
      <c r="N4" s="15"/>
      <c r="O4" s="46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46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46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46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15"/>
      <c r="O8" s="46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6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6"/>
      <c r="O10" s="46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6"/>
      <c r="O11" s="46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6"/>
      <c r="O12" s="46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6"/>
      <c r="O13" s="46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6"/>
      <c r="O14" s="46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6"/>
      <c r="O15" s="46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6"/>
      <c r="N16" s="46"/>
      <c r="O16" s="46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6"/>
      <c r="N17" s="46"/>
      <c r="O17" s="46"/>
    </row>
    <row r="18" spans="1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sheetProtection algorithmName="SHA-512" hashValue="GglrXV3e0Mrf8k2r07ZBe2Tf3lfKovA8ZyVScIBuOgA1/pQtJGo7yYj3sePnaug5IQ1qTJUuRSaXyZZkx9NVaA==" saltValue="DHXyjIGb2G1rbRiAAcGa8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H9" sqref="H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20"/>
      <c r="O1" s="20"/>
      <c r="P1" s="44"/>
    </row>
    <row r="2" spans="1:16">
      <c r="A2" s="76" t="s">
        <v>293</v>
      </c>
      <c r="B2" s="77">
        <v>46108</v>
      </c>
      <c r="C2" s="77">
        <v>46114</v>
      </c>
      <c r="D2" s="77">
        <v>46122</v>
      </c>
      <c r="E2" s="77">
        <v>46129</v>
      </c>
      <c r="F2" s="77">
        <v>46136</v>
      </c>
      <c r="G2" s="77">
        <v>46142</v>
      </c>
      <c r="H2" s="77">
        <v>46150</v>
      </c>
      <c r="I2" s="77">
        <v>46157</v>
      </c>
      <c r="J2" s="20"/>
      <c r="K2" s="20"/>
      <c r="L2" s="15"/>
      <c r="M2" s="15"/>
      <c r="N2" s="20"/>
      <c r="O2" s="20"/>
      <c r="P2" s="44"/>
    </row>
    <row r="3" spans="1:16">
      <c r="A3" s="76" t="s">
        <v>295</v>
      </c>
      <c r="B3" s="78">
        <f t="shared" ref="B3:I3" si="0">B4</f>
        <v>24.226803601379999</v>
      </c>
      <c r="C3" s="78">
        <f t="shared" si="0"/>
        <v>24.882508960419997</v>
      </c>
      <c r="D3" s="78">
        <f t="shared" si="0"/>
        <v>25.247393537559997</v>
      </c>
      <c r="E3" s="78">
        <f t="shared" si="0"/>
        <v>27.644948093229999</v>
      </c>
      <c r="F3" s="78">
        <f t="shared" si="0"/>
        <v>28.90522929934</v>
      </c>
      <c r="G3" s="78">
        <f t="shared" si="0"/>
        <v>30.630921333499995</v>
      </c>
      <c r="H3" s="78">
        <f t="shared" si="0"/>
        <v>30.807819494499999</v>
      </c>
      <c r="I3" s="78">
        <f t="shared" si="0"/>
        <v>31.798755539750001</v>
      </c>
      <c r="J3" s="20"/>
      <c r="K3" s="20"/>
      <c r="L3" s="15"/>
      <c r="M3" s="15"/>
      <c r="N3" s="20"/>
      <c r="O3" s="20"/>
      <c r="P3" s="44"/>
    </row>
    <row r="4" spans="1:16">
      <c r="A4" s="20"/>
      <c r="B4" s="79">
        <f>'NAV Trend'!C17/1000000000</f>
        <v>24.226803601379999</v>
      </c>
      <c r="C4" s="79">
        <f>'NAV Trend'!D17/1000000000</f>
        <v>24.882508960419997</v>
      </c>
      <c r="D4" s="79">
        <f>'NAV Trend'!E17/1000000000</f>
        <v>25.247393537559997</v>
      </c>
      <c r="E4" s="79">
        <f>'NAV Trend'!F17/1000000000</f>
        <v>27.644948093229999</v>
      </c>
      <c r="F4" s="79">
        <f>'NAV Trend'!G17/1000000000</f>
        <v>28.90522929934</v>
      </c>
      <c r="G4" s="79">
        <f>'NAV Trend'!H17/1000000000</f>
        <v>30.630921333499995</v>
      </c>
      <c r="H4" s="79">
        <f>'NAV Trend'!I17/1000000000</f>
        <v>30.807819494499999</v>
      </c>
      <c r="I4" s="80">
        <f>'NAV Trend'!J17/1000000000</f>
        <v>31.798755539750001</v>
      </c>
      <c r="J4" s="20"/>
      <c r="K4" s="20"/>
      <c r="L4" s="15"/>
      <c r="M4" s="15"/>
      <c r="N4" s="20"/>
      <c r="O4" s="20"/>
      <c r="P4" s="44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20"/>
      <c r="O5" s="20"/>
      <c r="P5" s="44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3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3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3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3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sheetProtection algorithmName="SHA-512" hashValue="LdjaMnXpW1Kqqo/IPMCPa0fUWTi+lCMBf4k+IzLf62KWjEQncgCWfLeK5eeapFYsCljD4tS9rvRovGTtaalWow==" saltValue="kHb8DFuwC2TvZVPbN6Sdn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289</v>
      </c>
      <c r="B1" s="2">
        <v>46099</v>
      </c>
      <c r="C1" s="2">
        <v>46108</v>
      </c>
      <c r="D1" s="2">
        <v>46114</v>
      </c>
      <c r="E1" s="2">
        <v>46122</v>
      </c>
      <c r="F1" s="2">
        <v>46129</v>
      </c>
      <c r="G1" s="2">
        <v>46136</v>
      </c>
      <c r="H1" s="2">
        <v>46142</v>
      </c>
      <c r="I1" s="2">
        <v>46150</v>
      </c>
      <c r="J1" s="2">
        <v>46157</v>
      </c>
    </row>
    <row r="2" spans="1:11">
      <c r="A2" s="3" t="s">
        <v>17</v>
      </c>
      <c r="B2" s="4">
        <v>167362604727.21579</v>
      </c>
      <c r="C2" s="4">
        <v>170736602967.8475</v>
      </c>
      <c r="D2" s="4">
        <v>176153465596.20389</v>
      </c>
      <c r="E2" s="4">
        <v>183847376318.7514</v>
      </c>
      <c r="F2" s="4">
        <v>198102253974.0199</v>
      </c>
      <c r="G2" s="4">
        <v>216340303668.50018</v>
      </c>
      <c r="H2" s="4">
        <v>234656506558.00677</v>
      </c>
      <c r="I2" s="4">
        <v>246413093222.44684</v>
      </c>
      <c r="J2" s="4">
        <v>261274211009.01639</v>
      </c>
    </row>
    <row r="3" spans="1:11">
      <c r="A3" s="3" t="s">
        <v>53</v>
      </c>
      <c r="B3" s="4">
        <v>5463853896039.3164</v>
      </c>
      <c r="C3" s="4">
        <v>5448379818849.8945</v>
      </c>
      <c r="D3" s="4">
        <v>5577381495616.4316</v>
      </c>
      <c r="E3" s="4">
        <v>5619001466443.6777</v>
      </c>
      <c r="F3" s="4">
        <v>5663646349610.5918</v>
      </c>
      <c r="G3" s="4">
        <v>5684681458968.9551</v>
      </c>
      <c r="H3" s="4">
        <v>5710644091386.6309</v>
      </c>
      <c r="I3" s="4">
        <v>5722001461776.2686</v>
      </c>
      <c r="J3" s="4">
        <v>5750770301084.7988</v>
      </c>
    </row>
    <row r="4" spans="1:11">
      <c r="A4" s="3" t="s">
        <v>290</v>
      </c>
      <c r="B4" s="5">
        <v>241723605867.83209</v>
      </c>
      <c r="C4" s="5">
        <v>241168824723.06894</v>
      </c>
      <c r="D4" s="5">
        <v>240228161185.21439</v>
      </c>
      <c r="E4" s="5">
        <v>237025512543.87482</v>
      </c>
      <c r="F4" s="5">
        <v>237154042743.45844</v>
      </c>
      <c r="G4" s="5">
        <v>235706472228.2908</v>
      </c>
      <c r="H4" s="5">
        <v>235773291330.45038</v>
      </c>
      <c r="I4" s="5">
        <v>234903600186.06744</v>
      </c>
      <c r="J4" s="5">
        <v>233963293234.06</v>
      </c>
    </row>
    <row r="5" spans="1:11">
      <c r="A5" s="3" t="s">
        <v>164</v>
      </c>
      <c r="B5" s="4">
        <v>1804490357211.8433</v>
      </c>
      <c r="C5" s="4">
        <v>1836846387271.8889</v>
      </c>
      <c r="D5" s="4">
        <v>1846414762120.1338</v>
      </c>
      <c r="E5" s="4">
        <v>1821179366345.8789</v>
      </c>
      <c r="F5" s="4">
        <v>1809968636474.0674</v>
      </c>
      <c r="G5" s="4">
        <v>1845513937800.6819</v>
      </c>
      <c r="H5" s="4">
        <v>1871002753487.2156</v>
      </c>
      <c r="I5" s="4">
        <v>1849855930085.6921</v>
      </c>
      <c r="J5" s="4">
        <v>1834914569508.6284</v>
      </c>
    </row>
    <row r="6" spans="1:11">
      <c r="A6" s="3" t="s">
        <v>291</v>
      </c>
      <c r="B6" s="5">
        <v>493149888469.67896</v>
      </c>
      <c r="C6" s="5">
        <v>493584500319.52655</v>
      </c>
      <c r="D6" s="5">
        <v>502059408571.63251</v>
      </c>
      <c r="E6" s="5">
        <v>504643192934.91315</v>
      </c>
      <c r="F6" s="5">
        <v>505060613754.44171</v>
      </c>
      <c r="G6" s="5">
        <v>505637897315.83008</v>
      </c>
      <c r="H6" s="5">
        <v>506711673309.49524</v>
      </c>
      <c r="I6" s="5">
        <v>507433414809.49524</v>
      </c>
      <c r="J6" s="5">
        <v>507839066699.88861</v>
      </c>
    </row>
    <row r="7" spans="1:11">
      <c r="A7" s="3" t="s">
        <v>203</v>
      </c>
      <c r="B7" s="7">
        <v>121922044985.49959</v>
      </c>
      <c r="C7" s="7">
        <v>122320890754.34761</v>
      </c>
      <c r="D7" s="7">
        <v>121950048807.84406</v>
      </c>
      <c r="E7" s="7">
        <v>125203708589.52214</v>
      </c>
      <c r="F7" s="7">
        <v>130923641116.56393</v>
      </c>
      <c r="G7" s="7">
        <v>137046282636.08223</v>
      </c>
      <c r="H7" s="7">
        <v>144449783996.67877</v>
      </c>
      <c r="I7" s="7">
        <v>147596619374.13925</v>
      </c>
      <c r="J7" s="7">
        <v>153248181990.54001</v>
      </c>
    </row>
    <row r="8" spans="1:11">
      <c r="A8" s="3" t="s">
        <v>234</v>
      </c>
      <c r="B8" s="6">
        <v>14938804220.809999</v>
      </c>
      <c r="C8" s="6">
        <v>14939585769.67</v>
      </c>
      <c r="D8" s="6">
        <v>15037578574.93964</v>
      </c>
      <c r="E8" s="6">
        <v>15435732579.870001</v>
      </c>
      <c r="F8" s="6">
        <v>16713684212.59</v>
      </c>
      <c r="G8" s="6">
        <v>18040731810.32</v>
      </c>
      <c r="H8" s="6">
        <v>19513541737.860001</v>
      </c>
      <c r="I8" s="6">
        <v>19560945940.800003</v>
      </c>
      <c r="J8" s="6">
        <v>21319511673.420002</v>
      </c>
    </row>
    <row r="9" spans="1:11">
      <c r="A9" s="3" t="s">
        <v>292</v>
      </c>
      <c r="B9" s="6">
        <v>111346941436.07184</v>
      </c>
      <c r="C9" s="6">
        <v>112580157012.57768</v>
      </c>
      <c r="D9" s="6">
        <v>114551995150.56964</v>
      </c>
      <c r="E9" s="6">
        <v>117111274808.80344</v>
      </c>
      <c r="F9" s="6">
        <v>120565305238.60492</v>
      </c>
      <c r="G9" s="6">
        <v>125945079150.49832</v>
      </c>
      <c r="H9" s="6">
        <v>133934467400.73964</v>
      </c>
      <c r="I9" s="6">
        <v>136619605199.11766</v>
      </c>
      <c r="J9" s="6">
        <v>143984190936.53003</v>
      </c>
    </row>
    <row r="10" spans="1:11">
      <c r="A10" s="3" t="s">
        <v>263</v>
      </c>
      <c r="B10" s="6">
        <v>30888527279.779999</v>
      </c>
      <c r="C10" s="6">
        <v>31122132963.085693</v>
      </c>
      <c r="D10" s="6">
        <v>31240648592.305443</v>
      </c>
      <c r="E10" s="6">
        <v>31390655001.210625</v>
      </c>
      <c r="F10" s="6">
        <v>31487849239.809494</v>
      </c>
      <c r="G10" s="6">
        <v>31632969925.556732</v>
      </c>
      <c r="H10" s="6">
        <v>31899721332.017464</v>
      </c>
      <c r="I10" s="6">
        <v>32017546923.681477</v>
      </c>
      <c r="J10" s="6">
        <v>31347647935.149067</v>
      </c>
    </row>
    <row r="11" spans="1:11" ht="15.6">
      <c r="A11" s="8" t="s">
        <v>296</v>
      </c>
      <c r="B11" s="9">
        <f t="shared" ref="B11:H11" si="0">SUM(B2:B9)</f>
        <v>8418788142958.2676</v>
      </c>
      <c r="C11" s="9">
        <f t="shared" si="0"/>
        <v>8440556767668.8223</v>
      </c>
      <c r="D11" s="9">
        <f t="shared" si="0"/>
        <v>8593776915622.9697</v>
      </c>
      <c r="E11" s="9">
        <f t="shared" si="0"/>
        <v>8623447630565.292</v>
      </c>
      <c r="F11" s="9">
        <f t="shared" si="0"/>
        <v>8682134527124.3359</v>
      </c>
      <c r="G11" s="9">
        <f t="shared" si="0"/>
        <v>8768912163579.1582</v>
      </c>
      <c r="H11" s="9">
        <f t="shared" si="0"/>
        <v>8856686109207.0781</v>
      </c>
      <c r="I11" s="9">
        <f>SUM(I2:I10)</f>
        <v>8896402217517.709</v>
      </c>
      <c r="J11" s="9">
        <f>SUM(J2:J10)</f>
        <v>8938660974072.0313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297</v>
      </c>
      <c r="B13" s="42" t="s">
        <v>298</v>
      </c>
      <c r="C13" s="13">
        <f>(B11+C11)/2</f>
        <v>8429672455313.5449</v>
      </c>
      <c r="D13" s="14">
        <f t="shared" ref="D13:J13" si="1">(C11+D11)/2</f>
        <v>8517166841645.8965</v>
      </c>
      <c r="E13" s="14">
        <f t="shared" si="1"/>
        <v>8608612273094.1309</v>
      </c>
      <c r="F13" s="14">
        <f t="shared" si="1"/>
        <v>8652791078844.8145</v>
      </c>
      <c r="G13" s="14">
        <f t="shared" si="1"/>
        <v>8725523345351.7471</v>
      </c>
      <c r="H13" s="14">
        <f t="shared" si="1"/>
        <v>8812799136393.1172</v>
      </c>
      <c r="I13" s="14">
        <f t="shared" si="1"/>
        <v>8876544163362.3945</v>
      </c>
      <c r="J13" s="14">
        <f t="shared" si="1"/>
        <v>8917531595794.8711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46099</v>
      </c>
      <c r="C16" s="2">
        <v>46108</v>
      </c>
      <c r="D16" s="2">
        <v>46114</v>
      </c>
      <c r="E16" s="2">
        <v>46122</v>
      </c>
      <c r="F16" s="2">
        <v>46129</v>
      </c>
      <c r="G16" s="2">
        <v>46136</v>
      </c>
      <c r="H16" s="2">
        <v>46142</v>
      </c>
      <c r="I16" s="2">
        <v>46150</v>
      </c>
      <c r="J16" s="2">
        <v>46157</v>
      </c>
      <c r="K16" s="15"/>
    </row>
    <row r="17" spans="1:11">
      <c r="A17" s="16" t="s">
        <v>299</v>
      </c>
      <c r="B17" s="17">
        <v>24066111842.459999</v>
      </c>
      <c r="C17" s="17">
        <v>24226803601.379997</v>
      </c>
      <c r="D17" s="17">
        <v>24882508960.419998</v>
      </c>
      <c r="E17" s="17">
        <v>25247393537.559998</v>
      </c>
      <c r="F17" s="17">
        <v>27644948093.23</v>
      </c>
      <c r="G17" s="17">
        <v>28905229299.34</v>
      </c>
      <c r="H17" s="17">
        <v>30630921333.499996</v>
      </c>
      <c r="I17" s="17">
        <v>30807819494.5</v>
      </c>
      <c r="J17" s="17">
        <v>31798755539.75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lhhrTJEM1YS6yOF9g6sqNreE++Au0BXdZd60ONJdGzBugz1yOQEifbE08LRC93tAvHYt2w5kgj8ROYCwfrNU6g==" saltValue="MqrI4j7YujBnA3HZy6ED2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2026-06-01T15:47:08Z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