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6\"/>
    </mc:Choice>
  </mc:AlternateContent>
  <bookViews>
    <workbookView xWindow="0" yWindow="0" windowWidth="24000" windowHeight="930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Valuation'!$W$140</definedName>
    <definedName name="NFEM_RATE" localSheetId="0">'Weekly Valuation'!$W$140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7" i="1" l="1"/>
  <c r="M137" i="1"/>
  <c r="K137" i="1"/>
  <c r="N125" i="1"/>
  <c r="M125" i="1"/>
  <c r="K125" i="1"/>
  <c r="N128" i="1"/>
  <c r="M128" i="1"/>
  <c r="K128" i="1"/>
  <c r="K150" i="1" l="1"/>
  <c r="N151" i="1"/>
  <c r="M151" i="1"/>
  <c r="K151" i="1"/>
  <c r="N152" i="1" l="1"/>
  <c r="M152" i="1"/>
  <c r="K160" i="1"/>
  <c r="N156" i="1"/>
  <c r="M156" i="1"/>
  <c r="K156" i="1"/>
  <c r="N154" i="1"/>
  <c r="M154" i="1"/>
  <c r="K154" i="1"/>
  <c r="N144" i="1"/>
  <c r="M144" i="1"/>
  <c r="K144" i="1"/>
  <c r="N143" i="1"/>
  <c r="M143" i="1"/>
  <c r="K143" i="1"/>
  <c r="N121" i="1"/>
  <c r="M121" i="1"/>
  <c r="K121" i="1"/>
  <c r="N127" i="1" l="1"/>
  <c r="M127" i="1"/>
  <c r="K127" i="1"/>
  <c r="N136" i="1"/>
  <c r="M136" i="1"/>
  <c r="K136" i="1"/>
  <c r="N153" i="1"/>
  <c r="M153" i="1"/>
  <c r="K153" i="1"/>
  <c r="K141" i="1"/>
  <c r="N135" i="1"/>
  <c r="M135" i="1"/>
  <c r="K135" i="1"/>
  <c r="M126" i="1"/>
  <c r="K126" i="1"/>
  <c r="N134" i="1"/>
  <c r="K134" i="1"/>
  <c r="N243" i="1"/>
  <c r="M243" i="1"/>
  <c r="K243" i="1"/>
  <c r="N131" i="1"/>
  <c r="M131" i="1"/>
  <c r="K131" i="1"/>
  <c r="K130" i="1"/>
  <c r="N130" i="1"/>
  <c r="M130" i="1"/>
  <c r="N157" i="1"/>
  <c r="M157" i="1"/>
  <c r="K157" i="1"/>
  <c r="N138" i="1"/>
  <c r="M138" i="1"/>
  <c r="K138" i="1"/>
  <c r="N133" i="1" l="1"/>
  <c r="M133" i="1"/>
  <c r="K133" i="1"/>
  <c r="N122" i="1"/>
  <c r="M122" i="1"/>
  <c r="K122" i="1"/>
  <c r="N159" i="1"/>
  <c r="M159" i="1"/>
  <c r="K159" i="1"/>
  <c r="K146" i="1"/>
  <c r="N146" i="1"/>
  <c r="M146" i="1"/>
  <c r="M241" i="1"/>
  <c r="N241" i="1"/>
  <c r="K241" i="1"/>
  <c r="N124" i="1"/>
  <c r="M124" i="1"/>
  <c r="K124" i="1"/>
  <c r="N123" i="1"/>
  <c r="M123" i="1"/>
  <c r="K123" i="1"/>
  <c r="N158" i="1"/>
  <c r="M158" i="1"/>
  <c r="K158" i="1"/>
  <c r="K132" i="1"/>
  <c r="N142" i="1"/>
  <c r="M142" i="1"/>
  <c r="K142" i="1"/>
  <c r="K148" i="1"/>
  <c r="G243" i="1" l="1"/>
  <c r="F243" i="1"/>
  <c r="G241" i="1"/>
  <c r="F241" i="1"/>
  <c r="M134" i="1" l="1"/>
  <c r="N160" i="1"/>
  <c r="M160" i="1"/>
  <c r="N141" i="1"/>
  <c r="M141" i="1"/>
  <c r="D237" i="1" l="1"/>
  <c r="N149" i="1" l="1"/>
  <c r="M149" i="1"/>
  <c r="V135" i="1" l="1"/>
  <c r="U135" i="1"/>
  <c r="T135" i="1"/>
  <c r="S135" i="1"/>
  <c r="R135" i="1"/>
  <c r="V192" i="1"/>
  <c r="U192" i="1"/>
  <c r="T192" i="1"/>
  <c r="S192" i="1"/>
  <c r="R192" i="1"/>
  <c r="V59" i="1" l="1"/>
  <c r="U59" i="1"/>
  <c r="T59" i="1"/>
  <c r="S59" i="1"/>
  <c r="R59" i="1"/>
  <c r="N150" i="1"/>
  <c r="M150" i="1"/>
  <c r="K203" i="1" l="1"/>
  <c r="L176" i="1" s="1"/>
  <c r="L192" i="1" l="1"/>
  <c r="L190" i="1"/>
  <c r="B5" i="3"/>
  <c r="N148" i="1"/>
  <c r="M148" i="1"/>
  <c r="R260" i="1" l="1"/>
  <c r="R180" i="1"/>
  <c r="R88" i="1"/>
  <c r="K26" i="1" l="1"/>
  <c r="B6" i="3" s="1"/>
  <c r="L10" i="1" l="1"/>
  <c r="L23" i="1"/>
  <c r="R226" i="1"/>
  <c r="V31" i="1" l="1"/>
  <c r="U31" i="1"/>
  <c r="T31" i="1"/>
  <c r="S31" i="1"/>
  <c r="R31" i="1"/>
  <c r="V142" i="1" l="1"/>
  <c r="U142" i="1"/>
  <c r="T142" i="1"/>
  <c r="S142" i="1"/>
  <c r="R142" i="1"/>
  <c r="R33" i="1" l="1"/>
  <c r="S33" i="1"/>
  <c r="T33" i="1"/>
  <c r="U33" i="1"/>
  <c r="V33" i="1"/>
  <c r="K161" i="1" l="1"/>
  <c r="L135" i="1" s="1"/>
  <c r="L131" i="1" l="1"/>
  <c r="L142" i="1"/>
  <c r="L132" i="1"/>
  <c r="N126" i="1"/>
  <c r="V67" i="1" l="1"/>
  <c r="U67" i="1"/>
  <c r="T67" i="1"/>
  <c r="S67" i="1"/>
  <c r="R67" i="1"/>
  <c r="H209" i="1" l="1"/>
  <c r="O209" i="1"/>
  <c r="K209" i="1"/>
  <c r="D209" i="1"/>
  <c r="V206" i="1" l="1"/>
  <c r="U206" i="1"/>
  <c r="T206" i="1"/>
  <c r="S206" i="1"/>
  <c r="R206" i="1"/>
  <c r="L206" i="1"/>
  <c r="S198" i="1" l="1"/>
  <c r="S85" i="1" l="1"/>
  <c r="I11" i="4" l="1"/>
  <c r="L233" i="1" l="1"/>
  <c r="R233" i="1"/>
  <c r="R157" i="1" l="1"/>
  <c r="J11" i="4" l="1"/>
  <c r="L173" i="1"/>
  <c r="L183" i="1" l="1"/>
  <c r="L191" i="1"/>
  <c r="S220" i="1"/>
  <c r="S168" i="1"/>
  <c r="R37" i="1" l="1"/>
  <c r="V24" i="1"/>
  <c r="U24" i="1"/>
  <c r="T24" i="1"/>
  <c r="S24" i="1"/>
  <c r="R24" i="1"/>
  <c r="L207" i="1" l="1"/>
  <c r="L234" i="1" l="1"/>
  <c r="N132" i="1"/>
  <c r="V196" i="1" l="1"/>
  <c r="U196" i="1"/>
  <c r="T196" i="1"/>
  <c r="S196" i="1"/>
  <c r="R196" i="1"/>
  <c r="R148" i="1" l="1"/>
  <c r="S136" i="1"/>
  <c r="S131" i="1"/>
  <c r="S130" i="1"/>
  <c r="S243" i="1"/>
  <c r="I4" i="5"/>
  <c r="I3" i="5" s="1"/>
  <c r="H4" i="5"/>
  <c r="H3" i="5" s="1"/>
  <c r="H11" i="4"/>
  <c r="G4" i="5" s="1"/>
  <c r="G3" i="5" s="1"/>
  <c r="G11" i="4"/>
  <c r="F4" i="5" s="1"/>
  <c r="F3" i="5" s="1"/>
  <c r="F11" i="4"/>
  <c r="E4" i="5" s="1"/>
  <c r="E3" i="5" s="1"/>
  <c r="E11" i="4"/>
  <c r="D11" i="4"/>
  <c r="C4" i="5" s="1"/>
  <c r="C3" i="5" s="1"/>
  <c r="C11" i="4"/>
  <c r="B11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66" i="1"/>
  <c r="U266" i="1"/>
  <c r="S266" i="1"/>
  <c r="O266" i="1"/>
  <c r="K266" i="1"/>
  <c r="H266" i="1"/>
  <c r="D266" i="1"/>
  <c r="E264" i="1" s="1"/>
  <c r="V265" i="1"/>
  <c r="U265" i="1"/>
  <c r="T265" i="1"/>
  <c r="S265" i="1"/>
  <c r="R265" i="1"/>
  <c r="V264" i="1"/>
  <c r="U264" i="1"/>
  <c r="T264" i="1"/>
  <c r="S264" i="1"/>
  <c r="R264" i="1"/>
  <c r="V263" i="1"/>
  <c r="U263" i="1"/>
  <c r="T263" i="1"/>
  <c r="S263" i="1"/>
  <c r="R263" i="1"/>
  <c r="V262" i="1"/>
  <c r="U262" i="1"/>
  <c r="T262" i="1"/>
  <c r="S262" i="1"/>
  <c r="R262" i="1"/>
  <c r="V261" i="1"/>
  <c r="U261" i="1"/>
  <c r="T261" i="1"/>
  <c r="S261" i="1"/>
  <c r="R261" i="1"/>
  <c r="V260" i="1"/>
  <c r="U260" i="1"/>
  <c r="T260" i="1"/>
  <c r="S260" i="1"/>
  <c r="V259" i="1"/>
  <c r="U259" i="1"/>
  <c r="T259" i="1"/>
  <c r="S259" i="1"/>
  <c r="R259" i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O251" i="1"/>
  <c r="K251" i="1"/>
  <c r="L250" i="1" s="1"/>
  <c r="H251" i="1"/>
  <c r="D251" i="1"/>
  <c r="E250" i="1" s="1"/>
  <c r="V250" i="1"/>
  <c r="U250" i="1"/>
  <c r="T250" i="1"/>
  <c r="S250" i="1"/>
  <c r="R250" i="1"/>
  <c r="V249" i="1"/>
  <c r="U249" i="1"/>
  <c r="T249" i="1"/>
  <c r="S249" i="1"/>
  <c r="R249" i="1"/>
  <c r="O246" i="1"/>
  <c r="H246" i="1"/>
  <c r="D246" i="1"/>
  <c r="B21" i="2" s="1"/>
  <c r="B11" i="2" s="1"/>
  <c r="V245" i="1"/>
  <c r="U245" i="1"/>
  <c r="T245" i="1"/>
  <c r="S245" i="1"/>
  <c r="R245" i="1"/>
  <c r="V244" i="1"/>
  <c r="U244" i="1"/>
  <c r="T244" i="1"/>
  <c r="S244" i="1"/>
  <c r="R244" i="1"/>
  <c r="V243" i="1"/>
  <c r="U243" i="1"/>
  <c r="T243" i="1"/>
  <c r="R243" i="1"/>
  <c r="V242" i="1"/>
  <c r="U242" i="1"/>
  <c r="T242" i="1"/>
  <c r="S242" i="1"/>
  <c r="R242" i="1"/>
  <c r="V241" i="1"/>
  <c r="U241" i="1"/>
  <c r="T241" i="1"/>
  <c r="S241" i="1"/>
  <c r="K246" i="1"/>
  <c r="V237" i="1"/>
  <c r="U237" i="1"/>
  <c r="S237" i="1"/>
  <c r="O237" i="1"/>
  <c r="K237" i="1"/>
  <c r="L221" i="1" s="1"/>
  <c r="H237" i="1"/>
  <c r="V236" i="1"/>
  <c r="U236" i="1"/>
  <c r="T236" i="1"/>
  <c r="S236" i="1"/>
  <c r="R236" i="1"/>
  <c r="V235" i="1"/>
  <c r="U235" i="1"/>
  <c r="T235" i="1"/>
  <c r="S235" i="1"/>
  <c r="R235" i="1"/>
  <c r="V234" i="1"/>
  <c r="U234" i="1"/>
  <c r="T234" i="1"/>
  <c r="S234" i="1"/>
  <c r="R234" i="1"/>
  <c r="V233" i="1"/>
  <c r="U233" i="1"/>
  <c r="T233" i="1"/>
  <c r="S233" i="1"/>
  <c r="V230" i="1"/>
  <c r="U230" i="1"/>
  <c r="T230" i="1"/>
  <c r="S230" i="1"/>
  <c r="R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V225" i="1"/>
  <c r="U225" i="1"/>
  <c r="T225" i="1"/>
  <c r="S225" i="1"/>
  <c r="R225" i="1"/>
  <c r="V224" i="1"/>
  <c r="U224" i="1"/>
  <c r="T224" i="1"/>
  <c r="S224" i="1"/>
  <c r="R224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4" i="1"/>
  <c r="U214" i="1"/>
  <c r="T214" i="1"/>
  <c r="S214" i="1"/>
  <c r="R214" i="1"/>
  <c r="V213" i="1"/>
  <c r="U213" i="1"/>
  <c r="T213" i="1"/>
  <c r="S213" i="1"/>
  <c r="R213" i="1"/>
  <c r="V209" i="1"/>
  <c r="U209" i="1"/>
  <c r="S209" i="1"/>
  <c r="B2" i="3"/>
  <c r="B19" i="2"/>
  <c r="B9" i="2" s="1"/>
  <c r="V208" i="1"/>
  <c r="U208" i="1"/>
  <c r="T208" i="1"/>
  <c r="S208" i="1"/>
  <c r="R208" i="1"/>
  <c r="V207" i="1"/>
  <c r="U207" i="1"/>
  <c r="T207" i="1"/>
  <c r="S207" i="1"/>
  <c r="R207" i="1"/>
  <c r="V203" i="1"/>
  <c r="U203" i="1"/>
  <c r="S203" i="1"/>
  <c r="O203" i="1"/>
  <c r="H203" i="1"/>
  <c r="D203" i="1"/>
  <c r="V202" i="1"/>
  <c r="U202" i="1"/>
  <c r="T202" i="1"/>
  <c r="S202" i="1"/>
  <c r="R202" i="1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R198" i="1"/>
  <c r="V197" i="1"/>
  <c r="U197" i="1"/>
  <c r="T197" i="1"/>
  <c r="S197" i="1"/>
  <c r="R197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1" i="1"/>
  <c r="U191" i="1"/>
  <c r="T191" i="1"/>
  <c r="S191" i="1"/>
  <c r="R191" i="1"/>
  <c r="V190" i="1"/>
  <c r="U190" i="1"/>
  <c r="T190" i="1"/>
  <c r="S190" i="1"/>
  <c r="R190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0" i="1"/>
  <c r="U170" i="1"/>
  <c r="S170" i="1"/>
  <c r="O170" i="1"/>
  <c r="K170" i="1"/>
  <c r="H170" i="1"/>
  <c r="D170" i="1"/>
  <c r="B17" i="2" s="1"/>
  <c r="B7" i="2" s="1"/>
  <c r="V169" i="1"/>
  <c r="U169" i="1"/>
  <c r="T169" i="1"/>
  <c r="S169" i="1"/>
  <c r="R169" i="1"/>
  <c r="V168" i="1"/>
  <c r="U168" i="1"/>
  <c r="T168" i="1"/>
  <c r="R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1" i="1"/>
  <c r="U161" i="1"/>
  <c r="S161" i="1"/>
  <c r="O161" i="1"/>
  <c r="H161" i="1"/>
  <c r="D161" i="1"/>
  <c r="E135" i="1" s="1"/>
  <c r="V160" i="1"/>
  <c r="U160" i="1"/>
  <c r="T160" i="1"/>
  <c r="R160" i="1"/>
  <c r="S160" i="1"/>
  <c r="V159" i="1"/>
  <c r="U159" i="1"/>
  <c r="T159" i="1"/>
  <c r="R159" i="1"/>
  <c r="S159" i="1"/>
  <c r="V158" i="1"/>
  <c r="U158" i="1"/>
  <c r="T158" i="1"/>
  <c r="S158" i="1"/>
  <c r="V157" i="1"/>
  <c r="U157" i="1"/>
  <c r="T157" i="1"/>
  <c r="S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V153" i="1"/>
  <c r="U153" i="1"/>
  <c r="T153" i="1"/>
  <c r="S153" i="1"/>
  <c r="R153" i="1"/>
  <c r="V152" i="1"/>
  <c r="U152" i="1"/>
  <c r="T152" i="1"/>
  <c r="R152" i="1"/>
  <c r="S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R149" i="1"/>
  <c r="S149" i="1"/>
  <c r="V148" i="1"/>
  <c r="U148" i="1"/>
  <c r="T148" i="1"/>
  <c r="S148" i="1"/>
  <c r="V147" i="1"/>
  <c r="U147" i="1"/>
  <c r="T147" i="1"/>
  <c r="S147" i="1"/>
  <c r="R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S144" i="1"/>
  <c r="V143" i="1"/>
  <c r="U143" i="1"/>
  <c r="T143" i="1"/>
  <c r="S143" i="1"/>
  <c r="R143" i="1"/>
  <c r="V141" i="1"/>
  <c r="U141" i="1"/>
  <c r="T141" i="1"/>
  <c r="S141" i="1"/>
  <c r="R141" i="1"/>
  <c r="V138" i="1"/>
  <c r="U138" i="1"/>
  <c r="T138" i="1"/>
  <c r="S138" i="1"/>
  <c r="R138" i="1"/>
  <c r="V137" i="1"/>
  <c r="U137" i="1"/>
  <c r="T137" i="1"/>
  <c r="S137" i="1"/>
  <c r="R137" i="1"/>
  <c r="V136" i="1"/>
  <c r="U136" i="1"/>
  <c r="T136" i="1"/>
  <c r="R136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S132" i="1"/>
  <c r="M132" i="1"/>
  <c r="V131" i="1"/>
  <c r="U131" i="1"/>
  <c r="T131" i="1"/>
  <c r="V130" i="1"/>
  <c r="U130" i="1"/>
  <c r="T130" i="1"/>
  <c r="V129" i="1"/>
  <c r="U129" i="1"/>
  <c r="T129" i="1"/>
  <c r="S129" i="1"/>
  <c r="R129" i="1"/>
  <c r="V128" i="1"/>
  <c r="U128" i="1"/>
  <c r="T128" i="1"/>
  <c r="S128" i="1"/>
  <c r="R128" i="1"/>
  <c r="V127" i="1"/>
  <c r="U127" i="1"/>
  <c r="T127" i="1"/>
  <c r="S127" i="1"/>
  <c r="R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V122" i="1"/>
  <c r="U122" i="1"/>
  <c r="T122" i="1"/>
  <c r="S122" i="1"/>
  <c r="V121" i="1"/>
  <c r="U121" i="1"/>
  <c r="T121" i="1"/>
  <c r="S121" i="1"/>
  <c r="V117" i="1"/>
  <c r="U117" i="1"/>
  <c r="S117" i="1"/>
  <c r="O117" i="1"/>
  <c r="K117" i="1"/>
  <c r="H117" i="1"/>
  <c r="D117" i="1"/>
  <c r="V116" i="1"/>
  <c r="U116" i="1"/>
  <c r="T116" i="1"/>
  <c r="S116" i="1"/>
  <c r="R116" i="1"/>
  <c r="V115" i="1"/>
  <c r="U115" i="1"/>
  <c r="T115" i="1"/>
  <c r="S115" i="1"/>
  <c r="R115" i="1"/>
  <c r="V114" i="1"/>
  <c r="U114" i="1"/>
  <c r="T114" i="1"/>
  <c r="S114" i="1"/>
  <c r="R114" i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6" i="1"/>
  <c r="U76" i="1"/>
  <c r="S76" i="1"/>
  <c r="O76" i="1"/>
  <c r="K76" i="1"/>
  <c r="H76" i="1"/>
  <c r="D76" i="1"/>
  <c r="B14" i="2" s="1"/>
  <c r="B4" i="2" s="1"/>
  <c r="V75" i="1"/>
  <c r="U75" i="1"/>
  <c r="T75" i="1"/>
  <c r="S75" i="1"/>
  <c r="R75" i="1"/>
  <c r="V74" i="1"/>
  <c r="U74" i="1"/>
  <c r="T74" i="1"/>
  <c r="S74" i="1"/>
  <c r="R74" i="1"/>
  <c r="V73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2" i="1"/>
  <c r="U32" i="1"/>
  <c r="T32" i="1"/>
  <c r="S32" i="1"/>
  <c r="R32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L18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39" i="1" l="1"/>
  <c r="L68" i="1"/>
  <c r="B15" i="2"/>
  <c r="B5" i="2" s="1"/>
  <c r="E173" i="1"/>
  <c r="E192" i="1"/>
  <c r="L103" i="1"/>
  <c r="L115" i="1"/>
  <c r="B4" i="3"/>
  <c r="L228" i="1"/>
  <c r="L265" i="1"/>
  <c r="L260" i="1"/>
  <c r="L166" i="1"/>
  <c r="B8" i="3"/>
  <c r="L86" i="1"/>
  <c r="B7" i="3"/>
  <c r="E59" i="1"/>
  <c r="L59" i="1"/>
  <c r="L48" i="1"/>
  <c r="L74" i="1"/>
  <c r="L88" i="1"/>
  <c r="L99" i="1"/>
  <c r="L72" i="1"/>
  <c r="L223" i="1"/>
  <c r="L41" i="1"/>
  <c r="L73" i="1"/>
  <c r="L49" i="1"/>
  <c r="E31" i="1"/>
  <c r="L31" i="1"/>
  <c r="B16" i="2"/>
  <c r="B6" i="2" s="1"/>
  <c r="E142" i="1"/>
  <c r="L33" i="1"/>
  <c r="L98" i="1"/>
  <c r="L66" i="1"/>
  <c r="L67" i="1"/>
  <c r="L22" i="1"/>
  <c r="L35" i="1"/>
  <c r="E67" i="1"/>
  <c r="L75" i="1"/>
  <c r="L116" i="1"/>
  <c r="L235" i="1"/>
  <c r="B3" i="3"/>
  <c r="C21" i="2"/>
  <c r="C11" i="2" s="1"/>
  <c r="L60" i="1"/>
  <c r="F13" i="4"/>
  <c r="E37" i="1"/>
  <c r="E24" i="1"/>
  <c r="E9" i="1"/>
  <c r="L82" i="1"/>
  <c r="L12" i="1"/>
  <c r="L24" i="1"/>
  <c r="E7" i="1"/>
  <c r="E11" i="1"/>
  <c r="E15" i="1"/>
  <c r="L30" i="1"/>
  <c r="E103" i="1"/>
  <c r="L220" i="1"/>
  <c r="E115" i="1"/>
  <c r="E21" i="1"/>
  <c r="E19" i="1"/>
  <c r="T203" i="1"/>
  <c r="E17" i="1"/>
  <c r="E102" i="1"/>
  <c r="E181" i="1"/>
  <c r="E179" i="1"/>
  <c r="E177" i="1"/>
  <c r="E175" i="1"/>
  <c r="L168" i="1"/>
  <c r="L196" i="1"/>
  <c r="L185" i="1"/>
  <c r="L47" i="1"/>
  <c r="E249" i="1"/>
  <c r="E98" i="1"/>
  <c r="E100" i="1"/>
  <c r="E96" i="1"/>
  <c r="E80" i="1"/>
  <c r="E94" i="1"/>
  <c r="E92" i="1"/>
  <c r="E104" i="1"/>
  <c r="B18" i="2"/>
  <c r="B8" i="2" s="1"/>
  <c r="E196" i="1"/>
  <c r="E166" i="1"/>
  <c r="E164" i="1"/>
  <c r="E61" i="1"/>
  <c r="E63" i="1"/>
  <c r="E70" i="1"/>
  <c r="E167" i="1"/>
  <c r="E169" i="1"/>
  <c r="E90" i="1"/>
  <c r="E113" i="1"/>
  <c r="E88" i="1"/>
  <c r="E111" i="1"/>
  <c r="E68" i="1"/>
  <c r="E86" i="1"/>
  <c r="E109" i="1"/>
  <c r="L62" i="1"/>
  <c r="L64" i="1"/>
  <c r="L69" i="1"/>
  <c r="L71" i="1"/>
  <c r="E84" i="1"/>
  <c r="E107" i="1"/>
  <c r="E65" i="1"/>
  <c r="E82" i="1"/>
  <c r="E106" i="1"/>
  <c r="E72" i="1"/>
  <c r="E74" i="1"/>
  <c r="L81" i="1"/>
  <c r="L34" i="1"/>
  <c r="B20" i="2"/>
  <c r="B10" i="2" s="1"/>
  <c r="E243" i="1"/>
  <c r="T209" i="1"/>
  <c r="E233" i="1"/>
  <c r="E208" i="1"/>
  <c r="E183" i="1"/>
  <c r="E168" i="1"/>
  <c r="E23" i="1"/>
  <c r="D13" i="4"/>
  <c r="T237" i="1"/>
  <c r="L89" i="1"/>
  <c r="E54" i="1"/>
  <c r="L55" i="1"/>
  <c r="E56" i="1"/>
  <c r="L57" i="1"/>
  <c r="E58" i="1"/>
  <c r="L37" i="1"/>
  <c r="E159" i="1"/>
  <c r="L128" i="1"/>
  <c r="T266" i="1"/>
  <c r="R266" i="1"/>
  <c r="E255" i="1"/>
  <c r="E257" i="1"/>
  <c r="E259" i="1"/>
  <c r="E261" i="1"/>
  <c r="E265" i="1"/>
  <c r="E263" i="1"/>
  <c r="E254" i="1"/>
  <c r="E256" i="1"/>
  <c r="E258" i="1"/>
  <c r="E260" i="1"/>
  <c r="E262" i="1"/>
  <c r="R251" i="1"/>
  <c r="E219" i="1"/>
  <c r="E217" i="1"/>
  <c r="E213" i="1"/>
  <c r="E235" i="1"/>
  <c r="E229" i="1"/>
  <c r="E227" i="1"/>
  <c r="E225" i="1"/>
  <c r="E223" i="1"/>
  <c r="E207" i="1"/>
  <c r="E201" i="1"/>
  <c r="E199" i="1"/>
  <c r="E197" i="1"/>
  <c r="E194" i="1"/>
  <c r="E191" i="1"/>
  <c r="E174" i="1"/>
  <c r="E176" i="1"/>
  <c r="E189" i="1"/>
  <c r="E187" i="1"/>
  <c r="E185" i="1"/>
  <c r="T170" i="1"/>
  <c r="T161" i="1"/>
  <c r="E133" i="1"/>
  <c r="E150" i="1"/>
  <c r="E152" i="1"/>
  <c r="E121" i="1"/>
  <c r="E123" i="1"/>
  <c r="E131" i="1"/>
  <c r="E129" i="1"/>
  <c r="E138" i="1"/>
  <c r="E156" i="1"/>
  <c r="E125" i="1"/>
  <c r="E143" i="1"/>
  <c r="E145" i="1"/>
  <c r="E147" i="1"/>
  <c r="E158" i="1"/>
  <c r="E149" i="1"/>
  <c r="E132" i="1"/>
  <c r="E151" i="1"/>
  <c r="E160" i="1"/>
  <c r="E122" i="1"/>
  <c r="E134" i="1"/>
  <c r="E153" i="1"/>
  <c r="E124" i="1"/>
  <c r="E128" i="1"/>
  <c r="E130" i="1"/>
  <c r="E137" i="1"/>
  <c r="E155" i="1"/>
  <c r="E157" i="1"/>
  <c r="E136" i="1"/>
  <c r="E154" i="1"/>
  <c r="E126" i="1"/>
  <c r="E141" i="1"/>
  <c r="E144" i="1"/>
  <c r="E148" i="1"/>
  <c r="H238" i="1"/>
  <c r="H267" i="1" s="1"/>
  <c r="T117" i="1"/>
  <c r="R117" i="1"/>
  <c r="E85" i="1"/>
  <c r="E87" i="1"/>
  <c r="E89" i="1"/>
  <c r="E105" i="1"/>
  <c r="E108" i="1"/>
  <c r="E110" i="1"/>
  <c r="E112" i="1"/>
  <c r="E114" i="1"/>
  <c r="E116" i="1"/>
  <c r="E79" i="1"/>
  <c r="E81" i="1"/>
  <c r="E91" i="1"/>
  <c r="E93" i="1"/>
  <c r="E95" i="1"/>
  <c r="E97" i="1"/>
  <c r="E99" i="1"/>
  <c r="E101" i="1"/>
  <c r="T76" i="1"/>
  <c r="E6" i="1"/>
  <c r="E8" i="1"/>
  <c r="E10" i="1"/>
  <c r="E12" i="1"/>
  <c r="E14" i="1"/>
  <c r="E16" i="1"/>
  <c r="E18" i="1"/>
  <c r="E22" i="1"/>
  <c r="E25" i="1"/>
  <c r="E20" i="1"/>
  <c r="J13" i="4"/>
  <c r="D4" i="5"/>
  <c r="D3" i="5" s="1"/>
  <c r="H13" i="4"/>
  <c r="L213" i="1"/>
  <c r="L214" i="1"/>
  <c r="L219" i="1"/>
  <c r="L222" i="1"/>
  <c r="L225" i="1"/>
  <c r="L226" i="1"/>
  <c r="L229" i="1"/>
  <c r="L230" i="1"/>
  <c r="L236" i="1"/>
  <c r="L97" i="1"/>
  <c r="L108" i="1"/>
  <c r="L79" i="1"/>
  <c r="L85" i="1"/>
  <c r="L93" i="1"/>
  <c r="L101" i="1"/>
  <c r="L105" i="1"/>
  <c r="L112" i="1"/>
  <c r="L83" i="1"/>
  <c r="L87" i="1"/>
  <c r="L91" i="1"/>
  <c r="L95" i="1"/>
  <c r="L110" i="1"/>
  <c r="L114" i="1"/>
  <c r="L179" i="1"/>
  <c r="L180" i="1"/>
  <c r="L184" i="1"/>
  <c r="L187" i="1"/>
  <c r="L188" i="1"/>
  <c r="L193" i="1"/>
  <c r="L197" i="1"/>
  <c r="L198" i="1"/>
  <c r="L201" i="1"/>
  <c r="L202" i="1"/>
  <c r="L174" i="1"/>
  <c r="L257" i="1"/>
  <c r="L261" i="1"/>
  <c r="L255" i="1"/>
  <c r="L259" i="1"/>
  <c r="L263" i="1"/>
  <c r="L254" i="1"/>
  <c r="L256" i="1"/>
  <c r="L258" i="1"/>
  <c r="L262" i="1"/>
  <c r="L264" i="1"/>
  <c r="L53" i="1"/>
  <c r="L175" i="1"/>
  <c r="L177" i="1"/>
  <c r="L178" i="1"/>
  <c r="L181" i="1"/>
  <c r="L182" i="1"/>
  <c r="L186" i="1"/>
  <c r="L189" i="1"/>
  <c r="L194" i="1"/>
  <c r="L195" i="1"/>
  <c r="L199" i="1"/>
  <c r="L200" i="1"/>
  <c r="E29" i="1"/>
  <c r="E32" i="1"/>
  <c r="E35" i="1"/>
  <c r="L36" i="1"/>
  <c r="L6" i="1"/>
  <c r="L14" i="1"/>
  <c r="L8" i="1"/>
  <c r="L16" i="1"/>
  <c r="L7" i="1"/>
  <c r="L9" i="1"/>
  <c r="L11" i="1"/>
  <c r="L13" i="1"/>
  <c r="L15" i="1"/>
  <c r="L19" i="1"/>
  <c r="L17" i="1"/>
  <c r="L21" i="1"/>
  <c r="L80" i="1"/>
  <c r="E83" i="1"/>
  <c r="L84" i="1"/>
  <c r="L90" i="1"/>
  <c r="L92" i="1"/>
  <c r="L94" i="1"/>
  <c r="L96" i="1"/>
  <c r="L100" i="1"/>
  <c r="L102" i="1"/>
  <c r="L104" i="1"/>
  <c r="L106" i="1"/>
  <c r="L107" i="1"/>
  <c r="L109" i="1"/>
  <c r="L111" i="1"/>
  <c r="L113" i="1"/>
  <c r="L38" i="1"/>
  <c r="E39" i="1"/>
  <c r="L40" i="1"/>
  <c r="E41" i="1"/>
  <c r="L42" i="1"/>
  <c r="L43" i="1"/>
  <c r="E44" i="1"/>
  <c r="L45" i="1"/>
  <c r="E46" i="1"/>
  <c r="E48" i="1"/>
  <c r="E50" i="1"/>
  <c r="L51" i="1"/>
  <c r="E52" i="1"/>
  <c r="O238" i="1"/>
  <c r="O267" i="1" s="1"/>
  <c r="L217" i="1"/>
  <c r="L218" i="1"/>
  <c r="L224" i="1"/>
  <c r="L227" i="1"/>
  <c r="L20" i="1"/>
  <c r="L29" i="1"/>
  <c r="E30" i="1"/>
  <c r="L32" i="1"/>
  <c r="E34" i="1"/>
  <c r="E36" i="1"/>
  <c r="E38" i="1"/>
  <c r="E40" i="1"/>
  <c r="E42" i="1"/>
  <c r="L44" i="1"/>
  <c r="E45" i="1"/>
  <c r="L46" i="1"/>
  <c r="E47" i="1"/>
  <c r="E49" i="1"/>
  <c r="L50" i="1"/>
  <c r="E51" i="1"/>
  <c r="L52" i="1"/>
  <c r="L54" i="1"/>
  <c r="E55" i="1"/>
  <c r="L56" i="1"/>
  <c r="E57" i="1"/>
  <c r="L58" i="1"/>
  <c r="E60" i="1"/>
  <c r="L61" i="1"/>
  <c r="E62" i="1"/>
  <c r="L63" i="1"/>
  <c r="E64" i="1"/>
  <c r="L65" i="1"/>
  <c r="E66" i="1"/>
  <c r="E69" i="1"/>
  <c r="L70" i="1"/>
  <c r="E71" i="1"/>
  <c r="E73" i="1"/>
  <c r="E75" i="1"/>
  <c r="C13" i="2"/>
  <c r="C3" i="2" s="1"/>
  <c r="R76" i="1"/>
  <c r="R121" i="1"/>
  <c r="R122" i="1"/>
  <c r="R123" i="1"/>
  <c r="R130" i="1"/>
  <c r="R131" i="1"/>
  <c r="R132" i="1"/>
  <c r="R158" i="1"/>
  <c r="C17" i="2"/>
  <c r="C7" i="2" s="1"/>
  <c r="R170" i="1"/>
  <c r="L169" i="1"/>
  <c r="L167" i="1"/>
  <c r="L165" i="1"/>
  <c r="L164" i="1"/>
  <c r="L244" i="1"/>
  <c r="L241" i="1"/>
  <c r="R246" i="1"/>
  <c r="L245" i="1"/>
  <c r="L242" i="1"/>
  <c r="L25" i="1"/>
  <c r="B13" i="2"/>
  <c r="B3" i="2" s="1"/>
  <c r="D238" i="1"/>
  <c r="E237" i="1" s="1"/>
  <c r="R26" i="1"/>
  <c r="T26" i="1"/>
  <c r="B10" i="3"/>
  <c r="C14" i="2"/>
  <c r="C4" i="2" s="1"/>
  <c r="C15" i="2"/>
  <c r="C5" i="2" s="1"/>
  <c r="L145" i="1"/>
  <c r="E146" i="1"/>
  <c r="L146" i="1"/>
  <c r="E178" i="1"/>
  <c r="E180" i="1"/>
  <c r="E182" i="1"/>
  <c r="E184" i="1"/>
  <c r="E186" i="1"/>
  <c r="E188" i="1"/>
  <c r="E190" i="1"/>
  <c r="E193" i="1"/>
  <c r="E195" i="1"/>
  <c r="E198" i="1"/>
  <c r="E200" i="1"/>
  <c r="E202" i="1"/>
  <c r="L208" i="1"/>
  <c r="R209" i="1"/>
  <c r="E214" i="1"/>
  <c r="E218" i="1"/>
  <c r="E221" i="1"/>
  <c r="E224" i="1"/>
  <c r="E226" i="1"/>
  <c r="E228" i="1"/>
  <c r="E230" i="1"/>
  <c r="E234" i="1"/>
  <c r="E236" i="1"/>
  <c r="R241" i="1"/>
  <c r="L243" i="1"/>
  <c r="E244" i="1"/>
  <c r="L249" i="1"/>
  <c r="C18" i="2"/>
  <c r="C8" i="2" s="1"/>
  <c r="C19" i="2"/>
  <c r="C9" i="2" s="1"/>
  <c r="C20" i="2"/>
  <c r="C10" i="2" s="1"/>
  <c r="C13" i="4"/>
  <c r="E13" i="4"/>
  <c r="G13" i="4"/>
  <c r="I13" i="4"/>
  <c r="R203" i="1"/>
  <c r="R237" i="1"/>
  <c r="E241" i="1"/>
  <c r="E242" i="1"/>
  <c r="E245" i="1"/>
  <c r="B9" i="3" l="1"/>
  <c r="L160" i="1"/>
  <c r="L148" i="1"/>
  <c r="L134" i="1"/>
  <c r="L123" i="1"/>
  <c r="L150" i="1"/>
  <c r="L125" i="1"/>
  <c r="L141" i="1"/>
  <c r="L157" i="1"/>
  <c r="L154" i="1"/>
  <c r="K238" i="1"/>
  <c r="L161" i="1" s="1"/>
  <c r="L122" i="1"/>
  <c r="L152" i="1"/>
  <c r="L129" i="1"/>
  <c r="L137" i="1"/>
  <c r="L144" i="1"/>
  <c r="L155" i="1"/>
  <c r="C16" i="2"/>
  <c r="C6" i="2" s="1"/>
  <c r="L159" i="1"/>
  <c r="L121" i="1"/>
  <c r="L153" i="1"/>
  <c r="L127" i="1"/>
  <c r="L158" i="1"/>
  <c r="L130" i="1"/>
  <c r="L147" i="1"/>
  <c r="L124" i="1"/>
  <c r="L126" i="1"/>
  <c r="L133" i="1"/>
  <c r="L136" i="1"/>
  <c r="L138" i="1"/>
  <c r="L143" i="1"/>
  <c r="L149" i="1"/>
  <c r="L151" i="1"/>
  <c r="L156" i="1"/>
  <c r="R161" i="1"/>
  <c r="E203" i="1"/>
  <c r="E117" i="1"/>
  <c r="D267" i="1"/>
  <c r="E209" i="1"/>
  <c r="E161" i="1"/>
  <c r="E170" i="1"/>
  <c r="E26" i="1"/>
  <c r="E76" i="1"/>
  <c r="L209" i="1" l="1"/>
  <c r="R238" i="1"/>
  <c r="L76" i="1"/>
  <c r="L237" i="1"/>
  <c r="L170" i="1"/>
  <c r="L203" i="1"/>
  <c r="K267" i="1"/>
  <c r="L117" i="1"/>
  <c r="L26" i="1"/>
</calcChain>
</file>

<file path=xl/sharedStrings.xml><?xml version="1.0" encoding="utf-8"?>
<sst xmlns="http://schemas.openxmlformats.org/spreadsheetml/2006/main" count="551" uniqueCount="345">
  <si>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</si>
  <si>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</si>
  <si>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</si>
  <si>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</si>
  <si>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</si>
  <si>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</si>
  <si>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</si>
  <si>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</si>
  <si>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</si>
  <si>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</si>
  <si>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</si>
  <si>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</si>
  <si>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</si>
  <si>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</si>
  <si>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</si>
  <si>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</si>
  <si>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</si>
  <si>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</si>
  <si>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</si>
  <si>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</si>
  <si>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</si>
  <si>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</si>
  <si>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</si>
  <si>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</si>
  <si>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</si>
  <si>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</si>
  <si>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</si>
  <si>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</si>
  <si>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</si>
  <si>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</si>
  <si>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</si>
  <si>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</si>
  <si>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</si>
  <si>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</si>
  <si>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</si>
  <si>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</si>
  <si>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</si>
  <si>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</si>
  <si>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</si>
  <si>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</si>
  <si>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</si>
  <si>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</si>
  <si>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</si>
  <si>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</si>
  <si>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</si>
  <si>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</si>
  <si>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</si>
  <si>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</si>
  <si>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</si>
  <si>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</si>
  <si>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</si>
  <si>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</si>
  <si>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</si>
  <si>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</si>
  <si>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</si>
  <si>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</si>
  <si>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</si>
  <si>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</si>
  <si>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</si>
  <si>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</si>
  <si>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</si>
  <si>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</si>
  <si>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</si>
  <si>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</si>
  <si>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</si>
  <si>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</si>
  <si>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</si>
  <si>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</si>
  <si>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</si>
  <si>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</si>
  <si>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</si>
  <si>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</si>
  <si>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</si>
  <si>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</si>
  <si>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</si>
  <si>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</si>
  <si>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</si>
  <si>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</si>
  <si>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</si>
  <si>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</si>
  <si>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</si>
  <si>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</si>
  <si>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</si>
  <si>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</si>
  <si>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</si>
  <si>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</si>
  <si>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</si>
  <si>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</si>
  <si>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</si>
  <si>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</si>
  <si>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</si>
  <si>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</si>
  <si>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</si>
  <si>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</si>
  <si>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</si>
  <si>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</si>
  <si>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</si>
  <si>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</si>
  <si>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</si>
  <si>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</si>
  <si>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</si>
  <si>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</si>
  <si>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</si>
  <si>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</si>
  <si>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</si>
  <si>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</si>
  <si>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</si>
  <si>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</si>
  <si>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</si>
  <si>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</si>
  <si>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</si>
  <si>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</si>
  <si>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</si>
  <si>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</si>
  <si>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</si>
  <si>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</si>
  <si>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</si>
  <si>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</si>
  <si>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</si>
  <si>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</si>
  <si>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</si>
  <si>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</si>
  <si>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</si>
  <si>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</si>
  <si>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</si>
  <si>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</si>
  <si>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</si>
  <si>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</si>
  <si>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</si>
  <si>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</si>
  <si>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</si>
  <si>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</si>
  <si>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</si>
  <si>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</si>
  <si>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</si>
  <si>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</si>
  <si>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</si>
  <si>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</si>
  <si>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</si>
  <si>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</si>
  <si>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</si>
  <si>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</si>
  <si>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</si>
  <si>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</si>
  <si>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</si>
  <si>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</si>
  <si>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</si>
  <si>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</si>
  <si>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</si>
  <si>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</si>
  <si>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</si>
  <si>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</si>
  <si>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</si>
  <si>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</si>
  <si>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</si>
  <si>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</si>
  <si>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</si>
  <si>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</si>
  <si>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</si>
  <si>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</si>
  <si>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</si>
  <si>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</si>
  <si>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</si>
  <si>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</si>
  <si>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</si>
  <si>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</si>
  <si>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</si>
  <si>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</si>
  <si>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</si>
  <si>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</si>
  <si>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</si>
  <si>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</si>
  <si>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</si>
  <si>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</si>
  <si>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</si>
  <si>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</si>
  <si>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</si>
  <si>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</si>
  <si>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</si>
  <si>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</si>
  <si>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</si>
  <si>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</si>
  <si>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</si>
  <si>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</si>
  <si>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</si>
  <si>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</si>
  <si>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</si>
  <si>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</si>
  <si>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</si>
  <si>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</si>
  <si>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</si>
  <si>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</si>
  <si>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</si>
  <si>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</si>
  <si>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</si>
  <si>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</si>
  <si>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</si>
  <si>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</si>
  <si>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</si>
  <si>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</si>
  <si>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</si>
  <si>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</si>
  <si>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</si>
  <si>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</si>
  <si>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</si>
  <si>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</si>
  <si>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</si>
  <si>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</si>
  <si>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</si>
  <si>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</si>
  <si>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</si>
  <si>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</si>
  <si>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</si>
  <si>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</si>
  <si>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</si>
  <si>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</si>
  <si>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</si>
  <si>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</si>
  <si>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</si>
  <si>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</si>
  <si>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</si>
  <si>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</si>
  <si>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</si>
  <si>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</si>
  <si>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</si>
  <si>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</si>
  <si>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</si>
  <si>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</si>
  <si>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</si>
  <si>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</si>
  <si>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</si>
  <si>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</si>
  <si>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</si>
  <si>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</si>
  <si>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</si>
  <si>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</si>
  <si>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</si>
  <si>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</si>
  <si>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</si>
  <si>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</si>
  <si>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</si>
  <si>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</si>
  <si>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</si>
  <si>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</si>
  <si>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</si>
  <si>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</si>
  <si>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</si>
  <si>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</si>
  <si>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</si>
  <si>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</si>
  <si>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</si>
  <si>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</si>
  <si>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</si>
  <si>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</si>
  <si>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</si>
  <si>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</si>
  <si>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</si>
  <si>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</si>
  <si>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</si>
  <si>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</si>
  <si>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</si>
  <si>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</si>
  <si>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</si>
  <si>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</si>
  <si>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</si>
  <si>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</si>
  <si>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</si>
  <si>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</si>
  <si>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</si>
  <si>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</si>
  <si>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</si>
  <si>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</si>
  <si>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</si>
  <si>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</si>
  <si>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</si>
  <si>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</si>
  <si>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</si>
  <si>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</si>
  <si>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</si>
  <si>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</si>
  <si>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</si>
  <si>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</si>
  <si>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</si>
  <si>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</si>
  <si>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</si>
  <si>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</si>
  <si>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</si>
  <si>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</si>
  <si>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</si>
  <si>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</si>
  <si>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</si>
  <si>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</si>
  <si>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</si>
  <si>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</si>
  <si>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</si>
  <si>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</si>
  <si>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</si>
  <si>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</si>
  <si>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</si>
  <si>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</si>
  <si>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</si>
  <si>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</si>
  <si>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</si>
  <si>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</si>
  <si>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</si>
  <si>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</si>
  <si>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</si>
  <si>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</si>
  <si>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</si>
  <si>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</si>
  <si>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</si>
  <si>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</si>
  <si>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</si>
  <si>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</si>
  <si>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</si>
  <si>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</si>
  <si>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</si>
  <si>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</si>
  <si>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</si>
  <si>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</si>
  <si>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</si>
  <si>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</si>
  <si>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</si>
  <si>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</si>
  <si>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</si>
  <si>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</si>
  <si>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Meristem Dollar Fund</t>
  </si>
  <si>
    <t>RT Briscoe Savings &amp; Investment Fund</t>
  </si>
  <si>
    <t>CFG Ethical Fund</t>
  </si>
  <si>
    <t>SCM Capital Money Market Fund</t>
  </si>
  <si>
    <t>Apel Wealth Money Market Fund</t>
  </si>
  <si>
    <t>Apel Wealth Management Limited</t>
  </si>
  <si>
    <t>Alpha10 Dollar Fund</t>
  </si>
  <si>
    <t>Alpha10 Fund Management Limited</t>
  </si>
  <si>
    <t>Alpha10 Money Market Fund</t>
  </si>
  <si>
    <t>Myrtle Asset Management Limited</t>
  </si>
  <si>
    <t>Myrtle Mynest Money Market Fund</t>
  </si>
  <si>
    <t>Myrtle Balanced Plus Fund</t>
  </si>
  <si>
    <t>Myrtle Dollar Shield Fund</t>
  </si>
  <si>
    <t>NAV, Unit Price and Yield as at Week Ended April 17, 2026</t>
  </si>
  <si>
    <t>Week Ended April 17, 2026</t>
  </si>
  <si>
    <t>WEEKLY VALUATION REPORT OF COLLECTIVE INVESTMENT SCHEMES AS AT WEEK ENDED FRIDAY, APRIL 24, 2026</t>
  </si>
  <si>
    <t>NAV, Unit Price and Yield as at Week Ended April 24, 2026</t>
  </si>
  <si>
    <t>NFEM RATE NG₦/US$ as at 24th April, 2026 = N1358.4351</t>
  </si>
  <si>
    <t>Week Ended April 24,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</si>
</sst>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scheme val="minor"/>
    </font>
    <font>
      <sz val="8"/>
      <name val="Century Gothic"/>
      <family val="2"/>
    </font>
    <font>
      <sz val="8"/>
      <color theme="8"/>
      <name val="Arial Narrow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8"/>
      <color theme="0"/>
      <name val="Arial Narrow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61">
    <xf numFmtId="0" fontId="0" fillId="0" borderId="0"/>
    <xf numFmtId="164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43" fontId="35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34" fillId="0" borderId="0" applyFont="0" applyFill="0" applyBorder="0" applyAlignment="0" applyProtection="0"/>
    <xf numFmtId="0" fontId="36" fillId="21" borderId="0" applyNumberFormat="0" applyBorder="0" applyAlignment="0" applyProtection="0"/>
    <xf numFmtId="0" fontId="37" fillId="0" borderId="0"/>
    <xf numFmtId="0" fontId="34" fillId="0" borderId="0"/>
    <xf numFmtId="0" fontId="34" fillId="0" borderId="0"/>
    <xf numFmtId="0" fontId="38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9" fillId="0" borderId="0" applyNumberFormat="0" applyFill="0" applyBorder="0" applyAlignment="0" applyProtection="0"/>
  </cellStyleXfs>
  <cellXfs count="207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43" fontId="7" fillId="0" borderId="0" xfId="0" applyNumberFormat="1" applyFont="1"/>
    <xf numFmtId="0" fontId="9" fillId="0" borderId="0" xfId="0" applyFont="1"/>
    <xf numFmtId="0" fontId="5" fillId="2" borderId="0" xfId="0" applyFont="1" applyFill="1" applyAlignment="1">
      <alignment wrapText="1"/>
    </xf>
    <xf numFmtId="10" fontId="22" fillId="10" borderId="0" xfId="0" applyNumberFormat="1" applyFont="1" applyFill="1" applyAlignment="1">
      <alignment horizontal="right" vertical="center" wrapText="1"/>
    </xf>
    <xf numFmtId="4" fontId="0" fillId="0" borderId="0" xfId="0" applyNumberFormat="1"/>
    <xf numFmtId="164" fontId="19" fillId="0" borderId="0" xfId="1" applyFont="1"/>
    <xf numFmtId="2" fontId="0" fillId="0" borderId="0" xfId="0" applyNumberFormat="1"/>
    <xf numFmtId="165" fontId="0" fillId="0" borderId="0" xfId="0" applyNumberFormat="1"/>
    <xf numFmtId="4" fontId="24" fillId="10" borderId="0" xfId="0" applyNumberFormat="1" applyFont="1" applyFill="1" applyAlignment="1">
      <alignment horizontal="right" vertical="center" wrapText="1"/>
    </xf>
    <xf numFmtId="166" fontId="11" fillId="0" borderId="0" xfId="1" applyNumberFormat="1" applyFont="1"/>
    <xf numFmtId="4" fontId="27" fillId="0" borderId="0" xfId="0" applyNumberFormat="1" applyFont="1"/>
    <xf numFmtId="4" fontId="18" fillId="2" borderId="1" xfId="10" applyNumberFormat="1" applyFont="1" applyFill="1" applyBorder="1" applyAlignment="1">
      <alignment horizontal="right" vertical="top" wrapText="1"/>
    </xf>
    <xf numFmtId="164" fontId="0" fillId="0" borderId="0" xfId="1" applyFont="1"/>
    <xf numFmtId="0" fontId="30" fillId="0" borderId="0" xfId="0" applyFont="1"/>
    <xf numFmtId="0" fontId="31" fillId="0" borderId="0" xfId="0" applyFont="1"/>
    <xf numFmtId="43" fontId="0" fillId="0" borderId="0" xfId="0" applyNumberFormat="1"/>
    <xf numFmtId="0" fontId="32" fillId="0" borderId="0" xfId="0" applyFont="1"/>
    <xf numFmtId="0" fontId="20" fillId="2" borderId="0" xfId="0" applyFont="1" applyFill="1" applyAlignment="1">
      <alignment wrapText="1"/>
    </xf>
    <xf numFmtId="43" fontId="32" fillId="0" borderId="0" xfId="16" applyFont="1" applyBorder="1"/>
    <xf numFmtId="2" fontId="32" fillId="0" borderId="0" xfId="0" applyNumberFormat="1" applyFont="1"/>
    <xf numFmtId="10" fontId="32" fillId="0" borderId="0" xfId="2" applyNumberFormat="1" applyFont="1" applyBorder="1"/>
    <xf numFmtId="10" fontId="33" fillId="0" borderId="0" xfId="2" applyNumberFormat="1" applyFont="1" applyBorder="1"/>
    <xf numFmtId="10" fontId="0" fillId="0" borderId="0" xfId="2" applyNumberFormat="1" applyFont="1"/>
    <xf numFmtId="43" fontId="2" fillId="4" borderId="1" xfId="0" quotePrefix="1" applyNumberFormat="1" applyFont="1" applyFill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1" fillId="0" borderId="0" xfId="0" applyFont="1"/>
    <xf numFmtId="0" fontId="42" fillId="0" borderId="0" xfId="0" applyFont="1"/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4" fontId="4" fillId="2" borderId="0" xfId="0" applyNumberFormat="1" applyFont="1" applyFill="1" applyAlignment="1">
      <alignment horizontal="right"/>
    </xf>
    <xf numFmtId="10" fontId="22" fillId="10" borderId="0" xfId="2" applyNumberFormat="1" applyFont="1" applyFill="1" applyAlignment="1">
      <alignment horizontal="right" vertical="center" wrapText="1"/>
    </xf>
    <xf numFmtId="164" fontId="4" fillId="2" borderId="0" xfId="1" applyFont="1" applyFill="1" applyBorder="1" applyAlignment="1">
      <alignment horizontal="right" vertical="top" wrapText="1"/>
    </xf>
    <xf numFmtId="164" fontId="43" fillId="2" borderId="2" xfId="1" applyFont="1" applyFill="1" applyBorder="1"/>
    <xf numFmtId="10" fontId="43" fillId="2" borderId="2" xfId="2" applyNumberFormat="1" applyFont="1" applyFill="1" applyBorder="1"/>
    <xf numFmtId="164" fontId="43" fillId="2" borderId="2" xfId="1" applyFont="1" applyFill="1" applyBorder="1" applyAlignment="1">
      <alignment horizontal="center" wrapText="1"/>
    </xf>
    <xf numFmtId="0" fontId="7" fillId="2" borderId="0" xfId="0" applyFont="1" applyFill="1"/>
    <xf numFmtId="0" fontId="0" fillId="0" borderId="0" xfId="0" applyAlignment="1">
      <alignment horizontal="right"/>
    </xf>
    <xf numFmtId="0" fontId="10" fillId="2" borderId="0" xfId="0" applyFont="1" applyFill="1" applyAlignment="1">
      <alignment horizontal="center" wrapText="1"/>
    </xf>
    <xf numFmtId="0" fontId="9" fillId="2" borderId="0" xfId="0" applyFont="1" applyFill="1"/>
    <xf numFmtId="0" fontId="46" fillId="2" borderId="0" xfId="0" applyFont="1" applyFill="1" applyAlignment="1">
      <alignment horizontal="right"/>
    </xf>
    <xf numFmtId="16" fontId="46" fillId="2" borderId="0" xfId="0" applyNumberFormat="1" applyFont="1" applyFill="1" applyAlignment="1">
      <alignment horizontal="center" wrapText="1"/>
    </xf>
    <xf numFmtId="0" fontId="47" fillId="2" borderId="0" xfId="0" applyFont="1" applyFill="1"/>
    <xf numFmtId="0" fontId="46" fillId="2" borderId="0" xfId="0" applyFont="1" applyFill="1" applyAlignment="1">
      <alignment horizontal="right" wrapText="1"/>
    </xf>
    <xf numFmtId="4" fontId="48" fillId="2" borderId="0" xfId="0" applyNumberFormat="1" applyFont="1" applyFill="1"/>
    <xf numFmtId="4" fontId="48" fillId="2" borderId="0" xfId="0" applyNumberFormat="1" applyFont="1" applyFill="1" applyAlignment="1">
      <alignment horizontal="right"/>
    </xf>
    <xf numFmtId="164" fontId="48" fillId="2" borderId="0" xfId="1" applyFont="1" applyFill="1" applyBorder="1" applyAlignment="1">
      <alignment horizontal="right" vertical="top" wrapText="1"/>
    </xf>
    <xf numFmtId="0" fontId="49" fillId="2" borderId="0" xfId="0" applyFont="1" applyFill="1" applyAlignment="1">
      <alignment horizontal="right" wrapText="1"/>
    </xf>
    <xf numFmtId="164" fontId="11" fillId="2" borderId="0" xfId="1" applyFont="1" applyFill="1" applyBorder="1"/>
    <xf numFmtId="4" fontId="11" fillId="2" borderId="0" xfId="0" applyNumberFormat="1" applyFont="1" applyFill="1"/>
    <xf numFmtId="0" fontId="49" fillId="2" borderId="0" xfId="0" applyFont="1" applyFill="1" applyAlignment="1">
      <alignment horizontal="right"/>
    </xf>
    <xf numFmtId="4" fontId="11" fillId="2" borderId="0" xfId="0" applyNumberFormat="1" applyFont="1" applyFill="1" applyAlignment="1">
      <alignment horizontal="right"/>
    </xf>
    <xf numFmtId="164" fontId="11" fillId="2" borderId="0" xfId="1" applyFont="1" applyFill="1" applyBorder="1" applyAlignment="1">
      <alignment horizontal="right" vertical="top" wrapText="1"/>
    </xf>
    <xf numFmtId="0" fontId="50" fillId="2" borderId="0" xfId="0" applyFont="1" applyFill="1" applyAlignment="1">
      <alignment horizontal="right"/>
    </xf>
    <xf numFmtId="4" fontId="51" fillId="2" borderId="0" xfId="0" applyNumberFormat="1" applyFont="1" applyFill="1"/>
    <xf numFmtId="0" fontId="50" fillId="0" borderId="0" xfId="0" applyFont="1" applyAlignment="1">
      <alignment horizontal="right"/>
    </xf>
    <xf numFmtId="164" fontId="51" fillId="2" borderId="0" xfId="1" applyFont="1" applyFill="1" applyBorder="1" applyAlignment="1">
      <alignment horizontal="right" vertical="top" wrapText="1"/>
    </xf>
    <xf numFmtId="0" fontId="52" fillId="2" borderId="0" xfId="0" applyFont="1" applyFill="1" applyAlignment="1">
      <alignment horizontal="right"/>
    </xf>
    <xf numFmtId="16" fontId="50" fillId="2" borderId="0" xfId="0" applyNumberFormat="1" applyFont="1" applyFill="1"/>
    <xf numFmtId="4" fontId="51" fillId="2" borderId="0" xfId="0" applyNumberFormat="1" applyFont="1" applyFill="1" applyAlignment="1">
      <alignment horizontal="right"/>
    </xf>
    <xf numFmtId="164" fontId="9" fillId="2" borderId="0" xfId="1" applyFont="1" applyFill="1" applyBorder="1"/>
    <xf numFmtId="0" fontId="45" fillId="0" borderId="0" xfId="0" applyFont="1"/>
    <xf numFmtId="16" fontId="53" fillId="2" borderId="0" xfId="0" applyNumberFormat="1" applyFont="1" applyFill="1"/>
    <xf numFmtId="164" fontId="54" fillId="0" borderId="0" xfId="1" applyFont="1"/>
    <xf numFmtId="43" fontId="54" fillId="0" borderId="0" xfId="0" applyNumberFormat="1" applyFont="1"/>
    <xf numFmtId="4" fontId="54" fillId="0" borderId="0" xfId="0" applyNumberFormat="1" applyFont="1"/>
    <xf numFmtId="0" fontId="12" fillId="5" borderId="3" xfId="0" applyFont="1" applyFill="1" applyBorder="1" applyAlignment="1">
      <alignment horizontal="center"/>
    </xf>
    <xf numFmtId="0" fontId="5" fillId="6" borderId="3" xfId="0" applyFont="1" applyFill="1" applyBorder="1"/>
    <xf numFmtId="0" fontId="13" fillId="7" borderId="3" xfId="0" applyFont="1" applyFill="1" applyBorder="1"/>
    <xf numFmtId="0" fontId="14" fillId="7" borderId="3" xfId="0" applyFont="1" applyFill="1" applyBorder="1"/>
    <xf numFmtId="0" fontId="13" fillId="7" borderId="3" xfId="0" applyFont="1" applyFill="1" applyBorder="1" applyAlignment="1">
      <alignment horizontal="center" vertical="top" wrapText="1"/>
    </xf>
    <xf numFmtId="0" fontId="15" fillId="3" borderId="3" xfId="0" applyFont="1" applyFill="1" applyBorder="1" applyAlignment="1">
      <alignment horizontal="center" vertical="top" wrapText="1"/>
    </xf>
    <xf numFmtId="0" fontId="15" fillId="3" borderId="3" xfId="0" applyFont="1" applyFill="1" applyBorder="1" applyAlignment="1">
      <alignment vertical="top" wrapText="1"/>
    </xf>
    <xf numFmtId="0" fontId="13" fillId="3" borderId="3" xfId="0" applyFont="1" applyFill="1" applyBorder="1" applyAlignment="1">
      <alignment vertical="top" wrapText="1"/>
    </xf>
    <xf numFmtId="0" fontId="13" fillId="3" borderId="3" xfId="0" applyFont="1" applyFill="1" applyBorder="1" applyAlignment="1">
      <alignment horizontal="center" vertical="top"/>
    </xf>
    <xf numFmtId="0" fontId="13" fillId="3" borderId="3" xfId="0" applyFont="1" applyFill="1" applyBorder="1" applyAlignment="1">
      <alignment horizontal="center" vertical="top" wrapText="1"/>
    </xf>
    <xf numFmtId="164" fontId="13" fillId="3" borderId="3" xfId="1" applyFont="1" applyFill="1" applyBorder="1" applyAlignment="1">
      <alignment horizontal="center" vertical="top"/>
    </xf>
    <xf numFmtId="0" fontId="5" fillId="0" borderId="3" xfId="0" applyFont="1" applyBorder="1"/>
    <xf numFmtId="0" fontId="16" fillId="2" borderId="3" xfId="0" applyFont="1" applyFill="1" applyBorder="1" applyAlignment="1">
      <alignment horizontal="center" vertical="top" wrapText="1"/>
    </xf>
    <xf numFmtId="0" fontId="17" fillId="8" borderId="3" xfId="0" applyFont="1" applyFill="1" applyBorder="1" applyAlignment="1">
      <alignment horizontal="center"/>
    </xf>
    <xf numFmtId="0" fontId="18" fillId="0" borderId="3" xfId="0" applyFont="1" applyBorder="1" applyAlignment="1">
      <alignment horizontal="center" vertical="center"/>
    </xf>
    <xf numFmtId="4" fontId="18" fillId="2" borderId="3" xfId="0" applyNumberFormat="1" applyFont="1" applyFill="1" applyBorder="1" applyAlignment="1">
      <alignment wrapText="1"/>
    </xf>
    <xf numFmtId="0" fontId="18" fillId="2" borderId="3" xfId="0" applyFont="1" applyFill="1" applyBorder="1" applyAlignment="1">
      <alignment wrapText="1"/>
    </xf>
    <xf numFmtId="4" fontId="16" fillId="2" borderId="3" xfId="0" applyNumberFormat="1" applyFont="1" applyFill="1" applyBorder="1"/>
    <xf numFmtId="10" fontId="16" fillId="7" borderId="3" xfId="2" applyNumberFormat="1" applyFont="1" applyFill="1" applyBorder="1" applyAlignment="1">
      <alignment horizontal="center"/>
    </xf>
    <xf numFmtId="164" fontId="16" fillId="9" borderId="3" xfId="1" applyFont="1" applyFill="1" applyBorder="1" applyAlignment="1">
      <alignment horizontal="center"/>
    </xf>
    <xf numFmtId="10" fontId="16" fillId="9" borderId="3" xfId="2" applyNumberFormat="1" applyFont="1" applyFill="1" applyBorder="1" applyAlignment="1">
      <alignment horizontal="center"/>
    </xf>
    <xf numFmtId="10" fontId="16" fillId="3" borderId="3" xfId="2" applyNumberFormat="1" applyFont="1" applyFill="1" applyBorder="1" applyAlignment="1">
      <alignment horizontal="center" vertical="top" wrapText="1"/>
    </xf>
    <xf numFmtId="10" fontId="16" fillId="3" borderId="3" xfId="1" applyNumberFormat="1" applyFont="1" applyFill="1" applyBorder="1" applyAlignment="1">
      <alignment horizontal="center" vertical="top" wrapText="1"/>
    </xf>
    <xf numFmtId="4" fontId="18" fillId="2" borderId="3" xfId="0" applyNumberFormat="1" applyFont="1" applyFill="1" applyBorder="1"/>
    <xf numFmtId="10" fontId="18" fillId="7" borderId="3" xfId="2" applyNumberFormat="1" applyFont="1" applyFill="1" applyBorder="1" applyAlignment="1">
      <alignment horizontal="center"/>
    </xf>
    <xf numFmtId="164" fontId="18" fillId="9" borderId="3" xfId="1" applyFont="1" applyFill="1" applyBorder="1" applyAlignment="1">
      <alignment horizontal="center"/>
    </xf>
    <xf numFmtId="10" fontId="18" fillId="9" borderId="3" xfId="2" applyNumberFormat="1" applyFont="1" applyFill="1" applyBorder="1" applyAlignment="1">
      <alignment horizontal="center"/>
    </xf>
    <xf numFmtId="10" fontId="18" fillId="3" borderId="3" xfId="2" applyNumberFormat="1" applyFont="1" applyFill="1" applyBorder="1" applyAlignment="1">
      <alignment horizontal="center" vertical="top" wrapText="1"/>
    </xf>
    <xf numFmtId="0" fontId="44" fillId="0" borderId="3" xfId="0" applyFont="1" applyBorder="1" applyAlignment="1">
      <alignment horizontal="center" vertical="center"/>
    </xf>
    <xf numFmtId="2" fontId="19" fillId="0" borderId="3" xfId="0" applyNumberFormat="1" applyFont="1" applyBorder="1"/>
    <xf numFmtId="164" fontId="18" fillId="2" borderId="3" xfId="1" applyFont="1" applyFill="1" applyBorder="1"/>
    <xf numFmtId="164" fontId="18" fillId="2" borderId="3" xfId="10" applyFont="1" applyFill="1" applyBorder="1"/>
    <xf numFmtId="0" fontId="18" fillId="2" borderId="3" xfId="0" applyFont="1" applyFill="1" applyBorder="1" applyAlignment="1">
      <alignment horizontal="center" vertical="center"/>
    </xf>
    <xf numFmtId="4" fontId="19" fillId="0" borderId="3" xfId="0" applyNumberFormat="1" applyFont="1" applyBorder="1"/>
    <xf numFmtId="4" fontId="16" fillId="0" borderId="3" xfId="0" applyNumberFormat="1" applyFont="1" applyBorder="1"/>
    <xf numFmtId="4" fontId="18" fillId="2" borderId="3" xfId="0" applyNumberFormat="1" applyFont="1" applyFill="1" applyBorder="1" applyAlignment="1">
      <alignment horizontal="right"/>
    </xf>
    <xf numFmtId="0" fontId="16" fillId="0" borderId="3" xfId="0" applyFont="1" applyBorder="1"/>
    <xf numFmtId="0" fontId="16" fillId="2" borderId="3" xfId="0" applyFont="1" applyFill="1" applyBorder="1"/>
    <xf numFmtId="0" fontId="15" fillId="2" borderId="3" xfId="0" applyFont="1" applyFill="1" applyBorder="1" applyAlignment="1">
      <alignment horizontal="right"/>
    </xf>
    <xf numFmtId="164" fontId="15" fillId="2" borderId="3" xfId="1" applyFont="1" applyFill="1" applyBorder="1" applyAlignment="1">
      <alignment horizontal="right" vertical="top" wrapText="1"/>
    </xf>
    <xf numFmtId="10" fontId="21" fillId="7" borderId="3" xfId="2" applyNumberFormat="1" applyFont="1" applyFill="1" applyBorder="1" applyAlignment="1">
      <alignment horizontal="center" vertical="top" wrapText="1"/>
    </xf>
    <xf numFmtId="10" fontId="18" fillId="2" borderId="3" xfId="2" applyNumberFormat="1" applyFont="1" applyFill="1" applyBorder="1" applyAlignment="1">
      <alignment horizontal="center" vertical="top" wrapText="1"/>
    </xf>
    <xf numFmtId="4" fontId="18" fillId="2" borderId="3" xfId="1" applyNumberFormat="1" applyFont="1" applyFill="1" applyBorder="1" applyAlignment="1">
      <alignment vertical="top" wrapText="1"/>
    </xf>
    <xf numFmtId="164" fontId="15" fillId="9" borderId="3" xfId="1" applyFont="1" applyFill="1" applyBorder="1" applyAlignment="1">
      <alignment horizontal="center"/>
    </xf>
    <xf numFmtId="10" fontId="18" fillId="9" borderId="3" xfId="2" applyNumberFormat="1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 wrapText="1"/>
    </xf>
    <xf numFmtId="0" fontId="18" fillId="0" borderId="3" xfId="0" applyFont="1" applyBorder="1" applyAlignment="1">
      <alignment horizontal="center"/>
    </xf>
    <xf numFmtId="164" fontId="18" fillId="2" borderId="3" xfId="10" applyFont="1" applyFill="1" applyBorder="1" applyAlignment="1">
      <alignment horizontal="right"/>
    </xf>
    <xf numFmtId="10" fontId="18" fillId="3" borderId="3" xfId="1" applyNumberFormat="1" applyFont="1" applyFill="1" applyBorder="1" applyAlignment="1">
      <alignment horizontal="center" vertical="top" wrapText="1"/>
    </xf>
    <xf numFmtId="4" fontId="18" fillId="2" borderId="3" xfId="1" applyNumberFormat="1" applyFont="1" applyFill="1" applyBorder="1" applyAlignment="1">
      <alignment horizontal="right"/>
    </xf>
    <xf numFmtId="164" fontId="18" fillId="2" borderId="3" xfId="10" applyFont="1" applyFill="1" applyBorder="1" applyAlignment="1">
      <alignment horizontal="right" wrapText="1"/>
    </xf>
    <xf numFmtId="164" fontId="18" fillId="9" borderId="3" xfId="1" applyFont="1" applyFill="1" applyBorder="1" applyAlignment="1">
      <alignment horizontal="center" wrapText="1"/>
    </xf>
    <xf numFmtId="10" fontId="18" fillId="9" borderId="3" xfId="2" applyNumberFormat="1" applyFont="1" applyFill="1" applyBorder="1" applyAlignment="1">
      <alignment horizontal="center" wrapText="1"/>
    </xf>
    <xf numFmtId="164" fontId="18" fillId="2" borderId="3" xfId="1" applyFont="1" applyFill="1" applyBorder="1" applyAlignment="1">
      <alignment horizontal="right"/>
    </xf>
    <xf numFmtId="10" fontId="18" fillId="7" borderId="3" xfId="2" applyNumberFormat="1" applyFont="1" applyFill="1" applyBorder="1" applyAlignment="1">
      <alignment horizontal="center" wrapText="1"/>
    </xf>
    <xf numFmtId="4" fontId="18" fillId="2" borderId="3" xfId="44" applyNumberFormat="1" applyFont="1" applyFill="1" applyBorder="1" applyAlignment="1">
      <alignment wrapText="1"/>
    </xf>
    <xf numFmtId="164" fontId="15" fillId="2" borderId="3" xfId="1" applyFont="1" applyFill="1" applyBorder="1" applyAlignment="1">
      <alignment horizontal="right"/>
    </xf>
    <xf numFmtId="10" fontId="18" fillId="9" borderId="3" xfId="1" applyNumberFormat="1" applyFont="1" applyFill="1" applyBorder="1" applyAlignment="1">
      <alignment horizontal="center"/>
    </xf>
    <xf numFmtId="2" fontId="18" fillId="2" borderId="3" xfId="0" applyNumberFormat="1" applyFont="1" applyFill="1" applyBorder="1"/>
    <xf numFmtId="164" fontId="18" fillId="2" borderId="3" xfId="10" applyFont="1" applyFill="1" applyBorder="1" applyAlignment="1">
      <alignment wrapText="1"/>
    </xf>
    <xf numFmtId="0" fontId="18" fillId="2" borderId="3" xfId="0" applyFont="1" applyFill="1" applyBorder="1" applyAlignment="1">
      <alignment horizontal="left" wrapText="1"/>
    </xf>
    <xf numFmtId="2" fontId="16" fillId="2" borderId="3" xfId="0" applyNumberFormat="1" applyFont="1" applyFill="1" applyBorder="1"/>
    <xf numFmtId="164" fontId="18" fillId="11" borderId="3" xfId="1" applyFont="1" applyFill="1" applyBorder="1" applyAlignment="1">
      <alignment horizontal="center"/>
    </xf>
    <xf numFmtId="10" fontId="18" fillId="11" borderId="3" xfId="2" applyNumberFormat="1" applyFont="1" applyFill="1" applyBorder="1" applyAlignment="1">
      <alignment horizontal="center"/>
    </xf>
    <xf numFmtId="0" fontId="23" fillId="12" borderId="3" xfId="0" applyFont="1" applyFill="1" applyBorder="1" applyAlignment="1">
      <alignment horizontal="center"/>
    </xf>
    <xf numFmtId="164" fontId="19" fillId="0" borderId="3" xfId="1" applyFont="1" applyBorder="1"/>
    <xf numFmtId="49" fontId="18" fillId="2" borderId="3" xfId="0" applyNumberFormat="1" applyFont="1" applyFill="1" applyBorder="1" applyAlignment="1">
      <alignment wrapText="1"/>
    </xf>
    <xf numFmtId="0" fontId="18" fillId="0" borderId="3" xfId="0" applyFont="1" applyBorder="1"/>
    <xf numFmtId="0" fontId="15" fillId="0" borderId="3" xfId="0" applyFont="1" applyBorder="1" applyAlignment="1">
      <alignment horizontal="right"/>
    </xf>
    <xf numFmtId="4" fontId="18" fillId="9" borderId="3" xfId="1" applyNumberFormat="1" applyFont="1" applyFill="1" applyBorder="1" applyAlignment="1">
      <alignment horizontal="center"/>
    </xf>
    <xf numFmtId="0" fontId="25" fillId="8" borderId="3" xfId="0" applyFont="1" applyFill="1" applyBorder="1" applyAlignment="1">
      <alignment horizontal="center"/>
    </xf>
    <xf numFmtId="4" fontId="26" fillId="0" borderId="3" xfId="0" applyNumberFormat="1" applyFont="1" applyBorder="1"/>
    <xf numFmtId="0" fontId="20" fillId="2" borderId="3" xfId="0" applyFont="1" applyFill="1" applyBorder="1"/>
    <xf numFmtId="4" fontId="18" fillId="2" borderId="3" xfId="1" applyNumberFormat="1" applyFont="1" applyFill="1" applyBorder="1" applyAlignment="1">
      <alignment horizontal="right" vertical="top" wrapText="1"/>
    </xf>
    <xf numFmtId="4" fontId="18" fillId="9" borderId="3" xfId="1" applyNumberFormat="1" applyFont="1" applyFill="1" applyBorder="1" applyAlignment="1">
      <alignment horizontal="center" vertical="top" wrapText="1"/>
    </xf>
    <xf numFmtId="0" fontId="18" fillId="2" borderId="3" xfId="0" applyFont="1" applyFill="1" applyBorder="1" applyAlignment="1">
      <alignment horizontal="center"/>
    </xf>
    <xf numFmtId="164" fontId="15" fillId="2" borderId="3" xfId="1" applyFont="1" applyFill="1" applyBorder="1"/>
    <xf numFmtId="43" fontId="18" fillId="2" borderId="3" xfId="0" applyNumberFormat="1" applyFont="1" applyFill="1" applyBorder="1"/>
    <xf numFmtId="43" fontId="18" fillId="9" borderId="3" xfId="0" applyNumberFormat="1" applyFont="1" applyFill="1" applyBorder="1" applyAlignment="1">
      <alignment horizontal="center"/>
    </xf>
    <xf numFmtId="4" fontId="18" fillId="2" borderId="3" xfId="0" applyNumberFormat="1" applyFont="1" applyFill="1" applyBorder="1" applyAlignment="1">
      <alignment horizontal="right" wrapText="1"/>
    </xf>
    <xf numFmtId="4" fontId="18" fillId="2" borderId="3" xfId="10" applyNumberFormat="1" applyFont="1" applyFill="1" applyBorder="1" applyAlignment="1">
      <alignment horizontal="right"/>
    </xf>
    <xf numFmtId="0" fontId="6" fillId="8" borderId="3" xfId="0" applyFont="1" applyFill="1" applyBorder="1" applyAlignment="1">
      <alignment horizontal="center"/>
    </xf>
    <xf numFmtId="0" fontId="25" fillId="13" borderId="3" xfId="0" applyFont="1" applyFill="1" applyBorder="1" applyAlignment="1">
      <alignment horizontal="center" wrapText="1"/>
    </xf>
    <xf numFmtId="4" fontId="18" fillId="2" borderId="3" xfId="10" applyNumberFormat="1" applyFont="1" applyFill="1" applyBorder="1" applyAlignment="1">
      <alignment horizontal="right" wrapText="1"/>
    </xf>
    <xf numFmtId="4" fontId="18" fillId="0" borderId="3" xfId="0" applyNumberFormat="1" applyFont="1" applyBorder="1" applyAlignment="1">
      <alignment wrapText="1"/>
    </xf>
    <xf numFmtId="4" fontId="15" fillId="9" borderId="3" xfId="1" applyNumberFormat="1" applyFont="1" applyFill="1" applyBorder="1" applyAlignment="1">
      <alignment horizontal="right" vertical="top" wrapText="1"/>
    </xf>
    <xf numFmtId="0" fontId="18" fillId="14" borderId="3" xfId="0" applyFont="1" applyFill="1" applyBorder="1" applyAlignment="1">
      <alignment horizontal="right" vertical="center"/>
    </xf>
    <xf numFmtId="0" fontId="15" fillId="14" borderId="3" xfId="0" applyFont="1" applyFill="1" applyBorder="1" applyAlignment="1">
      <alignment horizontal="right" vertical="center"/>
    </xf>
    <xf numFmtId="164" fontId="15" fillId="14" borderId="3" xfId="1" applyFont="1" applyFill="1" applyBorder="1" applyAlignment="1">
      <alignment horizontal="right" vertical="center" wrapText="1"/>
    </xf>
    <xf numFmtId="10" fontId="18" fillId="14" borderId="3" xfId="1" applyNumberFormat="1" applyFont="1" applyFill="1" applyBorder="1" applyAlignment="1">
      <alignment horizontal="right" vertical="center" wrapText="1"/>
    </xf>
    <xf numFmtId="4" fontId="18" fillId="14" borderId="3" xfId="1" applyNumberFormat="1" applyFont="1" applyFill="1" applyBorder="1" applyAlignment="1">
      <alignment horizontal="right" vertical="center" wrapText="1"/>
    </xf>
    <xf numFmtId="9" fontId="18" fillId="14" borderId="3" xfId="2" applyFont="1" applyFill="1" applyBorder="1" applyAlignment="1">
      <alignment horizontal="center" vertical="center" wrapText="1"/>
    </xf>
    <xf numFmtId="4" fontId="18" fillId="14" borderId="3" xfId="1" applyNumberFormat="1" applyFont="1" applyFill="1" applyBorder="1" applyAlignment="1">
      <alignment horizontal="center" vertical="center" wrapText="1"/>
    </xf>
    <xf numFmtId="10" fontId="16" fillId="14" borderId="3" xfId="2" applyNumberFormat="1" applyFont="1" applyFill="1" applyBorder="1" applyAlignment="1">
      <alignment horizontal="center" vertical="top" wrapText="1"/>
    </xf>
    <xf numFmtId="164" fontId="15" fillId="14" borderId="3" xfId="1" applyFont="1" applyFill="1" applyBorder="1" applyAlignment="1">
      <alignment horizontal="right" vertical="top" wrapText="1"/>
    </xf>
    <xf numFmtId="0" fontId="18" fillId="2" borderId="3" xfId="0" applyFont="1" applyFill="1" applyBorder="1" applyAlignment="1">
      <alignment horizontal="center" wrapText="1"/>
    </xf>
    <xf numFmtId="4" fontId="18" fillId="2" borderId="3" xfId="10" applyNumberFormat="1" applyFont="1" applyFill="1" applyBorder="1" applyAlignment="1">
      <alignment horizontal="right" vertical="top" wrapText="1"/>
    </xf>
    <xf numFmtId="164" fontId="28" fillId="14" borderId="3" xfId="1" applyFont="1" applyFill="1" applyBorder="1" applyAlignment="1">
      <alignment horizontal="right" vertical="top" wrapText="1"/>
    </xf>
    <xf numFmtId="4" fontId="18" fillId="14" borderId="3" xfId="1" applyNumberFormat="1" applyFont="1" applyFill="1" applyBorder="1" applyAlignment="1">
      <alignment horizontal="right" vertical="top" wrapText="1"/>
    </xf>
    <xf numFmtId="4" fontId="18" fillId="14" borderId="3" xfId="1" applyNumberFormat="1" applyFont="1" applyFill="1" applyBorder="1" applyAlignment="1">
      <alignment horizontal="center" vertical="top" wrapText="1"/>
    </xf>
    <xf numFmtId="167" fontId="16" fillId="14" borderId="3" xfId="2" applyNumberFormat="1" applyFont="1" applyFill="1" applyBorder="1" applyAlignment="1">
      <alignment horizontal="center" vertical="top" wrapText="1"/>
    </xf>
    <xf numFmtId="10" fontId="16" fillId="14" borderId="3" xfId="1" applyNumberFormat="1" applyFont="1" applyFill="1" applyBorder="1" applyAlignment="1">
      <alignment horizontal="center" vertical="top" wrapText="1"/>
    </xf>
    <xf numFmtId="0" fontId="16" fillId="2" borderId="3" xfId="0" applyFont="1" applyFill="1" applyBorder="1" applyAlignment="1">
      <alignment horizontal="center"/>
    </xf>
    <xf numFmtId="164" fontId="18" fillId="2" borderId="3" xfId="10" applyFont="1" applyFill="1" applyBorder="1" applyAlignment="1">
      <alignment horizontal="right" vertical="top" wrapText="1"/>
    </xf>
    <xf numFmtId="10" fontId="18" fillId="7" borderId="3" xfId="2" applyNumberFormat="1" applyFont="1" applyFill="1" applyBorder="1" applyAlignment="1">
      <alignment horizontal="center" vertical="top" wrapText="1"/>
    </xf>
    <xf numFmtId="164" fontId="18" fillId="9" borderId="3" xfId="1" applyFont="1" applyFill="1" applyBorder="1" applyAlignment="1">
      <alignment horizontal="center" vertical="top" wrapText="1"/>
    </xf>
    <xf numFmtId="164" fontId="18" fillId="2" borderId="3" xfId="1" applyFont="1" applyFill="1" applyBorder="1" applyAlignment="1">
      <alignment horizontal="right" vertical="top" wrapText="1"/>
    </xf>
    <xf numFmtId="0" fontId="18" fillId="14" borderId="3" xfId="0" applyFont="1" applyFill="1" applyBorder="1" applyAlignment="1">
      <alignment horizontal="right"/>
    </xf>
    <xf numFmtId="0" fontId="15" fillId="14" borderId="3" xfId="0" applyFont="1" applyFill="1" applyBorder="1" applyAlignment="1">
      <alignment horizontal="right"/>
    </xf>
    <xf numFmtId="0" fontId="18" fillId="15" borderId="3" xfId="0" applyFont="1" applyFill="1" applyBorder="1" applyAlignment="1">
      <alignment horizontal="right" vertical="top" wrapText="1"/>
    </xf>
    <xf numFmtId="0" fontId="25" fillId="15" borderId="3" xfId="0" applyFont="1" applyFill="1" applyBorder="1" applyAlignment="1">
      <alignment horizontal="right" vertical="top" wrapText="1"/>
    </xf>
    <xf numFmtId="164" fontId="25" fillId="15" borderId="3" xfId="1" applyFont="1" applyFill="1" applyBorder="1" applyAlignment="1">
      <alignment horizontal="right" vertical="top" wrapText="1"/>
    </xf>
    <xf numFmtId="164" fontId="10" fillId="15" borderId="3" xfId="1" applyFont="1" applyFill="1" applyBorder="1" applyAlignment="1">
      <alignment horizontal="right" vertical="top" wrapText="1"/>
    </xf>
    <xf numFmtId="4" fontId="10" fillId="15" borderId="3" xfId="0" applyNumberFormat="1" applyFont="1" applyFill="1" applyBorder="1" applyAlignment="1">
      <alignment horizontal="right"/>
    </xf>
    <xf numFmtId="9" fontId="10" fillId="15" borderId="3" xfId="2" applyFont="1" applyFill="1" applyBorder="1" applyAlignment="1">
      <alignment horizontal="center"/>
    </xf>
    <xf numFmtId="4" fontId="10" fillId="15" borderId="3" xfId="0" applyNumberFormat="1" applyFont="1" applyFill="1" applyBorder="1" applyAlignment="1">
      <alignment horizontal="center"/>
    </xf>
    <xf numFmtId="10" fontId="10" fillId="15" borderId="3" xfId="2" applyNumberFormat="1" applyFont="1" applyFill="1" applyBorder="1" applyAlignment="1">
      <alignment horizontal="center" vertical="top" wrapText="1"/>
    </xf>
    <xf numFmtId="167" fontId="10" fillId="15" borderId="3" xfId="2" applyNumberFormat="1" applyFont="1" applyFill="1" applyBorder="1" applyAlignment="1">
      <alignment horizontal="center" vertical="top" wrapText="1"/>
    </xf>
    <xf numFmtId="167" fontId="18" fillId="15" borderId="3" xfId="2" applyNumberFormat="1" applyFont="1" applyFill="1" applyBorder="1" applyAlignment="1">
      <alignment horizontal="center" vertical="top" wrapText="1"/>
    </xf>
    <xf numFmtId="0" fontId="29" fillId="5" borderId="3" xfId="0" applyFont="1" applyFill="1" applyBorder="1" applyAlignment="1">
      <alignment horizontal="right" vertical="center"/>
    </xf>
    <xf numFmtId="0" fontId="29" fillId="5" borderId="3" xfId="0" applyFont="1" applyFill="1" applyBorder="1" applyAlignment="1">
      <alignment horizontal="left" vertical="center"/>
    </xf>
    <xf numFmtId="0" fontId="9" fillId="5" borderId="3" xfId="0" applyFont="1" applyFill="1" applyBorder="1"/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April 17, 2026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Comparison'!$B$3:$B$11</c:f>
              <c:numCache>
                <c:formatCode>#,##0.00</c:formatCode>
                <c:ptCount val="9"/>
                <c:pt idx="0">
                  <c:v>198.1022539740199</c:v>
                </c:pt>
                <c:pt idx="1">
                  <c:v>5663.6463496105916</c:v>
                </c:pt>
                <c:pt idx="2">
                  <c:v>237.15404274345843</c:v>
                </c:pt>
                <c:pt idx="3">
                  <c:v>1809.9686364740674</c:v>
                </c:pt>
                <c:pt idx="4">
                  <c:v>505.0606137544417</c:v>
                </c:pt>
                <c:pt idx="5" formatCode="_-* #,##0.00_-;\-* #,##0.00_-;_-* &quot;-&quot;??_-;_-@_-">
                  <c:v>130.92364111656394</c:v>
                </c:pt>
                <c:pt idx="6">
                  <c:v>16.71368421259</c:v>
                </c:pt>
                <c:pt idx="7">
                  <c:v>120.56530523860492</c:v>
                </c:pt>
                <c:pt idx="8">
                  <c:v>31.487849239809496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April 24, 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Comparison'!$A$3:$A$11</c:f>
              <c:strCache>
                <c:ptCount val="9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  <c:pt idx="8">
                  <c:v>SPECIALISED FUNDS</c:v>
                </c:pt>
              </c:strCache>
            </c:strRef>
          </c:cat>
          <c:val>
            <c:numRef>
              <c:f>'NAV Comparison'!$C$3:$C$11</c:f>
              <c:numCache>
                <c:formatCode>#,##0.00</c:formatCode>
                <c:ptCount val="9"/>
                <c:pt idx="0">
                  <c:v>216.34030366850018</c:v>
                </c:pt>
                <c:pt idx="1">
                  <c:v>5684.6814589689548</c:v>
                </c:pt>
                <c:pt idx="2">
                  <c:v>235.70647222829081</c:v>
                </c:pt>
                <c:pt idx="3">
                  <c:v>1845.5139378006818</c:v>
                </c:pt>
                <c:pt idx="4">
                  <c:v>505.63789731583006</c:v>
                </c:pt>
                <c:pt idx="5" formatCode="_-* #,##0.00_-;\-* #,##0.00_-;_-* &quot;-&quot;??_-;_-@_-">
                  <c:v>137.04628263608222</c:v>
                </c:pt>
                <c:pt idx="6">
                  <c:v>18.040731810320001</c:v>
                </c:pt>
                <c:pt idx="7">
                  <c:v>125.94507915049832</c:v>
                </c:pt>
                <c:pt idx="8">
                  <c:v>31.632969925556733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49674040"/>
        <c:axId val="247901216"/>
      </c:barChart>
      <c:catAx>
        <c:axId val="249674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7901216"/>
        <c:crosses val="autoZero"/>
        <c:auto val="1"/>
        <c:lblAlgn val="ctr"/>
        <c:lblOffset val="100"/>
        <c:noMultiLvlLbl val="0"/>
      </c:catAx>
      <c:valAx>
        <c:axId val="24790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49674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24TH APRIL, 2026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601704825299632"/>
          <c:y val="1.8702749868806576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24-Apr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1.9911338166239988E-2"/>
                  <c:y val="-0.1152061035006779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2519178075328871"/>
                  <c:y val="-0.1538166011610618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48281673819053"/>
                  <c:y val="7.524831088468098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0.11257938354094861"/>
                  <c:y val="8.3652377060830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dLbl>
              <c:idx val="8"/>
              <c:layout>
                <c:manualLayout>
                  <c:x val="-0.21830311802119767"/>
                  <c:y val="-0.199591660471421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EC2C-451A-80BF-6519EFFE5B2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Share'!$A$2:$A$10</c:f>
              <c:strCache>
                <c:ptCount val="9"/>
                <c:pt idx="0">
                  <c:v>ETHICAL FUNDS</c:v>
                </c:pt>
                <c:pt idx="1">
                  <c:v>SPECIALISED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EQUITY BASED FUNDS</c:v>
                </c:pt>
                <c:pt idx="5">
                  <c:v>BONDS/FIXED INCOME FUNDS</c:v>
                </c:pt>
                <c:pt idx="6">
                  <c:v>REAL ESTATE INVESTMENT TRUST</c:v>
                </c:pt>
                <c:pt idx="7">
                  <c:v>DOLLAR FUNDS</c:v>
                </c:pt>
                <c:pt idx="8">
                  <c:v>MONEY MARKET FUNDS</c:v>
                </c:pt>
              </c:strCache>
            </c:strRef>
          </c:cat>
          <c:val>
            <c:numRef>
              <c:f>'Market Share'!$B$2:$B$10</c:f>
              <c:numCache>
                <c:formatCode>#,##0.00</c:formatCode>
                <c:ptCount val="9"/>
                <c:pt idx="0">
                  <c:v>18040731810.32</c:v>
                </c:pt>
                <c:pt idx="1">
                  <c:v>31632969925.556732</c:v>
                </c:pt>
                <c:pt idx="2">
                  <c:v>125945079150.49832</c:v>
                </c:pt>
                <c:pt idx="3" formatCode="_-* #,##0.00_-;\-* #,##0.00_-;_-* &quot;-&quot;??_-;_-@_-">
                  <c:v>137046282636.08223</c:v>
                </c:pt>
                <c:pt idx="4">
                  <c:v>216340303668.50018</c:v>
                </c:pt>
                <c:pt idx="5">
                  <c:v>235706472228.2908</c:v>
                </c:pt>
                <c:pt idx="6">
                  <c:v>505637897315.83008</c:v>
                </c:pt>
                <c:pt idx="7">
                  <c:v>1845513937800.6819</c:v>
                </c:pt>
                <c:pt idx="8">
                  <c:v>5684681458968.9551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46087</c:v>
                </c:pt>
                <c:pt idx="1">
                  <c:v>46094</c:v>
                </c:pt>
                <c:pt idx="2">
                  <c:v>46099</c:v>
                </c:pt>
                <c:pt idx="3">
                  <c:v>46108</c:v>
                </c:pt>
                <c:pt idx="4">
                  <c:v>46114</c:v>
                </c:pt>
                <c:pt idx="5">
                  <c:v>46122</c:v>
                </c:pt>
                <c:pt idx="6">
                  <c:v>46129</c:v>
                </c:pt>
                <c:pt idx="7">
                  <c:v>46136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8344.3102028916874</c:v>
                </c:pt>
                <c:pt idx="1">
                  <c:v>8362.1373987365132</c:v>
                </c:pt>
                <c:pt idx="2">
                  <c:v>8418.7881429582667</c:v>
                </c:pt>
                <c:pt idx="3">
                  <c:v>8440.5567676688224</c:v>
                </c:pt>
                <c:pt idx="4">
                  <c:v>8593.7769156229697</c:v>
                </c:pt>
                <c:pt idx="5">
                  <c:v>8623.4476305652915</c:v>
                </c:pt>
                <c:pt idx="6">
                  <c:v>8713.6223763641447</c:v>
                </c:pt>
                <c:pt idx="7">
                  <c:v>8800.5451335047146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33184488"/>
        <c:axId val="333180176"/>
      </c:lineChart>
      <c:dateAx>
        <c:axId val="33318448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0176"/>
        <c:crosses val="autoZero"/>
        <c:auto val="1"/>
        <c:lblOffset val="100"/>
        <c:baseTimeUnit val="days"/>
      </c:dateAx>
      <c:valAx>
        <c:axId val="333180176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4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46087</c:v>
                </c:pt>
                <c:pt idx="1">
                  <c:v>46094</c:v>
                </c:pt>
                <c:pt idx="2">
                  <c:v>46099</c:v>
                </c:pt>
                <c:pt idx="3">
                  <c:v>46108</c:v>
                </c:pt>
                <c:pt idx="4">
                  <c:v>46114</c:v>
                </c:pt>
                <c:pt idx="5">
                  <c:v>46122</c:v>
                </c:pt>
                <c:pt idx="6">
                  <c:v>46129</c:v>
                </c:pt>
                <c:pt idx="7">
                  <c:v>46136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23.933072983509998</c:v>
                </c:pt>
                <c:pt idx="1">
                  <c:v>24.024073678480001</c:v>
                </c:pt>
                <c:pt idx="2">
                  <c:v>24.06611184246</c:v>
                </c:pt>
                <c:pt idx="3">
                  <c:v>24.226803601379999</c:v>
                </c:pt>
                <c:pt idx="4">
                  <c:v>24.882508960419997</c:v>
                </c:pt>
                <c:pt idx="5">
                  <c:v>25.247393537559997</c:v>
                </c:pt>
                <c:pt idx="6">
                  <c:v>27.644948093229999</c:v>
                </c:pt>
                <c:pt idx="7">
                  <c:v>28.90522929934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33182528"/>
        <c:axId val="333181744"/>
      </c:lineChart>
      <c:dateAx>
        <c:axId val="333182528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1744"/>
        <c:crosses val="autoZero"/>
        <c:auto val="1"/>
        <c:lblOffset val="100"/>
        <c:baseTimeUnit val="days"/>
      </c:dateAx>
      <c:valAx>
        <c:axId val="3331817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82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71717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75"/>
  <sheetViews>
    <sheetView tabSelected="1" zoomScale="120" zoomScaleNormal="120" workbookViewId="0">
      <pane ySplit="3" topLeftCell="A4" activePane="bottomLeft" state="frozen"/>
      <selection activeCell="K15" sqref="K15"/>
      <selection pane="bottomLeft" activeCell="A4" sqref="A4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11.44140625" customWidth="1"/>
    <col min="11" max="11" width="20.5546875" customWidth="1"/>
    <col min="13" max="14" width="10.109375" customWidth="1"/>
    <col min="15" max="15" width="11.6640625" customWidth="1"/>
    <col min="16" max="16" width="8.33203125" customWidth="1"/>
    <col min="17" max="17" width="9.109375" customWidth="1"/>
    <col min="20" max="20" width="9.33203125" customWidth="1"/>
    <col min="23" max="23" width="9.88671875" bestFit="1" customWidth="1"/>
    <col min="24" max="24" width="9.5546875" customWidth="1"/>
    <col min="25" max="25" width="11.33203125" customWidth="1"/>
    <col min="26" max="27" width="17.33203125" customWidth="1"/>
  </cols>
  <sheetData>
    <row r="1" spans="1:26" ht="27">
      <c r="A1" s="85" t="s">
        <v>341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</row>
    <row r="2" spans="1:26" ht="14.4" customHeight="1">
      <c r="A2" s="86"/>
      <c r="B2" s="87"/>
      <c r="C2" s="88"/>
      <c r="D2" s="89" t="s">
        <v>339</v>
      </c>
      <c r="E2" s="89"/>
      <c r="F2" s="89"/>
      <c r="G2" s="89"/>
      <c r="H2" s="89"/>
      <c r="I2" s="89"/>
      <c r="J2" s="89"/>
      <c r="K2" s="89" t="s">
        <v>342</v>
      </c>
      <c r="L2" s="89"/>
      <c r="M2" s="89"/>
      <c r="N2" s="89"/>
      <c r="O2" s="89"/>
      <c r="P2" s="89"/>
      <c r="Q2" s="89"/>
      <c r="R2" s="89" t="s">
        <v>0</v>
      </c>
      <c r="S2" s="89"/>
      <c r="T2" s="89"/>
      <c r="U2" s="89" t="s">
        <v>1</v>
      </c>
      <c r="V2" s="89"/>
      <c r="X2" s="52"/>
    </row>
    <row r="3" spans="1:26" ht="20.399999999999999">
      <c r="A3" s="90" t="s">
        <v>2</v>
      </c>
      <c r="B3" s="91" t="s">
        <v>3</v>
      </c>
      <c r="C3" s="92" t="s">
        <v>4</v>
      </c>
      <c r="D3" s="93" t="s">
        <v>5</v>
      </c>
      <c r="E3" s="94" t="s">
        <v>6</v>
      </c>
      <c r="F3" s="94" t="s">
        <v>11</v>
      </c>
      <c r="G3" s="94" t="s">
        <v>7</v>
      </c>
      <c r="H3" s="94" t="s">
        <v>8</v>
      </c>
      <c r="I3" s="94" t="s">
        <v>9</v>
      </c>
      <c r="J3" s="94" t="s">
        <v>10</v>
      </c>
      <c r="K3" s="95" t="s">
        <v>5</v>
      </c>
      <c r="L3" s="94" t="s">
        <v>6</v>
      </c>
      <c r="M3" s="94" t="s">
        <v>11</v>
      </c>
      <c r="N3" s="94" t="s">
        <v>7</v>
      </c>
      <c r="O3" s="94" t="s">
        <v>8</v>
      </c>
      <c r="P3" s="94" t="s">
        <v>9</v>
      </c>
      <c r="Q3" s="94" t="s">
        <v>10</v>
      </c>
      <c r="R3" s="93" t="s">
        <v>12</v>
      </c>
      <c r="S3" s="94" t="s">
        <v>13</v>
      </c>
      <c r="T3" s="94" t="s">
        <v>14</v>
      </c>
      <c r="U3" s="94" t="s">
        <v>15</v>
      </c>
      <c r="V3" s="94" t="s">
        <v>16</v>
      </c>
      <c r="X3" s="54"/>
      <c r="Z3" s="52"/>
    </row>
    <row r="4" spans="1:26" ht="5.25" customHeight="1">
      <c r="A4" s="96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</row>
    <row r="5" spans="1:26" ht="15" customHeight="1">
      <c r="A5" s="98" t="s">
        <v>17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</row>
    <row r="6" spans="1:26">
      <c r="A6" s="99">
        <v>1</v>
      </c>
      <c r="B6" s="100" t="s">
        <v>18</v>
      </c>
      <c r="C6" s="101" t="s">
        <v>19</v>
      </c>
      <c r="D6" s="102">
        <v>11148977402.26</v>
      </c>
      <c r="E6" s="103">
        <f t="shared" ref="E6:E24" si="0">(D6/$D$26)</f>
        <v>5.6278902327492608E-2</v>
      </c>
      <c r="F6" s="102">
        <v>843.9828</v>
      </c>
      <c r="G6" s="102">
        <v>847.78959999999995</v>
      </c>
      <c r="H6" s="104">
        <v>1705</v>
      </c>
      <c r="I6" s="105">
        <v>5.2200000000000003E-2</v>
      </c>
      <c r="J6" s="105">
        <v>0.36359999999999998</v>
      </c>
      <c r="K6" s="102">
        <v>12108751302.73</v>
      </c>
      <c r="L6" s="103">
        <f t="shared" ref="L6:L25" si="1">(K6/$K$26)</f>
        <v>5.5970852852662754E-2</v>
      </c>
      <c r="M6" s="102">
        <v>882.19269999999995</v>
      </c>
      <c r="N6" s="102">
        <v>886.18230000000005</v>
      </c>
      <c r="O6" s="104">
        <v>1705</v>
      </c>
      <c r="P6" s="105">
        <v>4.53E-2</v>
      </c>
      <c r="Q6" s="105">
        <v>0.42530000000000001</v>
      </c>
      <c r="R6" s="106">
        <f>((K6-D6)/D6)</f>
        <v>8.6086271936962069E-2</v>
      </c>
      <c r="S6" s="106">
        <f>((N6-G6)/G6)</f>
        <v>4.5285646344328953E-2</v>
      </c>
      <c r="T6" s="106">
        <f>((O6-H6)/H6)</f>
        <v>0</v>
      </c>
      <c r="U6" s="106">
        <f>P6-I6</f>
        <v>-6.9000000000000034E-3</v>
      </c>
      <c r="V6" s="107">
        <f>Q6-J6</f>
        <v>6.1700000000000033E-2</v>
      </c>
      <c r="W6" s="45"/>
    </row>
    <row r="7" spans="1:26">
      <c r="A7" s="99">
        <v>2</v>
      </c>
      <c r="B7" s="100" t="s">
        <v>20</v>
      </c>
      <c r="C7" s="101" t="s">
        <v>21</v>
      </c>
      <c r="D7" s="108">
        <v>1883634998.9300001</v>
      </c>
      <c r="E7" s="109">
        <f t="shared" si="0"/>
        <v>9.5083976135729841E-3</v>
      </c>
      <c r="F7" s="108">
        <v>555.6721</v>
      </c>
      <c r="G7" s="108">
        <v>562.85220000000004</v>
      </c>
      <c r="H7" s="110">
        <v>751</v>
      </c>
      <c r="I7" s="111">
        <v>1.2541999999999999E-2</v>
      </c>
      <c r="J7" s="111">
        <v>0.35639999999999999</v>
      </c>
      <c r="K7" s="108">
        <v>2257683472.29</v>
      </c>
      <c r="L7" s="109">
        <f t="shared" si="1"/>
        <v>1.0435796908880487E-2</v>
      </c>
      <c r="M7" s="108">
        <v>583.05730000000005</v>
      </c>
      <c r="N7" s="108">
        <v>590.67129999999997</v>
      </c>
      <c r="O7" s="110">
        <v>755</v>
      </c>
      <c r="P7" s="111">
        <v>1.3514E-2</v>
      </c>
      <c r="Q7" s="111">
        <v>0.42330000000000001</v>
      </c>
      <c r="R7" s="112">
        <f t="shared" ref="R7:R26" si="2">((K7-D7)/D7)</f>
        <v>0.1985780013497723</v>
      </c>
      <c r="S7" s="112">
        <f t="shared" ref="S7:S26" si="3">((N7-G7)/G7)</f>
        <v>4.942523099314515E-2</v>
      </c>
      <c r="T7" s="112">
        <f t="shared" ref="T7:T26" si="4">((O7-H7)/H7)</f>
        <v>5.3262316910785623E-3</v>
      </c>
      <c r="U7" s="106">
        <f t="shared" ref="U7:U26" si="5">P7-I7</f>
        <v>9.7200000000000064E-4</v>
      </c>
      <c r="V7" s="107">
        <f t="shared" ref="V7:V26" si="6">Q7-J7</f>
        <v>6.6900000000000015E-2</v>
      </c>
      <c r="W7" s="56"/>
      <c r="X7" s="56"/>
    </row>
    <row r="8" spans="1:26">
      <c r="A8" s="113">
        <v>3</v>
      </c>
      <c r="B8" s="100" t="s">
        <v>22</v>
      </c>
      <c r="C8" s="101" t="s">
        <v>23</v>
      </c>
      <c r="D8" s="108">
        <v>15197163405.07</v>
      </c>
      <c r="E8" s="109">
        <f t="shared" si="0"/>
        <v>7.6713732934421991E-2</v>
      </c>
      <c r="F8" s="108">
        <v>71.467299999999994</v>
      </c>
      <c r="G8" s="114">
        <v>73.622100000000003</v>
      </c>
      <c r="H8" s="104">
        <v>10641</v>
      </c>
      <c r="I8" s="105">
        <v>4.4699999999999997E-2</v>
      </c>
      <c r="J8" s="105">
        <v>0.34939999999999999</v>
      </c>
      <c r="K8" s="108">
        <v>16340746334.790001</v>
      </c>
      <c r="L8" s="109">
        <f t="shared" si="1"/>
        <v>7.553260329997985E-2</v>
      </c>
      <c r="M8" s="108">
        <v>73.494600000000005</v>
      </c>
      <c r="N8" s="114">
        <v>75.710499999999996</v>
      </c>
      <c r="O8" s="104">
        <v>10858</v>
      </c>
      <c r="P8" s="105">
        <v>2.8366482347012553E-2</v>
      </c>
      <c r="Q8" s="105">
        <v>0.38764307511844648</v>
      </c>
      <c r="R8" s="112">
        <f t="shared" si="2"/>
        <v>7.5249762027200739E-2</v>
      </c>
      <c r="S8" s="112">
        <f t="shared" si="3"/>
        <v>2.8366482347012553E-2</v>
      </c>
      <c r="T8" s="112">
        <f t="shared" si="4"/>
        <v>2.0392820223663191E-2</v>
      </c>
      <c r="U8" s="106">
        <f t="shared" si="5"/>
        <v>-1.6333517652987444E-2</v>
      </c>
      <c r="V8" s="107">
        <f t="shared" si="6"/>
        <v>3.824307511844649E-2</v>
      </c>
      <c r="W8" s="41"/>
      <c r="X8" s="50"/>
      <c r="Y8" s="22"/>
      <c r="Z8" s="53"/>
    </row>
    <row r="9" spans="1:26">
      <c r="A9" s="99">
        <v>4</v>
      </c>
      <c r="B9" s="100" t="s">
        <v>24</v>
      </c>
      <c r="C9" s="101" t="s">
        <v>25</v>
      </c>
      <c r="D9" s="108">
        <v>2566694898.8499999</v>
      </c>
      <c r="E9" s="109">
        <f t="shared" si="0"/>
        <v>1.2956414414076323E-2</v>
      </c>
      <c r="F9" s="108">
        <v>337.78539999999998</v>
      </c>
      <c r="G9" s="108">
        <v>337.78539999999998</v>
      </c>
      <c r="H9" s="110">
        <v>2529</v>
      </c>
      <c r="I9" s="111">
        <v>4.6699999999999998E-2</v>
      </c>
      <c r="J9" s="111">
        <v>0.34970000000000001</v>
      </c>
      <c r="K9" s="108">
        <v>2948688184.0100002</v>
      </c>
      <c r="L9" s="109">
        <f t="shared" si="1"/>
        <v>1.3629860613158316E-2</v>
      </c>
      <c r="M9" s="108">
        <v>356.01729999999998</v>
      </c>
      <c r="N9" s="108">
        <v>356.01729999999998</v>
      </c>
      <c r="O9" s="110">
        <v>2566</v>
      </c>
      <c r="P9" s="111">
        <v>5.3999999999999999E-2</v>
      </c>
      <c r="Q9" s="111">
        <v>0.42259999999999998</v>
      </c>
      <c r="R9" s="112">
        <f t="shared" si="2"/>
        <v>0.14882691563035064</v>
      </c>
      <c r="S9" s="112">
        <f t="shared" si="3"/>
        <v>5.3974801752828858E-2</v>
      </c>
      <c r="T9" s="112">
        <f t="shared" si="4"/>
        <v>1.4630288651640965E-2</v>
      </c>
      <c r="U9" s="106">
        <f t="shared" si="5"/>
        <v>7.3000000000000009E-3</v>
      </c>
      <c r="V9" s="107">
        <f t="shared" si="6"/>
        <v>7.2899999999999965E-2</v>
      </c>
    </row>
    <row r="10" spans="1:26">
      <c r="A10" s="99">
        <v>5</v>
      </c>
      <c r="B10" s="100" t="s">
        <v>26</v>
      </c>
      <c r="C10" s="101" t="s">
        <v>27</v>
      </c>
      <c r="D10" s="108">
        <v>8119389018.21</v>
      </c>
      <c r="E10" s="109">
        <f t="shared" si="0"/>
        <v>4.0985848748973937E-2</v>
      </c>
      <c r="F10" s="108">
        <v>2.7484000000000002</v>
      </c>
      <c r="G10" s="108">
        <v>2.7854999999999999</v>
      </c>
      <c r="H10" s="110">
        <v>2007</v>
      </c>
      <c r="I10" s="111">
        <v>9.0300000000000005E-2</v>
      </c>
      <c r="J10" s="111">
        <v>0.48649999999999999</v>
      </c>
      <c r="K10" s="108">
        <v>10070226732.6</v>
      </c>
      <c r="L10" s="109">
        <f>(K10/$K$26)</f>
        <v>4.6548084484667643E-2</v>
      </c>
      <c r="M10" s="108">
        <v>2.8978000000000002</v>
      </c>
      <c r="N10" s="108">
        <v>2.9312</v>
      </c>
      <c r="O10" s="110">
        <v>2118</v>
      </c>
      <c r="P10" s="111">
        <v>5.33E-2</v>
      </c>
      <c r="Q10" s="111">
        <v>0.56579999999999997</v>
      </c>
      <c r="R10" s="112">
        <f t="shared" si="2"/>
        <v>0.24026902886592838</v>
      </c>
      <c r="S10" s="112">
        <f t="shared" si="3"/>
        <v>5.2306587686232336E-2</v>
      </c>
      <c r="T10" s="112">
        <f t="shared" si="4"/>
        <v>5.5306427503736919E-2</v>
      </c>
      <c r="U10" s="106">
        <f t="shared" si="5"/>
        <v>-3.7000000000000005E-2</v>
      </c>
      <c r="V10" s="107">
        <f t="shared" si="6"/>
        <v>7.9299999999999982E-2</v>
      </c>
    </row>
    <row r="11" spans="1:26">
      <c r="A11" s="99">
        <v>6</v>
      </c>
      <c r="B11" s="100" t="s">
        <v>28</v>
      </c>
      <c r="C11" s="101" t="s">
        <v>29</v>
      </c>
      <c r="D11" s="115">
        <v>631530281.70000005</v>
      </c>
      <c r="E11" s="109">
        <f t="shared" si="0"/>
        <v>3.187900536370586E-3</v>
      </c>
      <c r="F11" s="108">
        <v>308.46319999999997</v>
      </c>
      <c r="G11" s="108">
        <v>311.02710000000002</v>
      </c>
      <c r="H11" s="104">
        <v>176</v>
      </c>
      <c r="I11" s="105">
        <v>1.1270000000000001E-2</v>
      </c>
      <c r="J11" s="105">
        <v>0.44069999999999998</v>
      </c>
      <c r="K11" s="115">
        <v>676571338.11000001</v>
      </c>
      <c r="L11" s="109">
        <f t="shared" si="1"/>
        <v>3.127347639978888E-3</v>
      </c>
      <c r="M11" s="108">
        <v>320.09500000000003</v>
      </c>
      <c r="N11" s="108">
        <v>322.7901</v>
      </c>
      <c r="O11" s="104">
        <v>202</v>
      </c>
      <c r="P11" s="105">
        <v>7.437E-3</v>
      </c>
      <c r="Q11" s="105">
        <v>0.495</v>
      </c>
      <c r="R11" s="112">
        <f t="shared" si="2"/>
        <v>7.132050151064033E-2</v>
      </c>
      <c r="S11" s="112">
        <f t="shared" si="3"/>
        <v>3.7819855568855497E-2</v>
      </c>
      <c r="T11" s="112">
        <f t="shared" si="4"/>
        <v>0.14772727272727273</v>
      </c>
      <c r="U11" s="106">
        <f t="shared" si="5"/>
        <v>-3.8330000000000005E-3</v>
      </c>
      <c r="V11" s="107">
        <f t="shared" si="6"/>
        <v>5.4300000000000015E-2</v>
      </c>
    </row>
    <row r="12" spans="1:26">
      <c r="A12" s="99">
        <v>7</v>
      </c>
      <c r="B12" s="100" t="s">
        <v>30</v>
      </c>
      <c r="C12" s="101" t="s">
        <v>82</v>
      </c>
      <c r="D12" s="108">
        <v>5741991965.8999996</v>
      </c>
      <c r="E12" s="109">
        <f t="shared" si="0"/>
        <v>2.8984990582959409E-2</v>
      </c>
      <c r="F12" s="108">
        <v>599.4</v>
      </c>
      <c r="G12" s="108">
        <v>608.35</v>
      </c>
      <c r="H12" s="104">
        <v>2046</v>
      </c>
      <c r="I12" s="105">
        <v>5.6599999999999998E-2</v>
      </c>
      <c r="J12" s="105">
        <v>0.32219999999999999</v>
      </c>
      <c r="K12" s="108">
        <v>6030897176.8100004</v>
      </c>
      <c r="L12" s="109">
        <f t="shared" si="1"/>
        <v>2.7876900764876377E-2</v>
      </c>
      <c r="M12" s="108">
        <v>626.76</v>
      </c>
      <c r="N12" s="108">
        <v>636.42999999999995</v>
      </c>
      <c r="O12" s="104">
        <v>2061</v>
      </c>
      <c r="P12" s="105">
        <v>4.5900000000000003E-2</v>
      </c>
      <c r="Q12" s="105">
        <v>7.5300000000000006E-2</v>
      </c>
      <c r="R12" s="112">
        <f t="shared" si="2"/>
        <v>5.0314457530718226E-2</v>
      </c>
      <c r="S12" s="112">
        <f t="shared" si="3"/>
        <v>4.6157639516725447E-2</v>
      </c>
      <c r="T12" s="112">
        <f t="shared" si="4"/>
        <v>7.331378299120235E-3</v>
      </c>
      <c r="U12" s="106">
        <f t="shared" si="5"/>
        <v>-1.0699999999999994E-2</v>
      </c>
      <c r="V12" s="107">
        <f t="shared" si="6"/>
        <v>-0.24689999999999998</v>
      </c>
      <c r="W12" s="41"/>
      <c r="X12" s="41"/>
    </row>
    <row r="13" spans="1:26">
      <c r="A13" s="99">
        <v>8</v>
      </c>
      <c r="B13" s="100" t="s">
        <v>31</v>
      </c>
      <c r="C13" s="101" t="s">
        <v>32</v>
      </c>
      <c r="D13" s="116">
        <v>619293130.48000002</v>
      </c>
      <c r="E13" s="109">
        <f t="shared" si="0"/>
        <v>3.1261286434490399E-3</v>
      </c>
      <c r="F13" s="108">
        <v>309.33999999999997</v>
      </c>
      <c r="G13" s="108">
        <v>323.17</v>
      </c>
      <c r="H13" s="110">
        <v>2469</v>
      </c>
      <c r="I13" s="111">
        <v>9.6600000000000002E-3</v>
      </c>
      <c r="J13" s="111">
        <v>0.22409999999999999</v>
      </c>
      <c r="K13" s="116">
        <v>638104165.02999997</v>
      </c>
      <c r="L13" s="109">
        <f t="shared" si="1"/>
        <v>2.9495390096510709E-3</v>
      </c>
      <c r="M13" s="108">
        <v>318.74</v>
      </c>
      <c r="N13" s="108">
        <v>333.19</v>
      </c>
      <c r="O13" s="110">
        <v>2469</v>
      </c>
      <c r="P13" s="111">
        <v>3.04E-2</v>
      </c>
      <c r="Q13" s="111">
        <v>0.26134000000000002</v>
      </c>
      <c r="R13" s="112">
        <f t="shared" si="2"/>
        <v>3.0375009222886013E-2</v>
      </c>
      <c r="S13" s="112">
        <f t="shared" si="3"/>
        <v>3.100535321966761E-2</v>
      </c>
      <c r="T13" s="112">
        <f t="shared" si="4"/>
        <v>0</v>
      </c>
      <c r="U13" s="106">
        <f t="shared" si="5"/>
        <v>2.0740000000000001E-2</v>
      </c>
      <c r="V13" s="107">
        <f t="shared" si="6"/>
        <v>3.7240000000000023E-2</v>
      </c>
    </row>
    <row r="14" spans="1:26">
      <c r="A14" s="99">
        <v>9</v>
      </c>
      <c r="B14" s="100" t="s">
        <v>33</v>
      </c>
      <c r="C14" s="101" t="s">
        <v>34</v>
      </c>
      <c r="D14" s="115">
        <v>132091543.40989999</v>
      </c>
      <c r="E14" s="109">
        <f t="shared" si="0"/>
        <v>6.6678465671179661E-4</v>
      </c>
      <c r="F14" s="108">
        <v>456.6884</v>
      </c>
      <c r="G14" s="108">
        <v>472.00920000000002</v>
      </c>
      <c r="H14" s="110">
        <v>40</v>
      </c>
      <c r="I14" s="111">
        <v>4.6300000000000001E-2</v>
      </c>
      <c r="J14" s="111">
        <v>0.44219999999999998</v>
      </c>
      <c r="K14" s="115">
        <v>139525957.55019999</v>
      </c>
      <c r="L14" s="109">
        <f t="shared" si="1"/>
        <v>6.4493742120283156E-4</v>
      </c>
      <c r="M14" s="108">
        <v>482.58609999999999</v>
      </c>
      <c r="N14" s="108">
        <v>498.97649999999999</v>
      </c>
      <c r="O14" s="110">
        <v>40</v>
      </c>
      <c r="P14" s="111">
        <v>5.6899999999999999E-2</v>
      </c>
      <c r="Q14" s="111">
        <v>0.52429999999999999</v>
      </c>
      <c r="R14" s="112">
        <f t="shared" si="2"/>
        <v>5.6282286877592777E-2</v>
      </c>
      <c r="S14" s="112">
        <f t="shared" si="3"/>
        <v>5.7132996560236467E-2</v>
      </c>
      <c r="T14" s="112">
        <f t="shared" si="4"/>
        <v>0</v>
      </c>
      <c r="U14" s="106">
        <f t="shared" si="5"/>
        <v>1.0599999999999998E-2</v>
      </c>
      <c r="V14" s="107">
        <f t="shared" si="6"/>
        <v>8.2100000000000006E-2</v>
      </c>
    </row>
    <row r="15" spans="1:26" ht="14.25" customHeight="1">
      <c r="A15" s="99">
        <v>10</v>
      </c>
      <c r="B15" s="100" t="s">
        <v>35</v>
      </c>
      <c r="C15" s="101" t="s">
        <v>36</v>
      </c>
      <c r="D15" s="116">
        <v>17431825909.990002</v>
      </c>
      <c r="E15" s="109">
        <f t="shared" si="0"/>
        <v>8.7994081643695474E-2</v>
      </c>
      <c r="F15" s="108">
        <v>5.694979</v>
      </c>
      <c r="G15" s="108">
        <v>5.7469000000000001</v>
      </c>
      <c r="H15" s="110">
        <v>8934</v>
      </c>
      <c r="I15" s="111">
        <v>5.0299999999999997E-2</v>
      </c>
      <c r="J15" s="111">
        <v>0.43149999999999999</v>
      </c>
      <c r="K15" s="116">
        <v>19655679047.790001</v>
      </c>
      <c r="L15" s="109">
        <f t="shared" si="1"/>
        <v>9.0855373291462788E-2</v>
      </c>
      <c r="M15" s="108">
        <v>5.9820010000000003</v>
      </c>
      <c r="N15" s="108">
        <v>6.0328200000000001</v>
      </c>
      <c r="O15" s="110">
        <v>9314</v>
      </c>
      <c r="P15" s="111">
        <v>5.04E-2</v>
      </c>
      <c r="Q15" s="111">
        <v>0.50360000000000005</v>
      </c>
      <c r="R15" s="112">
        <f t="shared" si="2"/>
        <v>0.12757430858264432</v>
      </c>
      <c r="S15" s="112">
        <f t="shared" si="3"/>
        <v>4.975204023038507E-2</v>
      </c>
      <c r="T15" s="112">
        <f t="shared" si="4"/>
        <v>4.2534139243340048E-2</v>
      </c>
      <c r="U15" s="106">
        <f t="shared" si="5"/>
        <v>1.0000000000000286E-4</v>
      </c>
      <c r="V15" s="107">
        <f t="shared" si="6"/>
        <v>7.2100000000000053E-2</v>
      </c>
    </row>
    <row r="16" spans="1:26" ht="14.25" customHeight="1">
      <c r="A16" s="117">
        <v>11</v>
      </c>
      <c r="B16" s="100" t="s">
        <v>37</v>
      </c>
      <c r="C16" s="101" t="s">
        <v>38</v>
      </c>
      <c r="D16" s="116">
        <v>387961424.69999999</v>
      </c>
      <c r="E16" s="109">
        <f t="shared" si="0"/>
        <v>1.958389755377943E-3</v>
      </c>
      <c r="F16" s="108">
        <v>41.58</v>
      </c>
      <c r="G16" s="108">
        <v>41.89</v>
      </c>
      <c r="H16" s="110">
        <v>112</v>
      </c>
      <c r="I16" s="111">
        <v>0.1</v>
      </c>
      <c r="J16" s="111">
        <v>0.59</v>
      </c>
      <c r="K16" s="116">
        <v>493183491.50999999</v>
      </c>
      <c r="L16" s="109">
        <f t="shared" si="1"/>
        <v>2.2796653381133673E-3</v>
      </c>
      <c r="M16" s="108">
        <v>42.58</v>
      </c>
      <c r="N16" s="108">
        <v>42.86</v>
      </c>
      <c r="O16" s="110">
        <v>116</v>
      </c>
      <c r="P16" s="111">
        <v>0.03</v>
      </c>
      <c r="Q16" s="111">
        <v>0.54</v>
      </c>
      <c r="R16" s="112">
        <f t="shared" ref="R16" si="7">((K16-D16)/D16)</f>
        <v>0.27121785855736913</v>
      </c>
      <c r="S16" s="112">
        <f t="shared" ref="S16" si="8">((N16-G16)/G16)</f>
        <v>2.3155884459298136E-2</v>
      </c>
      <c r="T16" s="112">
        <f t="shared" ref="T16" si="9">((O16-H16)/H16)</f>
        <v>3.5714285714285712E-2</v>
      </c>
      <c r="U16" s="106">
        <f t="shared" ref="U16" si="10">P16-I16</f>
        <v>-7.0000000000000007E-2</v>
      </c>
      <c r="V16" s="107">
        <f t="shared" ref="V16" si="11">Q16-J16</f>
        <v>-4.9999999999999933E-2</v>
      </c>
    </row>
    <row r="17" spans="1:25">
      <c r="A17" s="99">
        <v>12</v>
      </c>
      <c r="B17" s="100" t="s">
        <v>39</v>
      </c>
      <c r="C17" s="101" t="s">
        <v>40</v>
      </c>
      <c r="D17" s="118">
        <v>3968646807.3299999</v>
      </c>
      <c r="E17" s="109">
        <f t="shared" si="0"/>
        <v>2.0033324849753946E-2</v>
      </c>
      <c r="F17" s="108">
        <v>7.6</v>
      </c>
      <c r="G17" s="108">
        <v>7.76</v>
      </c>
      <c r="H17" s="110">
        <v>3794</v>
      </c>
      <c r="I17" s="111">
        <v>0.26629999999999998</v>
      </c>
      <c r="J17" s="111">
        <v>0.3735</v>
      </c>
      <c r="K17" s="118">
        <v>4050994265.5</v>
      </c>
      <c r="L17" s="109">
        <f t="shared" si="1"/>
        <v>1.8725102058224748E-2</v>
      </c>
      <c r="M17" s="108">
        <v>7.88</v>
      </c>
      <c r="N17" s="108">
        <v>8.0399999999999991</v>
      </c>
      <c r="O17" s="110">
        <v>3798</v>
      </c>
      <c r="P17" s="111">
        <v>3.6842105263157926E-2</v>
      </c>
      <c r="Q17" s="111">
        <v>0.42320000000000002</v>
      </c>
      <c r="R17" s="112">
        <f t="shared" si="2"/>
        <v>2.0749505352279322E-2</v>
      </c>
      <c r="S17" s="112">
        <f t="shared" si="3"/>
        <v>3.6082474226804044E-2</v>
      </c>
      <c r="T17" s="112">
        <f t="shared" si="4"/>
        <v>1.0542962572482868E-3</v>
      </c>
      <c r="U17" s="106">
        <f t="shared" si="5"/>
        <v>-0.22945789473684206</v>
      </c>
      <c r="V17" s="107">
        <f t="shared" si="6"/>
        <v>4.9700000000000022E-2</v>
      </c>
      <c r="W17" s="41"/>
    </row>
    <row r="18" spans="1:25">
      <c r="A18" s="99">
        <v>13</v>
      </c>
      <c r="B18" s="100" t="s">
        <v>41</v>
      </c>
      <c r="C18" s="101" t="s">
        <v>42</v>
      </c>
      <c r="D18" s="108">
        <v>8254682842.8999996</v>
      </c>
      <c r="E18" s="109">
        <f t="shared" si="0"/>
        <v>4.166879819541356E-2</v>
      </c>
      <c r="F18" s="108">
        <v>46.620384000000001</v>
      </c>
      <c r="G18" s="108">
        <v>46.841726999999999</v>
      </c>
      <c r="H18" s="110">
        <v>1941</v>
      </c>
      <c r="I18" s="111">
        <v>7.46E-2</v>
      </c>
      <c r="J18" s="111">
        <v>0.43319999999999997</v>
      </c>
      <c r="K18" s="108">
        <v>8813101994.8500004</v>
      </c>
      <c r="L18" s="109">
        <f>(K18/$K$26)</f>
        <v>4.0737217455118213E-2</v>
      </c>
      <c r="M18" s="108">
        <v>48.53</v>
      </c>
      <c r="N18" s="108">
        <v>48.76</v>
      </c>
      <c r="O18" s="110">
        <v>1993</v>
      </c>
      <c r="P18" s="111">
        <v>4.0899999999999999E-2</v>
      </c>
      <c r="Q18" s="111">
        <v>0.49180000000000001</v>
      </c>
      <c r="R18" s="112">
        <f t="shared" si="2"/>
        <v>6.7648771318974066E-2</v>
      </c>
      <c r="S18" s="112">
        <f t="shared" si="3"/>
        <v>4.0952226206348009E-2</v>
      </c>
      <c r="T18" s="112">
        <f t="shared" si="4"/>
        <v>2.6790314270994334E-2</v>
      </c>
      <c r="U18" s="106">
        <f t="shared" si="5"/>
        <v>-3.3700000000000001E-2</v>
      </c>
      <c r="V18" s="107">
        <f t="shared" si="6"/>
        <v>5.8600000000000041E-2</v>
      </c>
    </row>
    <row r="19" spans="1:25">
      <c r="A19" s="99">
        <v>14</v>
      </c>
      <c r="B19" s="100" t="s">
        <v>43</v>
      </c>
      <c r="C19" s="101" t="s">
        <v>44</v>
      </c>
      <c r="D19" s="108">
        <v>301985656.69</v>
      </c>
      <c r="E19" s="109">
        <f t="shared" si="0"/>
        <v>1.5243928356797186E-3</v>
      </c>
      <c r="F19" s="108">
        <v>2.94</v>
      </c>
      <c r="G19" s="108">
        <v>3.01</v>
      </c>
      <c r="H19" s="110">
        <v>36</v>
      </c>
      <c r="I19" s="111">
        <v>0.16120000000000001</v>
      </c>
      <c r="J19" s="111">
        <v>0.49440000000000001</v>
      </c>
      <c r="K19" s="108">
        <v>316716843.29000002</v>
      </c>
      <c r="L19" s="109">
        <f t="shared" si="1"/>
        <v>1.4639752182991641E-3</v>
      </c>
      <c r="M19" s="108">
        <v>2.93</v>
      </c>
      <c r="N19" s="108">
        <v>3</v>
      </c>
      <c r="O19" s="110">
        <v>36</v>
      </c>
      <c r="P19" s="111">
        <v>1.6500000000000001E-2</v>
      </c>
      <c r="Q19" s="111">
        <v>0.4899</v>
      </c>
      <c r="R19" s="112">
        <f t="shared" si="2"/>
        <v>4.8781080404498016E-2</v>
      </c>
      <c r="S19" s="112">
        <f t="shared" si="3"/>
        <v>-3.322259136212554E-3</v>
      </c>
      <c r="T19" s="112">
        <f t="shared" si="4"/>
        <v>0</v>
      </c>
      <c r="U19" s="106">
        <f t="shared" si="5"/>
        <v>-0.1447</v>
      </c>
      <c r="V19" s="107">
        <f t="shared" si="6"/>
        <v>-4.500000000000004E-3</v>
      </c>
    </row>
    <row r="20" spans="1:25">
      <c r="A20" s="99">
        <v>15</v>
      </c>
      <c r="B20" s="100" t="s">
        <v>45</v>
      </c>
      <c r="C20" s="101" t="s">
        <v>46</v>
      </c>
      <c r="D20" s="119">
        <v>19801962224.98</v>
      </c>
      <c r="E20" s="109">
        <f t="shared" si="0"/>
        <v>9.9958288347274063E-2</v>
      </c>
      <c r="F20" s="108">
        <v>74.489999999999995</v>
      </c>
      <c r="G20" s="108">
        <v>74.55</v>
      </c>
      <c r="H20" s="110">
        <v>17512</v>
      </c>
      <c r="I20" s="111">
        <v>0.12479999999999999</v>
      </c>
      <c r="J20" s="111">
        <v>0.56940000000000002</v>
      </c>
      <c r="K20" s="119">
        <v>21476608766.650002</v>
      </c>
      <c r="L20" s="109">
        <f t="shared" si="1"/>
        <v>9.9272342704846916E-2</v>
      </c>
      <c r="M20" s="108">
        <v>75.97</v>
      </c>
      <c r="N20" s="108">
        <v>76.06</v>
      </c>
      <c r="O20" s="110">
        <v>17873</v>
      </c>
      <c r="P20" s="111">
        <v>3.1099999999999999E-2</v>
      </c>
      <c r="Q20" s="111">
        <v>0.60050000000000003</v>
      </c>
      <c r="R20" s="112">
        <f t="shared" si="2"/>
        <v>8.4569727113076212E-2</v>
      </c>
      <c r="S20" s="112">
        <f t="shared" si="3"/>
        <v>2.0254862508383705E-2</v>
      </c>
      <c r="T20" s="112">
        <f t="shared" si="4"/>
        <v>2.061443581544084E-2</v>
      </c>
      <c r="U20" s="106">
        <f t="shared" si="5"/>
        <v>-9.3699999999999992E-2</v>
      </c>
      <c r="V20" s="107">
        <f t="shared" si="6"/>
        <v>3.1100000000000017E-2</v>
      </c>
    </row>
    <row r="21" spans="1:25" ht="12.75" customHeight="1">
      <c r="A21" s="99">
        <v>16</v>
      </c>
      <c r="B21" s="100" t="s">
        <v>47</v>
      </c>
      <c r="C21" s="101" t="s">
        <v>48</v>
      </c>
      <c r="D21" s="108">
        <v>4357821025.6099997</v>
      </c>
      <c r="E21" s="109">
        <f t="shared" si="0"/>
        <v>2.1997836663592459E-2</v>
      </c>
      <c r="F21" s="108">
        <v>16611.91</v>
      </c>
      <c r="G21" s="108">
        <v>16824.53</v>
      </c>
      <c r="H21" s="110">
        <v>70</v>
      </c>
      <c r="I21" s="111">
        <v>2.3099999999999999E-2</v>
      </c>
      <c r="J21" s="111">
        <v>0.30809999999999998</v>
      </c>
      <c r="K21" s="108">
        <v>4760576727.0900002</v>
      </c>
      <c r="L21" s="109">
        <f t="shared" si="1"/>
        <v>2.2005038572861884E-2</v>
      </c>
      <c r="M21" s="108">
        <v>17400.080000000002</v>
      </c>
      <c r="N21" s="108">
        <v>17617.2</v>
      </c>
      <c r="O21" s="110">
        <v>72</v>
      </c>
      <c r="P21" s="111">
        <v>4.7100000000000003E-2</v>
      </c>
      <c r="Q21" s="111">
        <v>0.36980000000000002</v>
      </c>
      <c r="R21" s="112">
        <f t="shared" si="2"/>
        <v>9.2421349824393831E-2</v>
      </c>
      <c r="S21" s="112">
        <f t="shared" si="3"/>
        <v>4.7113946125092468E-2</v>
      </c>
      <c r="T21" s="112">
        <f t="shared" si="4"/>
        <v>2.8571428571428571E-2</v>
      </c>
      <c r="U21" s="106">
        <f t="shared" si="5"/>
        <v>2.4000000000000004E-2</v>
      </c>
      <c r="V21" s="107">
        <f t="shared" si="6"/>
        <v>6.1700000000000033E-2</v>
      </c>
      <c r="X21" s="41"/>
    </row>
    <row r="22" spans="1:25">
      <c r="A22" s="99">
        <v>17</v>
      </c>
      <c r="B22" s="100" t="s">
        <v>49</v>
      </c>
      <c r="C22" s="101" t="s">
        <v>48</v>
      </c>
      <c r="D22" s="108">
        <v>58687001676.720001</v>
      </c>
      <c r="E22" s="109">
        <f t="shared" si="0"/>
        <v>0.29624600679413016</v>
      </c>
      <c r="F22" s="108">
        <v>57539.05</v>
      </c>
      <c r="G22" s="108">
        <v>58274.76</v>
      </c>
      <c r="H22" s="110">
        <v>28012</v>
      </c>
      <c r="I22" s="111">
        <v>2.3199999999999998E-2</v>
      </c>
      <c r="J22" s="111">
        <v>0.34649999999999997</v>
      </c>
      <c r="K22" s="108">
        <v>63700957650.419998</v>
      </c>
      <c r="L22" s="109">
        <f t="shared" si="1"/>
        <v>0.29444794414280495</v>
      </c>
      <c r="M22" s="108">
        <v>61221.64</v>
      </c>
      <c r="N22" s="108">
        <v>62006.52</v>
      </c>
      <c r="O22" s="110">
        <v>28588</v>
      </c>
      <c r="P22" s="111">
        <v>6.4000000000000001E-2</v>
      </c>
      <c r="Q22" s="111">
        <v>0.43280000000000002</v>
      </c>
      <c r="R22" s="112">
        <f t="shared" si="2"/>
        <v>8.543554501761054E-2</v>
      </c>
      <c r="S22" s="112">
        <f t="shared" si="3"/>
        <v>6.4037329368666546E-2</v>
      </c>
      <c r="T22" s="112">
        <f t="shared" si="4"/>
        <v>2.0562616021704984E-2</v>
      </c>
      <c r="U22" s="106">
        <f t="shared" si="5"/>
        <v>4.0800000000000003E-2</v>
      </c>
      <c r="V22" s="107">
        <f t="shared" si="6"/>
        <v>8.6300000000000043E-2</v>
      </c>
    </row>
    <row r="23" spans="1:25">
      <c r="A23" s="117">
        <v>18</v>
      </c>
      <c r="B23" s="101" t="s">
        <v>50</v>
      </c>
      <c r="C23" s="101" t="s">
        <v>51</v>
      </c>
      <c r="D23" s="108">
        <v>14112639729.530001</v>
      </c>
      <c r="E23" s="109">
        <f t="shared" si="0"/>
        <v>7.1239167886402749E-2</v>
      </c>
      <c r="F23" s="108">
        <v>2.5674000000000001</v>
      </c>
      <c r="G23" s="120">
        <v>2.5914999999999999</v>
      </c>
      <c r="H23" s="110">
        <v>8032</v>
      </c>
      <c r="I23" s="111">
        <v>3.3300000000000003E-2</v>
      </c>
      <c r="J23" s="111">
        <v>0.33560000000000001</v>
      </c>
      <c r="K23" s="108">
        <v>15192597990.24</v>
      </c>
      <c r="L23" s="109">
        <f t="shared" si="1"/>
        <v>7.0225462997961438E-2</v>
      </c>
      <c r="M23" s="108">
        <v>2.6706599999999998</v>
      </c>
      <c r="N23" s="120">
        <v>2.6962100000000002</v>
      </c>
      <c r="O23" s="110">
        <v>8181</v>
      </c>
      <c r="P23" s="111">
        <v>4.02E-2</v>
      </c>
      <c r="Q23" s="111">
        <v>0.38929999999999998</v>
      </c>
      <c r="R23" s="112">
        <f t="shared" ref="R23:R24" si="12">((K23-D23)/D23)</f>
        <v>7.6524185510825432E-2</v>
      </c>
      <c r="S23" s="112">
        <f t="shared" ref="S23:S24" si="13">((N23-G23)/G23)</f>
        <v>4.0405170750530697E-2</v>
      </c>
      <c r="T23" s="112">
        <f t="shared" ref="T23:T24" si="14">((O23-H23)/H23)</f>
        <v>1.8550796812749005E-2</v>
      </c>
      <c r="U23" s="106">
        <f t="shared" ref="U23:U24" si="15">P23-I23</f>
        <v>6.8999999999999964E-3</v>
      </c>
      <c r="V23" s="107">
        <f t="shared" ref="V23:V24" si="16">Q23-J23</f>
        <v>5.369999999999997E-2</v>
      </c>
    </row>
    <row r="24" spans="1:25">
      <c r="A24" s="117">
        <v>19</v>
      </c>
      <c r="B24" s="100" t="s">
        <v>325</v>
      </c>
      <c r="C24" s="101" t="s">
        <v>123</v>
      </c>
      <c r="D24" s="108">
        <v>5702538886.3999996</v>
      </c>
      <c r="E24" s="109">
        <f t="shared" si="0"/>
        <v>2.8785835456207675E-2</v>
      </c>
      <c r="F24" s="108">
        <v>1.73</v>
      </c>
      <c r="G24" s="120">
        <v>1.73</v>
      </c>
      <c r="H24" s="110">
        <v>1383</v>
      </c>
      <c r="I24" s="111">
        <v>7.2499999999999995E-2</v>
      </c>
      <c r="J24" s="111">
        <v>0.70530000000000004</v>
      </c>
      <c r="K24" s="108">
        <v>6857366222.3500004</v>
      </c>
      <c r="L24" s="109">
        <f t="shared" si="1"/>
        <v>3.1697127655222264E-2</v>
      </c>
      <c r="M24" s="108">
        <v>1.87</v>
      </c>
      <c r="N24" s="120">
        <v>1.89</v>
      </c>
      <c r="O24" s="110">
        <v>1649</v>
      </c>
      <c r="P24" s="111">
        <v>7.7499999999999999E-2</v>
      </c>
      <c r="Q24" s="111">
        <v>0.83730000000000004</v>
      </c>
      <c r="R24" s="112">
        <f t="shared" si="12"/>
        <v>0.20251108479139907</v>
      </c>
      <c r="S24" s="112">
        <f t="shared" si="13"/>
        <v>9.2485549132947931E-2</v>
      </c>
      <c r="T24" s="112">
        <f t="shared" si="14"/>
        <v>0.19233550253073028</v>
      </c>
      <c r="U24" s="106">
        <f t="shared" si="15"/>
        <v>5.0000000000000044E-3</v>
      </c>
      <c r="V24" s="107">
        <f t="shared" si="16"/>
        <v>0.13200000000000001</v>
      </c>
    </row>
    <row r="25" spans="1:25">
      <c r="A25" s="99">
        <v>20</v>
      </c>
      <c r="B25" s="101" t="s">
        <v>52</v>
      </c>
      <c r="C25" s="101" t="s">
        <v>53</v>
      </c>
      <c r="D25" s="108">
        <v>19054421144.360001</v>
      </c>
      <c r="E25" s="109">
        <f>(D25/$D$26)</f>
        <v>9.6184777114443593E-2</v>
      </c>
      <c r="F25" s="108">
        <v>328.33</v>
      </c>
      <c r="G25" s="120">
        <v>333.45</v>
      </c>
      <c r="H25" s="110">
        <v>128</v>
      </c>
      <c r="I25" s="111">
        <v>6.5600000000000006E-2</v>
      </c>
      <c r="J25" s="111">
        <v>0.55330000000000001</v>
      </c>
      <c r="K25" s="108">
        <v>19811326004.889999</v>
      </c>
      <c r="L25" s="109">
        <f t="shared" si="1"/>
        <v>9.1574827570026149E-2</v>
      </c>
      <c r="M25" s="108">
        <v>340.68</v>
      </c>
      <c r="N25" s="120">
        <v>345.85</v>
      </c>
      <c r="O25" s="110">
        <v>137</v>
      </c>
      <c r="P25" s="111">
        <v>3.7400000000000003E-2</v>
      </c>
      <c r="Q25" s="111">
        <v>0.61129999999999995</v>
      </c>
      <c r="R25" s="112">
        <f t="shared" si="2"/>
        <v>3.972331958003554E-2</v>
      </c>
      <c r="S25" s="112">
        <f t="shared" si="3"/>
        <v>3.7186984555405714E-2</v>
      </c>
      <c r="T25" s="112">
        <f t="shared" si="4"/>
        <v>7.03125E-2</v>
      </c>
      <c r="U25" s="106">
        <f t="shared" si="5"/>
        <v>-2.8200000000000003E-2</v>
      </c>
      <c r="V25" s="107">
        <f t="shared" si="6"/>
        <v>5.799999999999994E-2</v>
      </c>
      <c r="X25" s="41"/>
      <c r="Y25" s="41"/>
    </row>
    <row r="26" spans="1:25">
      <c r="A26" s="121"/>
      <c r="B26" s="122"/>
      <c r="C26" s="123" t="s">
        <v>54</v>
      </c>
      <c r="D26" s="124">
        <f>SUM(D6:D25)</f>
        <v>198102253974.0199</v>
      </c>
      <c r="E26" s="125">
        <f>(D26/$D$238)</f>
        <v>2.2817229260283598E-2</v>
      </c>
      <c r="F26" s="126"/>
      <c r="G26" s="127"/>
      <c r="H26" s="128">
        <f>SUM(H6:H25)</f>
        <v>92318</v>
      </c>
      <c r="I26" s="129"/>
      <c r="J26" s="110">
        <v>0</v>
      </c>
      <c r="K26" s="124">
        <f>SUM(K6:K25)</f>
        <v>216340303668.50018</v>
      </c>
      <c r="L26" s="125">
        <f>(K26/$K$238)</f>
        <v>2.4671281868582175E-2</v>
      </c>
      <c r="M26" s="126"/>
      <c r="N26" s="127"/>
      <c r="O26" s="128">
        <f>SUM(O6:O25)</f>
        <v>94531</v>
      </c>
      <c r="P26" s="129"/>
      <c r="Q26" s="128"/>
      <c r="R26" s="112">
        <f t="shared" si="2"/>
        <v>9.2063817188430944E-2</v>
      </c>
      <c r="S26" s="112" t="e">
        <f t="shared" si="3"/>
        <v>#DIV/0!</v>
      </c>
      <c r="T26" s="112">
        <f t="shared" si="4"/>
        <v>2.3971489850300051E-2</v>
      </c>
      <c r="U26" s="106">
        <f t="shared" si="5"/>
        <v>0</v>
      </c>
      <c r="V26" s="107">
        <f t="shared" si="6"/>
        <v>0</v>
      </c>
    </row>
    <row r="27" spans="1:25" ht="4.5" customHeight="1">
      <c r="A27" s="121"/>
      <c r="B27" s="130"/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  <c r="R27" s="130"/>
      <c r="S27" s="130"/>
      <c r="T27" s="130"/>
      <c r="U27" s="130"/>
      <c r="V27" s="130"/>
    </row>
    <row r="28" spans="1:25" ht="15" customHeight="1">
      <c r="A28" s="98" t="s">
        <v>55</v>
      </c>
      <c r="B28" s="98"/>
      <c r="C28" s="98"/>
      <c r="D28" s="98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</row>
    <row r="29" spans="1:25">
      <c r="A29" s="131">
        <v>21</v>
      </c>
      <c r="B29" s="100" t="s">
        <v>56</v>
      </c>
      <c r="C29" s="101" t="s">
        <v>19</v>
      </c>
      <c r="D29" s="132">
        <v>6234279366.7399998</v>
      </c>
      <c r="E29" s="109">
        <f t="shared" ref="E29:E36" si="17">(D29/$K$76)</f>
        <v>1.0966805109024925E-3</v>
      </c>
      <c r="F29" s="120">
        <v>100</v>
      </c>
      <c r="G29" s="120">
        <v>100</v>
      </c>
      <c r="H29" s="110">
        <v>928</v>
      </c>
      <c r="I29" s="111">
        <v>0.13950000000000001</v>
      </c>
      <c r="J29" s="111">
        <v>0.13950000000000001</v>
      </c>
      <c r="K29" s="132">
        <v>6020540846.4799995</v>
      </c>
      <c r="L29" s="109">
        <f t="shared" ref="L29:L36" si="18">(K29/$K$76)</f>
        <v>1.05908147887181E-3</v>
      </c>
      <c r="M29" s="120">
        <v>100</v>
      </c>
      <c r="N29" s="120">
        <v>100</v>
      </c>
      <c r="O29" s="110">
        <v>928</v>
      </c>
      <c r="P29" s="111">
        <v>0.1452</v>
      </c>
      <c r="Q29" s="111">
        <v>0.1452</v>
      </c>
      <c r="R29" s="112">
        <f>((K29-D29)/D29)</f>
        <v>-3.4284398835300732E-2</v>
      </c>
      <c r="S29" s="112">
        <f>((N29-G29)/G29)</f>
        <v>0</v>
      </c>
      <c r="T29" s="112">
        <f>((O29-H29)/H29)</f>
        <v>0</v>
      </c>
      <c r="U29" s="112">
        <f>P29-I29</f>
        <v>5.6999999999999829E-3</v>
      </c>
      <c r="V29" s="133">
        <f>Q29-J29</f>
        <v>5.6999999999999829E-3</v>
      </c>
    </row>
    <row r="30" spans="1:25">
      <c r="A30" s="131">
        <v>22</v>
      </c>
      <c r="B30" s="100" t="s">
        <v>57</v>
      </c>
      <c r="C30" s="101" t="s">
        <v>58</v>
      </c>
      <c r="D30" s="132">
        <v>40593620378.239998</v>
      </c>
      <c r="E30" s="109">
        <f t="shared" si="17"/>
        <v>7.1408786351949026E-3</v>
      </c>
      <c r="F30" s="120">
        <v>100</v>
      </c>
      <c r="G30" s="120">
        <v>100</v>
      </c>
      <c r="H30" s="110">
        <v>4742</v>
      </c>
      <c r="I30" s="111">
        <v>0.17113</v>
      </c>
      <c r="J30" s="111">
        <v>0.17113</v>
      </c>
      <c r="K30" s="132">
        <v>39902282948.93</v>
      </c>
      <c r="L30" s="109">
        <f t="shared" si="18"/>
        <v>7.0192645334549979E-3</v>
      </c>
      <c r="M30" s="120">
        <v>100</v>
      </c>
      <c r="N30" s="120">
        <v>100</v>
      </c>
      <c r="O30" s="110">
        <v>4761</v>
      </c>
      <c r="P30" s="111">
        <v>0.17271900000000001</v>
      </c>
      <c r="Q30" s="111">
        <v>0.17271900000000001</v>
      </c>
      <c r="R30" s="112">
        <f t="shared" ref="R30:R76" si="19">((K30-D30)/D30)</f>
        <v>-1.7030691593120022E-2</v>
      </c>
      <c r="S30" s="112">
        <f t="shared" ref="S30:S76" si="20">((N30-G30)/G30)</f>
        <v>0</v>
      </c>
      <c r="T30" s="112">
        <f t="shared" ref="T30:T76" si="21">((O30-H30)/H30)</f>
        <v>4.0067482075073812E-3</v>
      </c>
      <c r="U30" s="106">
        <f t="shared" ref="U30:U76" si="22">P30-I30</f>
        <v>1.5890000000000071E-3</v>
      </c>
      <c r="V30" s="107">
        <f t="shared" ref="V30:V76" si="23">Q30-J30</f>
        <v>1.5890000000000071E-3</v>
      </c>
    </row>
    <row r="31" spans="1:25">
      <c r="A31" s="131">
        <v>23</v>
      </c>
      <c r="B31" s="100" t="s">
        <v>334</v>
      </c>
      <c r="C31" s="101" t="s">
        <v>333</v>
      </c>
      <c r="D31" s="132">
        <v>1934563734.5899999</v>
      </c>
      <c r="E31" s="109">
        <f t="shared" si="17"/>
        <v>3.4031172169511089E-4</v>
      </c>
      <c r="F31" s="120">
        <v>1</v>
      </c>
      <c r="G31" s="120">
        <v>1</v>
      </c>
      <c r="H31" s="110">
        <v>167</v>
      </c>
      <c r="I31" s="111">
        <v>0.1946</v>
      </c>
      <c r="J31" s="111">
        <v>0.1946</v>
      </c>
      <c r="K31" s="132">
        <v>1856586274.5699999</v>
      </c>
      <c r="L31" s="109">
        <f t="shared" si="18"/>
        <v>3.265946012930571E-4</v>
      </c>
      <c r="M31" s="120">
        <v>1</v>
      </c>
      <c r="N31" s="120">
        <v>1</v>
      </c>
      <c r="O31" s="110">
        <v>166</v>
      </c>
      <c r="P31" s="111">
        <v>0.1736</v>
      </c>
      <c r="Q31" s="111">
        <v>0.1736</v>
      </c>
      <c r="R31" s="112">
        <f t="shared" ref="R31" si="24">((K31-D31)/D31)</f>
        <v>-4.0307516690074867E-2</v>
      </c>
      <c r="S31" s="112">
        <f t="shared" ref="S31" si="25">((N31-G31)/G31)</f>
        <v>0</v>
      </c>
      <c r="T31" s="112">
        <f t="shared" ref="T31" si="26">((O31-H31)/H31)</f>
        <v>-5.9880239520958087E-3</v>
      </c>
      <c r="U31" s="106">
        <f t="shared" ref="U31" si="27">P31-I31</f>
        <v>-2.0999999999999991E-2</v>
      </c>
      <c r="V31" s="107">
        <f t="shared" ref="V31" si="28">Q31-J31</f>
        <v>-2.0999999999999991E-2</v>
      </c>
    </row>
    <row r="32" spans="1:25">
      <c r="A32" s="131">
        <v>24</v>
      </c>
      <c r="B32" s="100" t="s">
        <v>59</v>
      </c>
      <c r="C32" s="101" t="s">
        <v>21</v>
      </c>
      <c r="D32" s="132">
        <v>3203307190.6700001</v>
      </c>
      <c r="E32" s="109">
        <f t="shared" si="17"/>
        <v>5.6349809814163127E-4</v>
      </c>
      <c r="F32" s="120">
        <v>100</v>
      </c>
      <c r="G32" s="120">
        <v>100</v>
      </c>
      <c r="H32" s="110">
        <v>2510</v>
      </c>
      <c r="I32" s="111">
        <v>0.16120000000000001</v>
      </c>
      <c r="J32" s="111">
        <v>0.16120000000000001</v>
      </c>
      <c r="K32" s="132">
        <v>3424965647.5500002</v>
      </c>
      <c r="L32" s="109">
        <f t="shared" si="18"/>
        <v>6.0249033692930879E-4</v>
      </c>
      <c r="M32" s="120">
        <v>100</v>
      </c>
      <c r="N32" s="120">
        <v>100</v>
      </c>
      <c r="O32" s="110">
        <v>2518</v>
      </c>
      <c r="P32" s="111">
        <v>0.15870000000000001</v>
      </c>
      <c r="Q32" s="111">
        <v>0.15870000000000001</v>
      </c>
      <c r="R32" s="112">
        <f t="shared" si="19"/>
        <v>6.9196753132389488E-2</v>
      </c>
      <c r="S32" s="112">
        <f t="shared" si="20"/>
        <v>0</v>
      </c>
      <c r="T32" s="112">
        <f t="shared" si="21"/>
        <v>3.1872509960159364E-3</v>
      </c>
      <c r="U32" s="106">
        <f t="shared" si="22"/>
        <v>-2.5000000000000022E-3</v>
      </c>
      <c r="V32" s="107">
        <f t="shared" si="23"/>
        <v>-2.5000000000000022E-3</v>
      </c>
    </row>
    <row r="33" spans="1:22">
      <c r="A33" s="131">
        <v>25</v>
      </c>
      <c r="B33" s="100" t="s">
        <v>330</v>
      </c>
      <c r="C33" s="101" t="s">
        <v>331</v>
      </c>
      <c r="D33" s="132">
        <v>884367856.88999999</v>
      </c>
      <c r="E33" s="109">
        <v>0</v>
      </c>
      <c r="F33" s="120">
        <v>100</v>
      </c>
      <c r="G33" s="120">
        <v>100</v>
      </c>
      <c r="H33" s="110">
        <v>127</v>
      </c>
      <c r="I33" s="111">
        <v>0.14647499999999999</v>
      </c>
      <c r="J33" s="111">
        <v>0.14647499999999999</v>
      </c>
      <c r="K33" s="132">
        <v>920052856.88999999</v>
      </c>
      <c r="L33" s="109">
        <f t="shared" si="18"/>
        <v>1.6184774178303252E-4</v>
      </c>
      <c r="M33" s="120">
        <v>100</v>
      </c>
      <c r="N33" s="120">
        <v>100</v>
      </c>
      <c r="O33" s="110">
        <v>129</v>
      </c>
      <c r="P33" s="111">
        <v>0.14583499999999999</v>
      </c>
      <c r="Q33" s="111">
        <v>0.14583499999999999</v>
      </c>
      <c r="R33" s="112">
        <f t="shared" ref="R33" si="29">((K33-D33)/D33)</f>
        <v>4.0350855949798044E-2</v>
      </c>
      <c r="S33" s="112">
        <f t="shared" ref="S33" si="30">((N33-G33)/G33)</f>
        <v>0</v>
      </c>
      <c r="T33" s="112">
        <f t="shared" ref="T33" si="31">((O33-H33)/H33)</f>
        <v>1.5748031496062992E-2</v>
      </c>
      <c r="U33" s="106">
        <f t="shared" ref="U33" si="32">P33-I33</f>
        <v>-6.4000000000000168E-4</v>
      </c>
      <c r="V33" s="107">
        <f t="shared" ref="V33" si="33">Q33-J33</f>
        <v>-6.4000000000000168E-4</v>
      </c>
    </row>
    <row r="34" spans="1:22">
      <c r="A34" s="131">
        <v>26</v>
      </c>
      <c r="B34" s="100" t="s">
        <v>60</v>
      </c>
      <c r="C34" s="101" t="s">
        <v>23</v>
      </c>
      <c r="D34" s="132">
        <v>405885053799.39001</v>
      </c>
      <c r="E34" s="109">
        <f t="shared" si="17"/>
        <v>7.1399788489293195E-2</v>
      </c>
      <c r="F34" s="120">
        <v>1</v>
      </c>
      <c r="G34" s="120">
        <v>1</v>
      </c>
      <c r="H34" s="110">
        <v>83568</v>
      </c>
      <c r="I34" s="111">
        <v>0.17019999999999999</v>
      </c>
      <c r="J34" s="111">
        <v>0.17019999999999999</v>
      </c>
      <c r="K34" s="132">
        <v>406519234983.06</v>
      </c>
      <c r="L34" s="109">
        <f t="shared" si="18"/>
        <v>7.1511348158598748E-2</v>
      </c>
      <c r="M34" s="120">
        <v>1</v>
      </c>
      <c r="N34" s="120">
        <v>1</v>
      </c>
      <c r="O34" s="110">
        <v>83760</v>
      </c>
      <c r="P34" s="111">
        <v>0.17019999999999999</v>
      </c>
      <c r="Q34" s="111">
        <v>0.17019999999999999</v>
      </c>
      <c r="R34" s="112">
        <f t="shared" si="19"/>
        <v>1.5624649829639428E-3</v>
      </c>
      <c r="S34" s="112">
        <f t="shared" si="20"/>
        <v>0</v>
      </c>
      <c r="T34" s="112">
        <f t="shared" si="21"/>
        <v>2.2975301550832855E-3</v>
      </c>
      <c r="U34" s="106">
        <f t="shared" si="22"/>
        <v>0</v>
      </c>
      <c r="V34" s="107">
        <f t="shared" si="23"/>
        <v>0</v>
      </c>
    </row>
    <row r="35" spans="1:22">
      <c r="A35" s="131">
        <v>27</v>
      </c>
      <c r="B35" s="100" t="s">
        <v>61</v>
      </c>
      <c r="C35" s="101" t="s">
        <v>62</v>
      </c>
      <c r="D35" s="132">
        <v>2357152480.77</v>
      </c>
      <c r="E35" s="109">
        <f t="shared" si="17"/>
        <v>4.1464987929112966E-4</v>
      </c>
      <c r="F35" s="120">
        <v>1</v>
      </c>
      <c r="G35" s="120">
        <v>1</v>
      </c>
      <c r="H35" s="110">
        <v>597</v>
      </c>
      <c r="I35" s="111">
        <v>0.16800000000000001</v>
      </c>
      <c r="J35" s="111">
        <v>0.16800000000000001</v>
      </c>
      <c r="K35" s="132">
        <v>2392506438.1399999</v>
      </c>
      <c r="L35" s="109">
        <f t="shared" si="18"/>
        <v>4.2086904172356822E-4</v>
      </c>
      <c r="M35" s="120">
        <v>1</v>
      </c>
      <c r="N35" s="120">
        <v>1</v>
      </c>
      <c r="O35" s="110">
        <v>597</v>
      </c>
      <c r="P35" s="111">
        <v>0.16800000000000001</v>
      </c>
      <c r="Q35" s="111">
        <v>0.16800000000000001</v>
      </c>
      <c r="R35" s="112">
        <f t="shared" si="19"/>
        <v>1.4998587345715951E-2</v>
      </c>
      <c r="S35" s="112">
        <f t="shared" si="20"/>
        <v>0</v>
      </c>
      <c r="T35" s="112">
        <f t="shared" si="21"/>
        <v>0</v>
      </c>
      <c r="U35" s="106">
        <f t="shared" si="22"/>
        <v>0</v>
      </c>
      <c r="V35" s="107">
        <f t="shared" si="23"/>
        <v>0</v>
      </c>
    </row>
    <row r="36" spans="1:22">
      <c r="A36" s="131">
        <v>28</v>
      </c>
      <c r="B36" s="100" t="s">
        <v>63</v>
      </c>
      <c r="C36" s="101" t="s">
        <v>25</v>
      </c>
      <c r="D36" s="132">
        <v>174762187758.48001</v>
      </c>
      <c r="E36" s="109">
        <f t="shared" si="17"/>
        <v>3.0742652692131157E-2</v>
      </c>
      <c r="F36" s="120">
        <v>1</v>
      </c>
      <c r="G36" s="120">
        <v>1</v>
      </c>
      <c r="H36" s="110">
        <v>39956</v>
      </c>
      <c r="I36" s="111">
        <v>0.1595</v>
      </c>
      <c r="J36" s="111">
        <v>0.1595</v>
      </c>
      <c r="K36" s="132">
        <v>174541751233.60999</v>
      </c>
      <c r="L36" s="109">
        <f t="shared" si="18"/>
        <v>3.0703875405055162E-2</v>
      </c>
      <c r="M36" s="120">
        <v>1</v>
      </c>
      <c r="N36" s="120">
        <v>1</v>
      </c>
      <c r="O36" s="110">
        <v>40009</v>
      </c>
      <c r="P36" s="111">
        <v>0.15590000000000001</v>
      </c>
      <c r="Q36" s="111">
        <v>0.15590000000000001</v>
      </c>
      <c r="R36" s="112">
        <f t="shared" si="19"/>
        <v>-1.2613513695231785E-3</v>
      </c>
      <c r="S36" s="112">
        <f t="shared" si="20"/>
        <v>0</v>
      </c>
      <c r="T36" s="112">
        <f t="shared" si="21"/>
        <v>1.326459105015517E-3</v>
      </c>
      <c r="U36" s="106">
        <f t="shared" si="22"/>
        <v>-3.5999999999999921E-3</v>
      </c>
      <c r="V36" s="107">
        <f t="shared" si="23"/>
        <v>-3.5999999999999921E-3</v>
      </c>
    </row>
    <row r="37" spans="1:22">
      <c r="A37" s="131">
        <v>29</v>
      </c>
      <c r="B37" s="100" t="s">
        <v>64</v>
      </c>
      <c r="C37" s="101" t="s">
        <v>27</v>
      </c>
      <c r="D37" s="108">
        <v>24809733100.360001</v>
      </c>
      <c r="E37" s="109">
        <f t="shared" ref="E37" si="34">(D37/$D$26)</f>
        <v>0.12523700565069629</v>
      </c>
      <c r="F37" s="108">
        <v>1</v>
      </c>
      <c r="G37" s="108">
        <v>1</v>
      </c>
      <c r="H37" s="110">
        <v>1822</v>
      </c>
      <c r="I37" s="111">
        <v>0.16470000000000001</v>
      </c>
      <c r="J37" s="111">
        <v>0.16470000000000001</v>
      </c>
      <c r="K37" s="108">
        <v>27084479213.360001</v>
      </c>
      <c r="L37" s="109">
        <f t="shared" ref="L37" si="35">(K37/$K$26)</f>
        <v>0.12519386704227681</v>
      </c>
      <c r="M37" s="108">
        <v>1</v>
      </c>
      <c r="N37" s="108">
        <v>1</v>
      </c>
      <c r="O37" s="110">
        <v>1814</v>
      </c>
      <c r="P37" s="111">
        <v>0.17469999999999999</v>
      </c>
      <c r="Q37" s="111">
        <v>0.17469999999999999</v>
      </c>
      <c r="R37" s="112">
        <f t="shared" si="19"/>
        <v>9.1687649512319516E-2</v>
      </c>
      <c r="S37" s="112">
        <f t="shared" si="20"/>
        <v>0</v>
      </c>
      <c r="T37" s="112">
        <f t="shared" si="21"/>
        <v>-4.3907793633369925E-3</v>
      </c>
      <c r="U37" s="106">
        <f t="shared" si="22"/>
        <v>9.9999999999999811E-3</v>
      </c>
      <c r="V37" s="107">
        <f t="shared" si="23"/>
        <v>9.9999999999999811E-3</v>
      </c>
    </row>
    <row r="38" spans="1:22" ht="15" customHeight="1">
      <c r="A38" s="131">
        <v>30</v>
      </c>
      <c r="B38" s="100" t="s">
        <v>65</v>
      </c>
      <c r="C38" s="101" t="s">
        <v>46</v>
      </c>
      <c r="D38" s="132">
        <v>39586271303.550003</v>
      </c>
      <c r="E38" s="109">
        <f>(D38/$K$76)</f>
        <v>6.9636744977316393E-3</v>
      </c>
      <c r="F38" s="120">
        <v>100</v>
      </c>
      <c r="G38" s="120">
        <v>100</v>
      </c>
      <c r="H38" s="110">
        <v>14721</v>
      </c>
      <c r="I38" s="111">
        <v>0.1769</v>
      </c>
      <c r="J38" s="111">
        <v>0.1769</v>
      </c>
      <c r="K38" s="132">
        <v>39655427006.25</v>
      </c>
      <c r="L38" s="109">
        <f t="shared" ref="L38:L52" si="36">(K38/$K$76)</f>
        <v>6.9758397708782798E-3</v>
      </c>
      <c r="M38" s="120">
        <v>100</v>
      </c>
      <c r="N38" s="120">
        <v>100</v>
      </c>
      <c r="O38" s="110">
        <v>14916</v>
      </c>
      <c r="P38" s="111">
        <v>0.17649999999999999</v>
      </c>
      <c r="Q38" s="111">
        <v>0.17649999999999999</v>
      </c>
      <c r="R38" s="112">
        <f t="shared" si="19"/>
        <v>1.7469617729264446E-3</v>
      </c>
      <c r="S38" s="112">
        <f t="shared" si="20"/>
        <v>0</v>
      </c>
      <c r="T38" s="112">
        <f t="shared" si="21"/>
        <v>1.3246382718565314E-2</v>
      </c>
      <c r="U38" s="106">
        <f t="shared" si="22"/>
        <v>-4.0000000000001146E-4</v>
      </c>
      <c r="V38" s="107">
        <f t="shared" si="23"/>
        <v>-4.0000000000001146E-4</v>
      </c>
    </row>
    <row r="39" spans="1:22" ht="15" customHeight="1">
      <c r="A39" s="131">
        <v>31</v>
      </c>
      <c r="B39" s="100" t="s">
        <v>66</v>
      </c>
      <c r="C39" s="101" t="s">
        <v>67</v>
      </c>
      <c r="D39" s="132">
        <v>3748533664.46</v>
      </c>
      <c r="E39" s="109">
        <f>(D39/$K$76)</f>
        <v>6.5940962418321338E-4</v>
      </c>
      <c r="F39" s="120">
        <v>1</v>
      </c>
      <c r="G39" s="120">
        <v>1</v>
      </c>
      <c r="H39" s="110">
        <v>713</v>
      </c>
      <c r="I39" s="111">
        <v>0.15</v>
      </c>
      <c r="J39" s="111">
        <v>0.15</v>
      </c>
      <c r="K39" s="132">
        <v>3849317267.54</v>
      </c>
      <c r="L39" s="109">
        <f t="shared" si="36"/>
        <v>6.7713860404029747E-4</v>
      </c>
      <c r="M39" s="120">
        <v>1</v>
      </c>
      <c r="N39" s="120">
        <v>1</v>
      </c>
      <c r="O39" s="110">
        <v>715</v>
      </c>
      <c r="P39" s="111">
        <v>0.1633</v>
      </c>
      <c r="Q39" s="111">
        <v>0.1633</v>
      </c>
      <c r="R39" s="112">
        <f t="shared" si="19"/>
        <v>2.6886140582258432E-2</v>
      </c>
      <c r="S39" s="112">
        <f t="shared" si="20"/>
        <v>0</v>
      </c>
      <c r="T39" s="112">
        <f t="shared" si="21"/>
        <v>2.8050490883590462E-3</v>
      </c>
      <c r="U39" s="106">
        <f t="shared" si="22"/>
        <v>1.3300000000000006E-2</v>
      </c>
      <c r="V39" s="107">
        <f t="shared" si="23"/>
        <v>1.3300000000000006E-2</v>
      </c>
    </row>
    <row r="40" spans="1:22">
      <c r="A40" s="131">
        <v>32</v>
      </c>
      <c r="B40" s="100" t="s">
        <v>68</v>
      </c>
      <c r="C40" s="101" t="s">
        <v>69</v>
      </c>
      <c r="D40" s="132">
        <v>98274321309.029999</v>
      </c>
      <c r="E40" s="109">
        <f>(D40/$K$76)</f>
        <v>1.7287568708705493E-2</v>
      </c>
      <c r="F40" s="120">
        <v>100</v>
      </c>
      <c r="G40" s="120">
        <v>100</v>
      </c>
      <c r="H40" s="110">
        <v>6098</v>
      </c>
      <c r="I40" s="111">
        <v>0.1595</v>
      </c>
      <c r="J40" s="111">
        <v>0.1595</v>
      </c>
      <c r="K40" s="132">
        <v>97724934108.600006</v>
      </c>
      <c r="L40" s="109">
        <f t="shared" si="36"/>
        <v>1.7190925263616201E-2</v>
      </c>
      <c r="M40" s="120">
        <v>100</v>
      </c>
      <c r="N40" s="120">
        <v>100</v>
      </c>
      <c r="O40" s="110">
        <v>6132</v>
      </c>
      <c r="P40" s="111">
        <v>0.16059999999999999</v>
      </c>
      <c r="Q40" s="111">
        <v>0.16059999999999999</v>
      </c>
      <c r="R40" s="112">
        <f t="shared" si="19"/>
        <v>-5.5903433685632782E-3</v>
      </c>
      <c r="S40" s="112">
        <f t="shared" si="20"/>
        <v>0</v>
      </c>
      <c r="T40" s="112">
        <f t="shared" si="21"/>
        <v>5.5755985569039025E-3</v>
      </c>
      <c r="U40" s="106">
        <f t="shared" si="22"/>
        <v>1.0999999999999899E-3</v>
      </c>
      <c r="V40" s="107">
        <f t="shared" si="23"/>
        <v>1.0999999999999899E-3</v>
      </c>
    </row>
    <row r="41" spans="1:22">
      <c r="A41" s="131">
        <v>33</v>
      </c>
      <c r="B41" s="100" t="s">
        <v>70</v>
      </c>
      <c r="C41" s="101" t="s">
        <v>71</v>
      </c>
      <c r="D41" s="132">
        <v>43751769138.889999</v>
      </c>
      <c r="E41" s="109">
        <f>(D41/$K$76)</f>
        <v>7.6964328528665469E-3</v>
      </c>
      <c r="F41" s="120">
        <v>100</v>
      </c>
      <c r="G41" s="120">
        <v>100</v>
      </c>
      <c r="H41" s="110">
        <v>5856</v>
      </c>
      <c r="I41" s="111">
        <v>0.1583</v>
      </c>
      <c r="J41" s="111">
        <v>0.1583</v>
      </c>
      <c r="K41" s="132">
        <v>43547213491.800003</v>
      </c>
      <c r="L41" s="109">
        <f>(K41/$K$76)</f>
        <v>7.6604491924686085E-3</v>
      </c>
      <c r="M41" s="120">
        <v>100</v>
      </c>
      <c r="N41" s="120">
        <v>100</v>
      </c>
      <c r="O41" s="110">
        <v>5859</v>
      </c>
      <c r="P41" s="111">
        <v>0.16089999999999999</v>
      </c>
      <c r="Q41" s="111">
        <v>0.16089999999999999</v>
      </c>
      <c r="R41" s="112">
        <f t="shared" si="19"/>
        <v>-4.6753685877394899E-3</v>
      </c>
      <c r="S41" s="112">
        <f t="shared" si="20"/>
        <v>0</v>
      </c>
      <c r="T41" s="112">
        <f t="shared" si="21"/>
        <v>5.1229508196721314E-4</v>
      </c>
      <c r="U41" s="106">
        <f t="shared" si="22"/>
        <v>2.5999999999999912E-3</v>
      </c>
      <c r="V41" s="107">
        <f t="shared" si="23"/>
        <v>2.5999999999999912E-3</v>
      </c>
    </row>
    <row r="42" spans="1:22">
      <c r="A42" s="131">
        <v>34</v>
      </c>
      <c r="B42" s="100" t="s">
        <v>72</v>
      </c>
      <c r="C42" s="101" t="s">
        <v>73</v>
      </c>
      <c r="D42" s="132">
        <v>66909233003.529999</v>
      </c>
      <c r="E42" s="109">
        <f>(D42/$K$76)</f>
        <v>1.1770093625556548E-2</v>
      </c>
      <c r="F42" s="120">
        <v>1</v>
      </c>
      <c r="G42" s="120">
        <v>1</v>
      </c>
      <c r="H42" s="110">
        <v>16683</v>
      </c>
      <c r="I42" s="111">
        <v>0.1681</v>
      </c>
      <c r="J42" s="111">
        <v>0.1681</v>
      </c>
      <c r="K42" s="132">
        <v>66186669543.900002</v>
      </c>
      <c r="L42" s="109">
        <f t="shared" si="36"/>
        <v>1.1642986510611703E-2</v>
      </c>
      <c r="M42" s="120">
        <v>1</v>
      </c>
      <c r="N42" s="120">
        <v>1</v>
      </c>
      <c r="O42" s="110">
        <v>16855</v>
      </c>
      <c r="P42" s="111">
        <v>0.19359999999999999</v>
      </c>
      <c r="Q42" s="111">
        <v>0.19359999999999999</v>
      </c>
      <c r="R42" s="112">
        <f t="shared" si="19"/>
        <v>-1.079915920709891E-2</v>
      </c>
      <c r="S42" s="112">
        <f t="shared" si="20"/>
        <v>0</v>
      </c>
      <c r="T42" s="112">
        <f t="shared" si="21"/>
        <v>1.0309896301624408E-2</v>
      </c>
      <c r="U42" s="106">
        <f t="shared" si="22"/>
        <v>2.5499999999999995E-2</v>
      </c>
      <c r="V42" s="107">
        <f t="shared" si="23"/>
        <v>2.5499999999999995E-2</v>
      </c>
    </row>
    <row r="43" spans="1:22">
      <c r="A43" s="131">
        <v>35</v>
      </c>
      <c r="B43" s="100" t="s">
        <v>74</v>
      </c>
      <c r="C43" s="101" t="s">
        <v>75</v>
      </c>
      <c r="D43" s="132">
        <v>1509111312.79</v>
      </c>
      <c r="E43" s="109">
        <v>0</v>
      </c>
      <c r="F43" s="120">
        <v>1000</v>
      </c>
      <c r="G43" s="120">
        <v>1000</v>
      </c>
      <c r="H43" s="110">
        <v>120</v>
      </c>
      <c r="I43" s="111">
        <v>0.2029</v>
      </c>
      <c r="J43" s="111">
        <v>0.2029</v>
      </c>
      <c r="K43" s="132">
        <v>1491366880.27</v>
      </c>
      <c r="L43" s="109">
        <f t="shared" si="36"/>
        <v>2.6234836393814278E-4</v>
      </c>
      <c r="M43" s="120">
        <v>1000</v>
      </c>
      <c r="N43" s="120">
        <v>1000</v>
      </c>
      <c r="O43" s="110">
        <v>120</v>
      </c>
      <c r="P43" s="111">
        <v>0.20519999999999999</v>
      </c>
      <c r="Q43" s="111">
        <v>0.20519999999999999</v>
      </c>
      <c r="R43" s="112">
        <f t="shared" si="19"/>
        <v>-1.1758199921776879E-2</v>
      </c>
      <c r="S43" s="112">
        <f t="shared" si="20"/>
        <v>0</v>
      </c>
      <c r="T43" s="112">
        <f t="shared" si="21"/>
        <v>0</v>
      </c>
      <c r="U43" s="106">
        <f t="shared" si="22"/>
        <v>2.2999999999999965E-3</v>
      </c>
      <c r="V43" s="107">
        <f t="shared" si="23"/>
        <v>2.2999999999999965E-3</v>
      </c>
    </row>
    <row r="44" spans="1:22">
      <c r="A44" s="131">
        <v>36</v>
      </c>
      <c r="B44" s="100" t="s">
        <v>76</v>
      </c>
      <c r="C44" s="101" t="s">
        <v>77</v>
      </c>
      <c r="D44" s="132">
        <v>87417036033.5</v>
      </c>
      <c r="E44" s="109">
        <f t="shared" ref="E44:E52" si="37">(D44/$K$76)</f>
        <v>1.5377648979008059E-2</v>
      </c>
      <c r="F44" s="134">
        <v>100</v>
      </c>
      <c r="G44" s="134">
        <v>100</v>
      </c>
      <c r="H44" s="110">
        <v>4863</v>
      </c>
      <c r="I44" s="111">
        <v>0.15379999999999999</v>
      </c>
      <c r="J44" s="111">
        <v>0.15379999999999999</v>
      </c>
      <c r="K44" s="132">
        <v>87663680513.899994</v>
      </c>
      <c r="L44" s="109">
        <f t="shared" si="36"/>
        <v>1.5421036542969247E-2</v>
      </c>
      <c r="M44" s="134">
        <v>100</v>
      </c>
      <c r="N44" s="134">
        <v>100</v>
      </c>
      <c r="O44" s="110">
        <v>4953</v>
      </c>
      <c r="P44" s="111">
        <v>0.15029999999999999</v>
      </c>
      <c r="Q44" s="111">
        <v>0.15029999999999999</v>
      </c>
      <c r="R44" s="112">
        <f t="shared" si="19"/>
        <v>2.8214692649322346E-3</v>
      </c>
      <c r="S44" s="112">
        <f t="shared" si="20"/>
        <v>0</v>
      </c>
      <c r="T44" s="112">
        <f t="shared" si="21"/>
        <v>1.850709438618137E-2</v>
      </c>
      <c r="U44" s="106">
        <f t="shared" si="22"/>
        <v>-3.5000000000000031E-3</v>
      </c>
      <c r="V44" s="107">
        <f t="shared" si="23"/>
        <v>-3.5000000000000031E-3</v>
      </c>
    </row>
    <row r="45" spans="1:22">
      <c r="A45" s="131">
        <v>37</v>
      </c>
      <c r="B45" s="100" t="s">
        <v>78</v>
      </c>
      <c r="C45" s="101" t="s">
        <v>77</v>
      </c>
      <c r="D45" s="132">
        <v>9911193130.3500004</v>
      </c>
      <c r="E45" s="109">
        <f t="shared" si="37"/>
        <v>1.7434913815113958E-3</v>
      </c>
      <c r="F45" s="134">
        <v>1000000</v>
      </c>
      <c r="G45" s="134">
        <v>1000000</v>
      </c>
      <c r="H45" s="110">
        <v>46</v>
      </c>
      <c r="I45" s="111">
        <v>0.1552</v>
      </c>
      <c r="J45" s="111">
        <v>0.1552</v>
      </c>
      <c r="K45" s="132">
        <v>9893189245.2700005</v>
      </c>
      <c r="L45" s="109">
        <f t="shared" si="36"/>
        <v>1.7403242937493199E-3</v>
      </c>
      <c r="M45" s="134">
        <v>1000000</v>
      </c>
      <c r="N45" s="134">
        <v>1000000</v>
      </c>
      <c r="O45" s="110">
        <v>50</v>
      </c>
      <c r="P45" s="111">
        <v>0.1545</v>
      </c>
      <c r="Q45" s="111">
        <v>0.1545</v>
      </c>
      <c r="R45" s="112">
        <f t="shared" si="19"/>
        <v>-1.8165204575490035E-3</v>
      </c>
      <c r="S45" s="112">
        <f t="shared" si="20"/>
        <v>0</v>
      </c>
      <c r="T45" s="112">
        <f t="shared" si="21"/>
        <v>8.6956521739130432E-2</v>
      </c>
      <c r="U45" s="106">
        <f t="shared" si="22"/>
        <v>-7.0000000000000617E-4</v>
      </c>
      <c r="V45" s="107">
        <f t="shared" si="23"/>
        <v>-7.0000000000000617E-4</v>
      </c>
    </row>
    <row r="46" spans="1:22">
      <c r="A46" s="131">
        <v>38</v>
      </c>
      <c r="B46" s="100" t="s">
        <v>79</v>
      </c>
      <c r="C46" s="101" t="s">
        <v>80</v>
      </c>
      <c r="D46" s="132">
        <v>8100779954.1499996</v>
      </c>
      <c r="E46" s="109">
        <f t="shared" si="37"/>
        <v>1.4250191523694027E-3</v>
      </c>
      <c r="F46" s="120">
        <v>1</v>
      </c>
      <c r="G46" s="120">
        <v>1</v>
      </c>
      <c r="H46" s="110">
        <v>1228</v>
      </c>
      <c r="I46" s="111">
        <v>0.1749</v>
      </c>
      <c r="J46" s="111">
        <v>0.1749</v>
      </c>
      <c r="K46" s="132">
        <v>8120115519.4700003</v>
      </c>
      <c r="L46" s="109">
        <f t="shared" si="36"/>
        <v>1.4284204978026625E-3</v>
      </c>
      <c r="M46" s="120">
        <v>1</v>
      </c>
      <c r="N46" s="120">
        <v>1</v>
      </c>
      <c r="O46" s="110">
        <v>1246</v>
      </c>
      <c r="P46" s="111">
        <v>0.16639999999999999</v>
      </c>
      <c r="Q46" s="111">
        <v>0.16639999999999999</v>
      </c>
      <c r="R46" s="112">
        <f t="shared" si="19"/>
        <v>2.386876995726209E-3</v>
      </c>
      <c r="S46" s="112">
        <f t="shared" si="20"/>
        <v>0</v>
      </c>
      <c r="T46" s="112">
        <f t="shared" si="21"/>
        <v>1.4657980456026058E-2</v>
      </c>
      <c r="U46" s="106">
        <f t="shared" si="22"/>
        <v>-8.5000000000000075E-3</v>
      </c>
      <c r="V46" s="107">
        <f t="shared" si="23"/>
        <v>-8.5000000000000075E-3</v>
      </c>
    </row>
    <row r="47" spans="1:22">
      <c r="A47" s="131">
        <v>39</v>
      </c>
      <c r="B47" s="100" t="s">
        <v>81</v>
      </c>
      <c r="C47" s="101" t="s">
        <v>82</v>
      </c>
      <c r="D47" s="132">
        <v>753112965487.08997</v>
      </c>
      <c r="E47" s="109">
        <f t="shared" si="37"/>
        <v>0.1324811198169904</v>
      </c>
      <c r="F47" s="120">
        <v>100</v>
      </c>
      <c r="G47" s="120">
        <v>100</v>
      </c>
      <c r="H47" s="110">
        <v>40951</v>
      </c>
      <c r="I47" s="111">
        <v>0.1588</v>
      </c>
      <c r="J47" s="111">
        <v>0.1588</v>
      </c>
      <c r="K47" s="132">
        <v>738863259434.42004</v>
      </c>
      <c r="L47" s="109">
        <f t="shared" si="36"/>
        <v>0.12997443476251166</v>
      </c>
      <c r="M47" s="120">
        <v>100</v>
      </c>
      <c r="N47" s="120">
        <v>100</v>
      </c>
      <c r="O47" s="110">
        <v>41108</v>
      </c>
      <c r="P47" s="111">
        <v>0.15840000000000001</v>
      </c>
      <c r="Q47" s="111">
        <v>0.15840000000000001</v>
      </c>
      <c r="R47" s="112">
        <f t="shared" si="19"/>
        <v>-1.8921073870310619E-2</v>
      </c>
      <c r="S47" s="112">
        <f t="shared" si="20"/>
        <v>0</v>
      </c>
      <c r="T47" s="112">
        <f t="shared" si="21"/>
        <v>3.833850211228053E-3</v>
      </c>
      <c r="U47" s="106">
        <f t="shared" si="22"/>
        <v>-3.999999999999837E-4</v>
      </c>
      <c r="V47" s="107">
        <f t="shared" si="23"/>
        <v>-3.999999999999837E-4</v>
      </c>
    </row>
    <row r="48" spans="1:22">
      <c r="A48" s="131">
        <v>40</v>
      </c>
      <c r="B48" s="100" t="s">
        <v>83</v>
      </c>
      <c r="C48" s="101" t="s">
        <v>84</v>
      </c>
      <c r="D48" s="135">
        <v>5997513301.1499996</v>
      </c>
      <c r="E48" s="109">
        <f t="shared" si="37"/>
        <v>1.0550306722441724E-3</v>
      </c>
      <c r="F48" s="120">
        <v>1</v>
      </c>
      <c r="G48" s="120">
        <v>1</v>
      </c>
      <c r="H48" s="136">
        <v>2248</v>
      </c>
      <c r="I48" s="137">
        <v>0.1782</v>
      </c>
      <c r="J48" s="137">
        <v>0.1782</v>
      </c>
      <c r="K48" s="135">
        <v>6211466097.9099998</v>
      </c>
      <c r="L48" s="109">
        <f t="shared" si="36"/>
        <v>1.0926673979436289E-3</v>
      </c>
      <c r="M48" s="120">
        <v>1</v>
      </c>
      <c r="N48" s="120">
        <v>1</v>
      </c>
      <c r="O48" s="136">
        <v>2272</v>
      </c>
      <c r="P48" s="137">
        <v>0.17949999999999999</v>
      </c>
      <c r="Q48" s="137">
        <v>0.17949999999999999</v>
      </c>
      <c r="R48" s="112">
        <f t="shared" si="19"/>
        <v>3.5673584370204833E-2</v>
      </c>
      <c r="S48" s="112">
        <f t="shared" si="20"/>
        <v>0</v>
      </c>
      <c r="T48" s="112">
        <f t="shared" si="21"/>
        <v>1.0676156583629894E-2</v>
      </c>
      <c r="U48" s="106">
        <f t="shared" si="22"/>
        <v>1.2999999999999956E-3</v>
      </c>
      <c r="V48" s="107">
        <f t="shared" si="23"/>
        <v>1.2999999999999956E-3</v>
      </c>
    </row>
    <row r="49" spans="1:22">
      <c r="A49" s="131">
        <v>41</v>
      </c>
      <c r="B49" s="100" t="s">
        <v>85</v>
      </c>
      <c r="C49" s="101" t="s">
        <v>86</v>
      </c>
      <c r="D49" s="132">
        <v>4915036951.29</v>
      </c>
      <c r="E49" s="109">
        <f t="shared" si="37"/>
        <v>8.6461079424869874E-4</v>
      </c>
      <c r="F49" s="120">
        <v>1</v>
      </c>
      <c r="G49" s="120">
        <v>1</v>
      </c>
      <c r="H49" s="136">
        <v>791</v>
      </c>
      <c r="I49" s="137">
        <v>0.15</v>
      </c>
      <c r="J49" s="137">
        <v>0.15</v>
      </c>
      <c r="K49" s="132">
        <v>5100120817.4300003</v>
      </c>
      <c r="L49" s="109">
        <f>(K49/$K$76)</f>
        <v>8.9716914733776868E-4</v>
      </c>
      <c r="M49" s="120">
        <v>1</v>
      </c>
      <c r="N49" s="120">
        <v>1</v>
      </c>
      <c r="O49" s="136">
        <v>805</v>
      </c>
      <c r="P49" s="137">
        <v>0.15</v>
      </c>
      <c r="Q49" s="137">
        <v>0.15</v>
      </c>
      <c r="R49" s="112">
        <f t="shared" si="19"/>
        <v>3.7656658123683739E-2</v>
      </c>
      <c r="S49" s="112">
        <f t="shared" si="20"/>
        <v>0</v>
      </c>
      <c r="T49" s="112">
        <f t="shared" si="21"/>
        <v>1.7699115044247787E-2</v>
      </c>
      <c r="U49" s="106">
        <f t="shared" si="22"/>
        <v>0</v>
      </c>
      <c r="V49" s="107">
        <f t="shared" si="23"/>
        <v>0</v>
      </c>
    </row>
    <row r="50" spans="1:22">
      <c r="A50" s="131">
        <v>42</v>
      </c>
      <c r="B50" s="100" t="s">
        <v>87</v>
      </c>
      <c r="C50" s="101" t="s">
        <v>88</v>
      </c>
      <c r="D50" s="132">
        <v>8196760.6200000001</v>
      </c>
      <c r="E50" s="109">
        <f t="shared" si="37"/>
        <v>1.4419032410457467E-6</v>
      </c>
      <c r="F50" s="120">
        <v>1</v>
      </c>
      <c r="G50" s="120">
        <v>1</v>
      </c>
      <c r="H50" s="136">
        <v>36</v>
      </c>
      <c r="I50" s="137">
        <v>0.105</v>
      </c>
      <c r="J50" s="137">
        <v>0.105</v>
      </c>
      <c r="K50" s="132">
        <v>8196760.6200000001</v>
      </c>
      <c r="L50" s="109">
        <f t="shared" si="36"/>
        <v>1.4419032410457467E-6</v>
      </c>
      <c r="M50" s="120">
        <v>1</v>
      </c>
      <c r="N50" s="120">
        <v>1</v>
      </c>
      <c r="O50" s="136">
        <v>37</v>
      </c>
      <c r="P50" s="137">
        <v>0.105</v>
      </c>
      <c r="Q50" s="137">
        <v>0.105</v>
      </c>
      <c r="R50" s="112">
        <f t="shared" si="19"/>
        <v>0</v>
      </c>
      <c r="S50" s="112">
        <f t="shared" si="20"/>
        <v>0</v>
      </c>
      <c r="T50" s="112">
        <f t="shared" si="21"/>
        <v>2.7777777777777776E-2</v>
      </c>
      <c r="U50" s="106">
        <f t="shared" si="22"/>
        <v>0</v>
      </c>
      <c r="V50" s="107">
        <f t="shared" si="23"/>
        <v>0</v>
      </c>
    </row>
    <row r="51" spans="1:22">
      <c r="A51" s="131">
        <v>43</v>
      </c>
      <c r="B51" s="100" t="s">
        <v>89</v>
      </c>
      <c r="C51" s="101" t="s">
        <v>90</v>
      </c>
      <c r="D51" s="132">
        <v>1932566220.4300001</v>
      </c>
      <c r="E51" s="109">
        <f t="shared" si="37"/>
        <v>3.3996033627898555E-4</v>
      </c>
      <c r="F51" s="120">
        <v>10</v>
      </c>
      <c r="G51" s="120">
        <v>10</v>
      </c>
      <c r="H51" s="110">
        <v>562</v>
      </c>
      <c r="I51" s="111">
        <v>0.16270000000000001</v>
      </c>
      <c r="J51" s="111">
        <v>0.16270000000000001</v>
      </c>
      <c r="K51" s="132">
        <v>1960345418.48</v>
      </c>
      <c r="L51" s="109">
        <f t="shared" si="36"/>
        <v>3.4484701255988278E-4</v>
      </c>
      <c r="M51" s="120">
        <v>10</v>
      </c>
      <c r="N51" s="120">
        <v>10</v>
      </c>
      <c r="O51" s="110">
        <v>566</v>
      </c>
      <c r="P51" s="111">
        <v>0.16339999999999999</v>
      </c>
      <c r="Q51" s="111">
        <v>0.16339999999999999</v>
      </c>
      <c r="R51" s="112">
        <f t="shared" si="19"/>
        <v>1.4374254168542292E-2</v>
      </c>
      <c r="S51" s="112">
        <f t="shared" si="20"/>
        <v>0</v>
      </c>
      <c r="T51" s="112">
        <f t="shared" si="21"/>
        <v>7.1174377224199285E-3</v>
      </c>
      <c r="U51" s="106">
        <f t="shared" si="22"/>
        <v>6.9999999999997842E-4</v>
      </c>
      <c r="V51" s="107">
        <f t="shared" si="23"/>
        <v>6.9999999999997842E-4</v>
      </c>
    </row>
    <row r="52" spans="1:22">
      <c r="A52" s="131">
        <v>44</v>
      </c>
      <c r="B52" s="100" t="s">
        <v>91</v>
      </c>
      <c r="C52" s="101" t="s">
        <v>92</v>
      </c>
      <c r="D52" s="132">
        <v>13464923469.290001</v>
      </c>
      <c r="E52" s="109">
        <f t="shared" si="37"/>
        <v>2.3686328893672377E-3</v>
      </c>
      <c r="F52" s="120">
        <v>100</v>
      </c>
      <c r="G52" s="120">
        <v>100</v>
      </c>
      <c r="H52" s="110">
        <v>1067</v>
      </c>
      <c r="I52" s="111">
        <v>0.18360000000000001</v>
      </c>
      <c r="J52" s="111">
        <v>0.18360000000000001</v>
      </c>
      <c r="K52" s="132">
        <v>13935317703.139999</v>
      </c>
      <c r="L52" s="109">
        <f t="shared" si="36"/>
        <v>2.4513805749227474E-3</v>
      </c>
      <c r="M52" s="120">
        <v>100</v>
      </c>
      <c r="N52" s="120">
        <v>100</v>
      </c>
      <c r="O52" s="110">
        <v>1077</v>
      </c>
      <c r="P52" s="111">
        <v>0.18809999999999999</v>
      </c>
      <c r="Q52" s="111">
        <v>0.18809999999999999</v>
      </c>
      <c r="R52" s="112">
        <f t="shared" si="19"/>
        <v>3.4934787035577716E-2</v>
      </c>
      <c r="S52" s="112">
        <f t="shared" si="20"/>
        <v>0</v>
      </c>
      <c r="T52" s="112">
        <f t="shared" si="21"/>
        <v>9.3720712277413302E-3</v>
      </c>
      <c r="U52" s="106">
        <f t="shared" si="22"/>
        <v>4.4999999999999762E-3</v>
      </c>
      <c r="V52" s="107">
        <f t="shared" si="23"/>
        <v>4.4999999999999762E-3</v>
      </c>
    </row>
    <row r="53" spans="1:22">
      <c r="A53" s="131">
        <v>45</v>
      </c>
      <c r="B53" s="100" t="s">
        <v>93</v>
      </c>
      <c r="C53" s="100" t="s">
        <v>94</v>
      </c>
      <c r="D53" s="138">
        <v>141888468.38817301</v>
      </c>
      <c r="E53" s="109">
        <v>0</v>
      </c>
      <c r="F53" s="108">
        <v>1</v>
      </c>
      <c r="G53" s="108">
        <v>1</v>
      </c>
      <c r="H53" s="110">
        <v>147</v>
      </c>
      <c r="I53" s="111">
        <v>0.14929999999999999</v>
      </c>
      <c r="J53" s="111">
        <v>0.14929999999999999</v>
      </c>
      <c r="K53" s="138">
        <v>126308793.63</v>
      </c>
      <c r="L53" s="139">
        <f>(K53/$K$203)</f>
        <v>9.2165063656199299E-4</v>
      </c>
      <c r="M53" s="108">
        <v>1</v>
      </c>
      <c r="N53" s="108">
        <v>1</v>
      </c>
      <c r="O53" s="110">
        <v>147</v>
      </c>
      <c r="P53" s="111">
        <v>0.1603</v>
      </c>
      <c r="Q53" s="111">
        <v>0.1603</v>
      </c>
      <c r="R53" s="106">
        <f t="shared" si="19"/>
        <v>-0.10980226184097459</v>
      </c>
      <c r="S53" s="106">
        <f t="shared" si="20"/>
        <v>0</v>
      </c>
      <c r="T53" s="106">
        <f t="shared" si="21"/>
        <v>0</v>
      </c>
      <c r="U53" s="106">
        <f t="shared" si="22"/>
        <v>1.100000000000001E-2</v>
      </c>
      <c r="V53" s="107">
        <f t="shared" si="23"/>
        <v>1.100000000000001E-2</v>
      </c>
    </row>
    <row r="54" spans="1:22">
      <c r="A54" s="131">
        <v>46</v>
      </c>
      <c r="B54" s="100" t="s">
        <v>95</v>
      </c>
      <c r="C54" s="101" t="s">
        <v>36</v>
      </c>
      <c r="D54" s="132">
        <v>2397427817.1399999</v>
      </c>
      <c r="E54" s="109">
        <f t="shared" ref="E54:E75" si="38">(D54/$K$76)</f>
        <v>4.2173476815617869E-4</v>
      </c>
      <c r="F54" s="120">
        <v>100</v>
      </c>
      <c r="G54" s="120">
        <v>100</v>
      </c>
      <c r="H54" s="110">
        <v>9274</v>
      </c>
      <c r="I54" s="111">
        <v>0.1542</v>
      </c>
      <c r="J54" s="111">
        <v>0.1542</v>
      </c>
      <c r="K54" s="132">
        <v>2453927378.71</v>
      </c>
      <c r="L54" s="109">
        <f t="shared" ref="L54:L67" si="39">(K54/$K$76)</f>
        <v>4.3167368240806846E-4</v>
      </c>
      <c r="M54" s="120">
        <v>100</v>
      </c>
      <c r="N54" s="120">
        <v>100</v>
      </c>
      <c r="O54" s="110">
        <v>9405</v>
      </c>
      <c r="P54" s="111">
        <v>0.14510000000000001</v>
      </c>
      <c r="Q54" s="111">
        <v>0.14510000000000001</v>
      </c>
      <c r="R54" s="112">
        <f t="shared" ref="R54" si="40">((K54-D54)/D54)</f>
        <v>2.3566741474369417E-2</v>
      </c>
      <c r="S54" s="112">
        <f t="shared" ref="S54" si="41">((N54-G54)/G54)</f>
        <v>0</v>
      </c>
      <c r="T54" s="112">
        <f t="shared" ref="T54" si="42">((O54-H54)/H54)</f>
        <v>1.4125512184602113E-2</v>
      </c>
      <c r="U54" s="106">
        <f t="shared" ref="U54" si="43">P54-I54</f>
        <v>-9.099999999999997E-3</v>
      </c>
      <c r="V54" s="107">
        <f t="shared" ref="V54" si="44">Q54-J54</f>
        <v>-9.099999999999997E-3</v>
      </c>
    </row>
    <row r="55" spans="1:22">
      <c r="A55" s="131">
        <v>47</v>
      </c>
      <c r="B55" s="100" t="s">
        <v>96</v>
      </c>
      <c r="C55" s="101" t="s">
        <v>36</v>
      </c>
      <c r="D55" s="132">
        <v>438424415670.59003</v>
      </c>
      <c r="E55" s="109">
        <f t="shared" si="38"/>
        <v>7.7123831622767508E-2</v>
      </c>
      <c r="F55" s="120">
        <v>100</v>
      </c>
      <c r="G55" s="120">
        <v>100</v>
      </c>
      <c r="H55" s="110">
        <v>40373</v>
      </c>
      <c r="I55" s="111">
        <v>0.17419999999999999</v>
      </c>
      <c r="J55" s="111">
        <v>0.17419999999999999</v>
      </c>
      <c r="K55" s="132">
        <v>449165754888.53998</v>
      </c>
      <c r="L55" s="109">
        <f t="shared" si="39"/>
        <v>7.9013355124740142E-2</v>
      </c>
      <c r="M55" s="120">
        <v>100</v>
      </c>
      <c r="N55" s="120">
        <v>100</v>
      </c>
      <c r="O55" s="110">
        <v>41026</v>
      </c>
      <c r="P55" s="111">
        <v>0.16969999999999999</v>
      </c>
      <c r="Q55" s="111">
        <v>0.16969999999999999</v>
      </c>
      <c r="R55" s="112">
        <f t="shared" si="19"/>
        <v>2.4499865504799923E-2</v>
      </c>
      <c r="S55" s="112">
        <f t="shared" si="20"/>
        <v>0</v>
      </c>
      <c r="T55" s="112">
        <f t="shared" si="21"/>
        <v>1.6174175810566467E-2</v>
      </c>
      <c r="U55" s="106">
        <f t="shared" si="22"/>
        <v>-4.500000000000004E-3</v>
      </c>
      <c r="V55" s="107">
        <f t="shared" si="23"/>
        <v>-4.500000000000004E-3</v>
      </c>
    </row>
    <row r="56" spans="1:22">
      <c r="A56" s="131">
        <v>48</v>
      </c>
      <c r="B56" s="100" t="s">
        <v>97</v>
      </c>
      <c r="C56" s="101" t="s">
        <v>40</v>
      </c>
      <c r="D56" s="132">
        <v>63451701444.419998</v>
      </c>
      <c r="E56" s="109">
        <f t="shared" si="38"/>
        <v>1.1161874575102119E-2</v>
      </c>
      <c r="F56" s="120">
        <v>1</v>
      </c>
      <c r="G56" s="120">
        <v>1</v>
      </c>
      <c r="H56" s="110">
        <v>3606</v>
      </c>
      <c r="I56" s="111">
        <v>0.1615</v>
      </c>
      <c r="J56" s="111">
        <v>0.1615</v>
      </c>
      <c r="K56" s="132">
        <v>65344735053.400002</v>
      </c>
      <c r="L56" s="109">
        <f t="shared" si="39"/>
        <v>1.1494880676260748E-2</v>
      </c>
      <c r="M56" s="120">
        <v>1</v>
      </c>
      <c r="N56" s="120">
        <v>1</v>
      </c>
      <c r="O56" s="110">
        <v>3645</v>
      </c>
      <c r="P56" s="111">
        <v>0.1615</v>
      </c>
      <c r="Q56" s="111">
        <v>0.1615</v>
      </c>
      <c r="R56" s="112">
        <f t="shared" si="19"/>
        <v>2.9834245038144341E-2</v>
      </c>
      <c r="S56" s="112">
        <f t="shared" si="20"/>
        <v>0</v>
      </c>
      <c r="T56" s="112">
        <f t="shared" si="21"/>
        <v>1.0815307820299502E-2</v>
      </c>
      <c r="U56" s="106">
        <f t="shared" si="22"/>
        <v>0</v>
      </c>
      <c r="V56" s="107">
        <f t="shared" si="23"/>
        <v>0</v>
      </c>
    </row>
    <row r="57" spans="1:22">
      <c r="A57" s="131">
        <v>49</v>
      </c>
      <c r="B57" s="100" t="s">
        <v>98</v>
      </c>
      <c r="C57" s="101" t="s">
        <v>99</v>
      </c>
      <c r="D57" s="132">
        <v>6226383418.0089998</v>
      </c>
      <c r="E57" s="109">
        <f t="shared" si="38"/>
        <v>1.0952915238874783E-3</v>
      </c>
      <c r="F57" s="120">
        <v>100</v>
      </c>
      <c r="G57" s="120">
        <v>100</v>
      </c>
      <c r="H57" s="110">
        <v>996</v>
      </c>
      <c r="I57" s="111">
        <v>0.1641</v>
      </c>
      <c r="J57" s="111">
        <v>0.1641</v>
      </c>
      <c r="K57" s="132">
        <v>6417034663.4483995</v>
      </c>
      <c r="L57" s="109">
        <f t="shared" si="39"/>
        <v>1.1288292421950891E-3</v>
      </c>
      <c r="M57" s="120">
        <v>100</v>
      </c>
      <c r="N57" s="120">
        <v>100</v>
      </c>
      <c r="O57" s="110">
        <v>993</v>
      </c>
      <c r="P57" s="111">
        <v>0.16339999999999999</v>
      </c>
      <c r="Q57" s="111">
        <v>0.16339999999999999</v>
      </c>
      <c r="R57" s="112">
        <f t="shared" si="19"/>
        <v>3.0619901255673706E-2</v>
      </c>
      <c r="S57" s="112">
        <f t="shared" si="20"/>
        <v>0</v>
      </c>
      <c r="T57" s="112">
        <f t="shared" si="21"/>
        <v>-3.0120481927710845E-3</v>
      </c>
      <c r="U57" s="106">
        <f t="shared" si="22"/>
        <v>-7.0000000000000617E-4</v>
      </c>
      <c r="V57" s="107">
        <f t="shared" si="23"/>
        <v>-7.0000000000000617E-4</v>
      </c>
    </row>
    <row r="58" spans="1:22">
      <c r="A58" s="131">
        <v>50</v>
      </c>
      <c r="B58" s="100" t="s">
        <v>100</v>
      </c>
      <c r="C58" s="101" t="s">
        <v>42</v>
      </c>
      <c r="D58" s="135">
        <v>115231319733.03</v>
      </c>
      <c r="E58" s="109">
        <f t="shared" si="38"/>
        <v>2.0270497223942922E-2</v>
      </c>
      <c r="F58" s="120">
        <v>10</v>
      </c>
      <c r="G58" s="120">
        <v>10</v>
      </c>
      <c r="H58" s="110">
        <v>10723</v>
      </c>
      <c r="I58" s="111">
        <v>0.17530000000000001</v>
      </c>
      <c r="J58" s="111">
        <v>0.17530000000000001</v>
      </c>
      <c r="K58" s="135">
        <v>114551984474.97</v>
      </c>
      <c r="L58" s="109">
        <f t="shared" si="39"/>
        <v>2.015099444037214E-2</v>
      </c>
      <c r="M58" s="120">
        <v>10</v>
      </c>
      <c r="N58" s="120">
        <v>10</v>
      </c>
      <c r="O58" s="110">
        <v>10795</v>
      </c>
      <c r="P58" s="111">
        <v>0.1651</v>
      </c>
      <c r="Q58" s="111">
        <v>0.1651</v>
      </c>
      <c r="R58" s="112">
        <f t="shared" si="19"/>
        <v>-5.8954046489608355E-3</v>
      </c>
      <c r="S58" s="112">
        <f t="shared" si="20"/>
        <v>0</v>
      </c>
      <c r="T58" s="112">
        <f t="shared" si="21"/>
        <v>6.7145388417420501E-3</v>
      </c>
      <c r="U58" s="106">
        <f t="shared" si="22"/>
        <v>-1.0200000000000015E-2</v>
      </c>
      <c r="V58" s="107">
        <f t="shared" si="23"/>
        <v>-1.0200000000000015E-2</v>
      </c>
    </row>
    <row r="59" spans="1:22">
      <c r="A59" s="131">
        <v>51</v>
      </c>
      <c r="B59" s="100" t="s">
        <v>336</v>
      </c>
      <c r="C59" s="101" t="s">
        <v>335</v>
      </c>
      <c r="D59" s="135">
        <v>401650657.63</v>
      </c>
      <c r="E59" s="109">
        <f t="shared" si="38"/>
        <v>7.0654910135078771E-5</v>
      </c>
      <c r="F59" s="120">
        <v>1</v>
      </c>
      <c r="G59" s="120">
        <v>1</v>
      </c>
      <c r="H59" s="110">
        <v>236</v>
      </c>
      <c r="I59" s="111">
        <v>0.18992700000000001</v>
      </c>
      <c r="J59" s="111">
        <v>0.18992700000000001</v>
      </c>
      <c r="K59" s="135">
        <v>442355757.5</v>
      </c>
      <c r="L59" s="109">
        <f t="shared" si="39"/>
        <v>7.7815399278367164E-5</v>
      </c>
      <c r="M59" s="120">
        <v>1</v>
      </c>
      <c r="N59" s="120">
        <v>1</v>
      </c>
      <c r="O59" s="110">
        <v>236</v>
      </c>
      <c r="P59" s="111">
        <v>0.181201</v>
      </c>
      <c r="Q59" s="111">
        <v>0.181201</v>
      </c>
      <c r="R59" s="112">
        <f t="shared" ref="R59" si="45">((K59-D59)/D59)</f>
        <v>0.10134453684250527</v>
      </c>
      <c r="S59" s="112">
        <f t="shared" ref="S59" si="46">((N59-G59)/G59)</f>
        <v>0</v>
      </c>
      <c r="T59" s="112">
        <f t="shared" ref="T59" si="47">((O59-H59)/H59)</f>
        <v>0</v>
      </c>
      <c r="U59" s="106">
        <f t="shared" ref="U59" si="48">P59-I59</f>
        <v>-8.7260000000000115E-3</v>
      </c>
      <c r="V59" s="107">
        <f t="shared" ref="V59" si="49">Q59-J59</f>
        <v>-8.7260000000000115E-3</v>
      </c>
    </row>
    <row r="60" spans="1:22">
      <c r="A60" s="131">
        <v>52</v>
      </c>
      <c r="B60" s="100" t="s">
        <v>101</v>
      </c>
      <c r="C60" s="101" t="s">
        <v>102</v>
      </c>
      <c r="D60" s="132">
        <v>43697005581</v>
      </c>
      <c r="E60" s="109">
        <f t="shared" si="38"/>
        <v>7.6867993213687357E-3</v>
      </c>
      <c r="F60" s="120">
        <v>100</v>
      </c>
      <c r="G60" s="120">
        <v>100</v>
      </c>
      <c r="H60" s="110">
        <v>6285</v>
      </c>
      <c r="I60" s="111">
        <v>0.17219999999999999</v>
      </c>
      <c r="J60" s="111">
        <v>0.17219999999999999</v>
      </c>
      <c r="K60" s="132">
        <v>43717417981</v>
      </c>
      <c r="L60" s="109">
        <f t="shared" si="39"/>
        <v>7.6903900942462194E-3</v>
      </c>
      <c r="M60" s="120">
        <v>100</v>
      </c>
      <c r="N60" s="120">
        <v>100</v>
      </c>
      <c r="O60" s="110">
        <v>6311</v>
      </c>
      <c r="P60" s="111">
        <v>0.17510000000000001</v>
      </c>
      <c r="Q60" s="111">
        <v>0.17510000000000001</v>
      </c>
      <c r="R60" s="112">
        <f t="shared" si="19"/>
        <v>4.6713498393298524E-4</v>
      </c>
      <c r="S60" s="112">
        <f t="shared" si="20"/>
        <v>0</v>
      </c>
      <c r="T60" s="112">
        <f t="shared" si="21"/>
        <v>4.1368337311058073E-3</v>
      </c>
      <c r="U60" s="106">
        <f t="shared" si="22"/>
        <v>2.9000000000000137E-3</v>
      </c>
      <c r="V60" s="107">
        <f t="shared" si="23"/>
        <v>2.9000000000000137E-3</v>
      </c>
    </row>
    <row r="61" spans="1:22">
      <c r="A61" s="131">
        <v>53</v>
      </c>
      <c r="B61" s="100" t="s">
        <v>103</v>
      </c>
      <c r="C61" s="101" t="s">
        <v>104</v>
      </c>
      <c r="D61" s="132">
        <v>179833716.43000001</v>
      </c>
      <c r="E61" s="109">
        <f t="shared" si="38"/>
        <v>3.1634792156431029E-5</v>
      </c>
      <c r="F61" s="120">
        <v>1.01</v>
      </c>
      <c r="G61" s="120">
        <v>1.01</v>
      </c>
      <c r="H61" s="110">
        <v>101</v>
      </c>
      <c r="I61" s="111">
        <v>0.18229999999999999</v>
      </c>
      <c r="J61" s="111">
        <v>0.18229999999999999</v>
      </c>
      <c r="K61" s="132">
        <v>180116817.41</v>
      </c>
      <c r="L61" s="109">
        <f t="shared" si="39"/>
        <v>3.1684592832518749E-5</v>
      </c>
      <c r="M61" s="120">
        <v>1.01</v>
      </c>
      <c r="N61" s="120">
        <v>1.01</v>
      </c>
      <c r="O61" s="110">
        <v>104</v>
      </c>
      <c r="P61" s="111">
        <v>0.1575</v>
      </c>
      <c r="Q61" s="111">
        <v>0.1575</v>
      </c>
      <c r="R61" s="112">
        <f t="shared" si="19"/>
        <v>1.5742374990631186E-3</v>
      </c>
      <c r="S61" s="112">
        <f t="shared" si="20"/>
        <v>0</v>
      </c>
      <c r="T61" s="112">
        <f t="shared" si="21"/>
        <v>2.9702970297029702E-2</v>
      </c>
      <c r="U61" s="106">
        <f t="shared" si="22"/>
        <v>-2.4799999999999989E-2</v>
      </c>
      <c r="V61" s="107">
        <f t="shared" si="23"/>
        <v>-2.4799999999999989E-2</v>
      </c>
    </row>
    <row r="62" spans="1:22">
      <c r="A62" s="131">
        <v>54</v>
      </c>
      <c r="B62" s="100" t="s">
        <v>105</v>
      </c>
      <c r="C62" s="101" t="s">
        <v>44</v>
      </c>
      <c r="D62" s="135">
        <v>2795616654.96</v>
      </c>
      <c r="E62" s="109">
        <f t="shared" si="38"/>
        <v>4.9178070488879212E-4</v>
      </c>
      <c r="F62" s="120">
        <v>10</v>
      </c>
      <c r="G62" s="120">
        <v>10</v>
      </c>
      <c r="H62" s="110">
        <v>992</v>
      </c>
      <c r="I62" s="111">
        <v>0.14599999999999999</v>
      </c>
      <c r="J62" s="111">
        <v>0.14599999999999999</v>
      </c>
      <c r="K62" s="135">
        <v>2844654154.3899999</v>
      </c>
      <c r="L62" s="109">
        <f t="shared" si="39"/>
        <v>5.0040695770241835E-4</v>
      </c>
      <c r="M62" s="120">
        <v>10</v>
      </c>
      <c r="N62" s="120">
        <v>10</v>
      </c>
      <c r="O62" s="110">
        <v>995</v>
      </c>
      <c r="P62" s="111">
        <v>0.1658</v>
      </c>
      <c r="Q62" s="111">
        <v>0.1658</v>
      </c>
      <c r="R62" s="112">
        <f t="shared" si="19"/>
        <v>1.7540852513879969E-2</v>
      </c>
      <c r="S62" s="112">
        <f t="shared" si="20"/>
        <v>0</v>
      </c>
      <c r="T62" s="112">
        <f t="shared" si="21"/>
        <v>3.0241935483870967E-3</v>
      </c>
      <c r="U62" s="106">
        <f t="shared" si="22"/>
        <v>1.9800000000000012E-2</v>
      </c>
      <c r="V62" s="107">
        <f t="shared" si="23"/>
        <v>1.9800000000000012E-2</v>
      </c>
    </row>
    <row r="63" spans="1:22">
      <c r="A63" s="131">
        <v>55</v>
      </c>
      <c r="B63" s="100" t="s">
        <v>106</v>
      </c>
      <c r="C63" s="101" t="s">
        <v>107</v>
      </c>
      <c r="D63" s="135">
        <v>1598195055</v>
      </c>
      <c r="E63" s="109">
        <f t="shared" si="38"/>
        <v>2.8114065256523073E-4</v>
      </c>
      <c r="F63" s="120">
        <v>1</v>
      </c>
      <c r="G63" s="120">
        <v>1</v>
      </c>
      <c r="H63" s="110">
        <v>237</v>
      </c>
      <c r="I63" s="111">
        <v>0.18990000000000001</v>
      </c>
      <c r="J63" s="111">
        <v>0.18990000000000001</v>
      </c>
      <c r="K63" s="135">
        <v>1713173215</v>
      </c>
      <c r="L63" s="109">
        <f t="shared" si="39"/>
        <v>3.0136661611831502E-4</v>
      </c>
      <c r="M63" s="120">
        <v>1</v>
      </c>
      <c r="N63" s="120">
        <v>1</v>
      </c>
      <c r="O63" s="110">
        <v>246</v>
      </c>
      <c r="P63" s="111">
        <v>0.18690000000000001</v>
      </c>
      <c r="Q63" s="111">
        <v>0.18690000000000001</v>
      </c>
      <c r="R63" s="112">
        <f t="shared" si="19"/>
        <v>7.1942507668439751E-2</v>
      </c>
      <c r="S63" s="112">
        <f t="shared" si="20"/>
        <v>0</v>
      </c>
      <c r="T63" s="112">
        <f t="shared" si="21"/>
        <v>3.7974683544303799E-2</v>
      </c>
      <c r="U63" s="106">
        <f t="shared" si="22"/>
        <v>-3.0000000000000027E-3</v>
      </c>
      <c r="V63" s="107">
        <f t="shared" si="23"/>
        <v>-3.0000000000000027E-3</v>
      </c>
    </row>
    <row r="64" spans="1:22">
      <c r="A64" s="131">
        <v>56</v>
      </c>
      <c r="B64" s="100" t="s">
        <v>108</v>
      </c>
      <c r="C64" s="101" t="s">
        <v>109</v>
      </c>
      <c r="D64" s="135">
        <v>2503448919.5999999</v>
      </c>
      <c r="E64" s="109">
        <f t="shared" si="38"/>
        <v>4.4038508360925061E-4</v>
      </c>
      <c r="F64" s="120">
        <v>1</v>
      </c>
      <c r="G64" s="120">
        <v>1</v>
      </c>
      <c r="H64" s="110">
        <v>2669</v>
      </c>
      <c r="I64" s="111">
        <v>0.16289999999999999</v>
      </c>
      <c r="J64" s="111">
        <v>0.16289999999999999</v>
      </c>
      <c r="K64" s="135">
        <v>2526183725.84447</v>
      </c>
      <c r="L64" s="109">
        <f t="shared" si="39"/>
        <v>4.4438439410862793E-4</v>
      </c>
      <c r="M64" s="120">
        <v>1</v>
      </c>
      <c r="N64" s="120">
        <v>1</v>
      </c>
      <c r="O64" s="110">
        <v>2775</v>
      </c>
      <c r="P64" s="111">
        <v>0.16070000000000001</v>
      </c>
      <c r="Q64" s="111">
        <v>0.16070000000000001</v>
      </c>
      <c r="R64" s="112">
        <f t="shared" si="19"/>
        <v>9.0813940985473261E-3</v>
      </c>
      <c r="S64" s="112">
        <f t="shared" si="20"/>
        <v>0</v>
      </c>
      <c r="T64" s="112">
        <f t="shared" si="21"/>
        <v>3.9715249156987639E-2</v>
      </c>
      <c r="U64" s="106">
        <f t="shared" si="22"/>
        <v>-2.1999999999999797E-3</v>
      </c>
      <c r="V64" s="107">
        <f t="shared" si="23"/>
        <v>-2.1999999999999797E-3</v>
      </c>
    </row>
    <row r="65" spans="1:22">
      <c r="A65" s="131">
        <v>57</v>
      </c>
      <c r="B65" s="100" t="s">
        <v>110</v>
      </c>
      <c r="C65" s="101" t="s">
        <v>111</v>
      </c>
      <c r="D65" s="135">
        <v>15170932807.693701</v>
      </c>
      <c r="E65" s="109">
        <f t="shared" si="38"/>
        <v>2.6687392982693687E-3</v>
      </c>
      <c r="F65" s="120">
        <v>100</v>
      </c>
      <c r="G65" s="120">
        <v>100</v>
      </c>
      <c r="H65" s="110">
        <v>163</v>
      </c>
      <c r="I65" s="111">
        <v>0.15670000000000001</v>
      </c>
      <c r="J65" s="111">
        <v>0.15670000000000001</v>
      </c>
      <c r="K65" s="135">
        <v>15530435020.821501</v>
      </c>
      <c r="L65" s="109">
        <f t="shared" si="39"/>
        <v>2.7319798185557955E-3</v>
      </c>
      <c r="M65" s="120">
        <v>100</v>
      </c>
      <c r="N65" s="120">
        <v>100</v>
      </c>
      <c r="O65" s="110">
        <v>164</v>
      </c>
      <c r="P65" s="111">
        <v>0.15640000000000001</v>
      </c>
      <c r="Q65" s="111">
        <v>0.15640000000000001</v>
      </c>
      <c r="R65" s="112">
        <f t="shared" si="19"/>
        <v>2.3696777098998426E-2</v>
      </c>
      <c r="S65" s="112">
        <f t="shared" si="20"/>
        <v>0</v>
      </c>
      <c r="T65" s="112">
        <f t="shared" si="21"/>
        <v>6.1349693251533744E-3</v>
      </c>
      <c r="U65" s="106">
        <f t="shared" si="22"/>
        <v>-2.9999999999999472E-4</v>
      </c>
      <c r="V65" s="107">
        <f t="shared" si="23"/>
        <v>-2.9999999999999472E-4</v>
      </c>
    </row>
    <row r="66" spans="1:22">
      <c r="A66" s="131">
        <v>58</v>
      </c>
      <c r="B66" s="100" t="s">
        <v>327</v>
      </c>
      <c r="C66" s="101" t="s">
        <v>75</v>
      </c>
      <c r="D66" s="135">
        <v>122954761.37</v>
      </c>
      <c r="E66" s="109">
        <f t="shared" si="38"/>
        <v>2.162913828285123E-5</v>
      </c>
      <c r="F66" s="120">
        <v>1000</v>
      </c>
      <c r="G66" s="120">
        <v>1000</v>
      </c>
      <c r="H66" s="110">
        <v>29</v>
      </c>
      <c r="I66" s="111">
        <v>0.22170000000000001</v>
      </c>
      <c r="J66" s="111">
        <v>0.22170000000000001</v>
      </c>
      <c r="K66" s="135">
        <v>123629559.54000001</v>
      </c>
      <c r="L66" s="109">
        <f t="shared" si="39"/>
        <v>2.174784294112814E-5</v>
      </c>
      <c r="M66" s="120">
        <v>1000</v>
      </c>
      <c r="N66" s="120">
        <v>1000</v>
      </c>
      <c r="O66" s="110">
        <v>30</v>
      </c>
      <c r="P66" s="111">
        <v>0.2341</v>
      </c>
      <c r="Q66" s="111">
        <v>0.2341</v>
      </c>
      <c r="R66" s="112">
        <f t="shared" si="19"/>
        <v>5.4881825029075059E-3</v>
      </c>
      <c r="S66" s="112">
        <f t="shared" si="20"/>
        <v>0</v>
      </c>
      <c r="T66" s="112">
        <f t="shared" si="21"/>
        <v>3.4482758620689655E-2</v>
      </c>
      <c r="U66" s="106">
        <f t="shared" si="22"/>
        <v>1.2399999999999994E-2</v>
      </c>
      <c r="V66" s="107">
        <f t="shared" si="23"/>
        <v>1.2399999999999994E-2</v>
      </c>
    </row>
    <row r="67" spans="1:22">
      <c r="A67" s="131">
        <v>59</v>
      </c>
      <c r="B67" s="100" t="s">
        <v>329</v>
      </c>
      <c r="C67" s="101" t="s">
        <v>32</v>
      </c>
      <c r="D67" s="116">
        <v>2163386968</v>
      </c>
      <c r="E67" s="109">
        <f t="shared" si="38"/>
        <v>3.80564326007526E-4</v>
      </c>
      <c r="F67" s="108">
        <v>1</v>
      </c>
      <c r="G67" s="108">
        <v>1</v>
      </c>
      <c r="H67" s="110">
        <v>345</v>
      </c>
      <c r="I67" s="111">
        <v>0.1772</v>
      </c>
      <c r="J67" s="111">
        <v>0.1772</v>
      </c>
      <c r="K67" s="116">
        <v>2138468968</v>
      </c>
      <c r="L67" s="109">
        <f t="shared" si="39"/>
        <v>3.7618096694337199E-4</v>
      </c>
      <c r="M67" s="108">
        <v>1</v>
      </c>
      <c r="N67" s="108">
        <v>1</v>
      </c>
      <c r="O67" s="110">
        <v>345</v>
      </c>
      <c r="P67" s="111">
        <v>0.1772</v>
      </c>
      <c r="Q67" s="111">
        <v>0.1772</v>
      </c>
      <c r="R67" s="112">
        <f t="shared" si="19"/>
        <v>-1.1518050338925773E-2</v>
      </c>
      <c r="S67" s="112">
        <f t="shared" si="20"/>
        <v>0</v>
      </c>
      <c r="T67" s="112">
        <f t="shared" si="21"/>
        <v>0</v>
      </c>
      <c r="U67" s="106">
        <f t="shared" si="22"/>
        <v>0</v>
      </c>
      <c r="V67" s="107">
        <f t="shared" si="23"/>
        <v>0</v>
      </c>
    </row>
    <row r="68" spans="1:22">
      <c r="A68" s="131">
        <v>60</v>
      </c>
      <c r="B68" s="100" t="s">
        <v>112</v>
      </c>
      <c r="C68" s="101" t="s">
        <v>48</v>
      </c>
      <c r="D68" s="132">
        <v>2739695942558.96</v>
      </c>
      <c r="E68" s="109">
        <f t="shared" si="38"/>
        <v>0.48194361677670244</v>
      </c>
      <c r="F68" s="120">
        <v>100</v>
      </c>
      <c r="G68" s="120">
        <v>100</v>
      </c>
      <c r="H68" s="110">
        <v>316009</v>
      </c>
      <c r="I68" s="111">
        <v>0.1542</v>
      </c>
      <c r="J68" s="111">
        <v>0.1542</v>
      </c>
      <c r="K68" s="132">
        <v>2758605992071.6001</v>
      </c>
      <c r="L68" s="109">
        <f>(K68/$K$76)</f>
        <v>0.4852701091490772</v>
      </c>
      <c r="M68" s="120">
        <v>100</v>
      </c>
      <c r="N68" s="120">
        <v>100</v>
      </c>
      <c r="O68" s="110">
        <v>319111</v>
      </c>
      <c r="P68" s="111">
        <v>0.1542</v>
      </c>
      <c r="Q68" s="111">
        <v>0.1542</v>
      </c>
      <c r="R68" s="112">
        <f t="shared" si="19"/>
        <v>6.9022438654187191E-3</v>
      </c>
      <c r="S68" s="112">
        <f t="shared" si="20"/>
        <v>0</v>
      </c>
      <c r="T68" s="112">
        <f t="shared" si="21"/>
        <v>9.8161761215661576E-3</v>
      </c>
      <c r="U68" s="106">
        <f t="shared" si="22"/>
        <v>0</v>
      </c>
      <c r="V68" s="107">
        <f t="shared" si="23"/>
        <v>0</v>
      </c>
    </row>
    <row r="69" spans="1:22">
      <c r="A69" s="131">
        <v>61</v>
      </c>
      <c r="B69" s="100" t="s">
        <v>113</v>
      </c>
      <c r="C69" s="100" t="s">
        <v>114</v>
      </c>
      <c r="D69" s="132">
        <v>13279902985.08</v>
      </c>
      <c r="E69" s="109">
        <f t="shared" si="38"/>
        <v>2.3360856858791537E-3</v>
      </c>
      <c r="F69" s="120">
        <v>100</v>
      </c>
      <c r="G69" s="120">
        <v>100</v>
      </c>
      <c r="H69" s="110">
        <v>1449</v>
      </c>
      <c r="I69" s="111">
        <v>0.19539999999999999</v>
      </c>
      <c r="J69" s="111">
        <v>0.19539999999999999</v>
      </c>
      <c r="K69" s="132">
        <v>13541455741.469999</v>
      </c>
      <c r="L69" s="109">
        <f t="shared" ref="L69:L75" si="50">(K69/$K$76)</f>
        <v>2.3820957848227518E-3</v>
      </c>
      <c r="M69" s="120">
        <v>100</v>
      </c>
      <c r="N69" s="120">
        <v>100</v>
      </c>
      <c r="O69" s="110">
        <v>1508</v>
      </c>
      <c r="P69" s="111">
        <v>0.19409999999999999</v>
      </c>
      <c r="Q69" s="111">
        <v>0.19409999999999999</v>
      </c>
      <c r="R69" s="112">
        <f t="shared" si="19"/>
        <v>1.9695381561435688E-2</v>
      </c>
      <c r="S69" s="112">
        <f t="shared" si="20"/>
        <v>0</v>
      </c>
      <c r="T69" s="112">
        <f t="shared" si="21"/>
        <v>4.071773636991028E-2</v>
      </c>
      <c r="U69" s="106">
        <f t="shared" si="22"/>
        <v>-1.2999999999999956E-3</v>
      </c>
      <c r="V69" s="107">
        <f t="shared" si="23"/>
        <v>-1.2999999999999956E-3</v>
      </c>
    </row>
    <row r="70" spans="1:22">
      <c r="A70" s="131">
        <v>62</v>
      </c>
      <c r="B70" s="140" t="s">
        <v>115</v>
      </c>
      <c r="C70" s="101" t="s">
        <v>116</v>
      </c>
      <c r="D70" s="132">
        <v>15913117812.6</v>
      </c>
      <c r="E70" s="109">
        <f t="shared" si="38"/>
        <v>2.7992980657681747E-3</v>
      </c>
      <c r="F70" s="120">
        <v>1</v>
      </c>
      <c r="G70" s="120">
        <v>1</v>
      </c>
      <c r="H70" s="110">
        <v>872</v>
      </c>
      <c r="I70" s="111">
        <v>0.18922900000000001</v>
      </c>
      <c r="J70" s="111">
        <v>0.18922900000000001</v>
      </c>
      <c r="K70" s="132">
        <v>16042415585.65</v>
      </c>
      <c r="L70" s="109">
        <f t="shared" si="50"/>
        <v>2.8220430118101381E-3</v>
      </c>
      <c r="M70" s="120">
        <v>1</v>
      </c>
      <c r="N70" s="120">
        <v>1</v>
      </c>
      <c r="O70" s="110">
        <v>883</v>
      </c>
      <c r="P70" s="111">
        <v>0.18839800000000001</v>
      </c>
      <c r="Q70" s="111">
        <v>0.18839800000000001</v>
      </c>
      <c r="R70" s="112">
        <f t="shared" si="19"/>
        <v>8.1252319358574281E-3</v>
      </c>
      <c r="S70" s="112">
        <f t="shared" si="20"/>
        <v>0</v>
      </c>
      <c r="T70" s="112">
        <f t="shared" si="21"/>
        <v>1.261467889908257E-2</v>
      </c>
      <c r="U70" s="106">
        <f t="shared" si="22"/>
        <v>-8.3099999999999841E-4</v>
      </c>
      <c r="V70" s="107">
        <f t="shared" si="23"/>
        <v>-8.3099999999999841E-4</v>
      </c>
    </row>
    <row r="71" spans="1:22">
      <c r="A71" s="131">
        <v>63</v>
      </c>
      <c r="B71" s="100" t="s">
        <v>117</v>
      </c>
      <c r="C71" s="101" t="s">
        <v>51</v>
      </c>
      <c r="D71" s="132">
        <v>223398851204.60999</v>
      </c>
      <c r="E71" s="109">
        <f t="shared" si="38"/>
        <v>3.9298393905984733E-2</v>
      </c>
      <c r="F71" s="120">
        <v>1</v>
      </c>
      <c r="G71" s="120">
        <v>1</v>
      </c>
      <c r="H71" s="110">
        <v>86498</v>
      </c>
      <c r="I71" s="111">
        <v>0.15060000000000001</v>
      </c>
      <c r="J71" s="111">
        <v>0.15060000000000001</v>
      </c>
      <c r="K71" s="132">
        <v>224411963960.70999</v>
      </c>
      <c r="L71" s="109">
        <f t="shared" si="50"/>
        <v>3.9476611940436175E-2</v>
      </c>
      <c r="M71" s="120">
        <v>1</v>
      </c>
      <c r="N71" s="120">
        <v>1</v>
      </c>
      <c r="O71" s="110">
        <v>86873</v>
      </c>
      <c r="P71" s="111">
        <v>0.15490000000000001</v>
      </c>
      <c r="Q71" s="111">
        <v>0.15490000000000001</v>
      </c>
      <c r="R71" s="112">
        <f t="shared" si="19"/>
        <v>4.5349953710017103E-3</v>
      </c>
      <c r="S71" s="112">
        <f t="shared" si="20"/>
        <v>0</v>
      </c>
      <c r="T71" s="112">
        <f t="shared" si="21"/>
        <v>4.3353603551527205E-3</v>
      </c>
      <c r="U71" s="106">
        <f t="shared" si="22"/>
        <v>4.2999999999999983E-3</v>
      </c>
      <c r="V71" s="107">
        <f t="shared" si="23"/>
        <v>4.2999999999999983E-3</v>
      </c>
    </row>
    <row r="72" spans="1:22">
      <c r="A72" s="131">
        <v>64</v>
      </c>
      <c r="B72" s="100" t="s">
        <v>118</v>
      </c>
      <c r="C72" s="101" t="s">
        <v>119</v>
      </c>
      <c r="D72" s="135">
        <v>2775731382.7800002</v>
      </c>
      <c r="E72" s="109">
        <f t="shared" si="38"/>
        <v>4.8828265977869613E-4</v>
      </c>
      <c r="F72" s="120">
        <v>1</v>
      </c>
      <c r="G72" s="120">
        <v>1</v>
      </c>
      <c r="H72" s="110">
        <v>166</v>
      </c>
      <c r="I72" s="111">
        <v>0.15079999999999999</v>
      </c>
      <c r="J72" s="111">
        <v>0.15079999999999999</v>
      </c>
      <c r="K72" s="135">
        <v>2781481544.79</v>
      </c>
      <c r="L72" s="109">
        <f t="shared" si="50"/>
        <v>4.8929417855094457E-4</v>
      </c>
      <c r="M72" s="120">
        <v>1</v>
      </c>
      <c r="N72" s="120">
        <v>1</v>
      </c>
      <c r="O72" s="110">
        <v>166</v>
      </c>
      <c r="P72" s="111">
        <v>0.14949999999999999</v>
      </c>
      <c r="Q72" s="111">
        <v>0.14949999999999999</v>
      </c>
      <c r="R72" s="112">
        <f t="shared" si="19"/>
        <v>2.0715844644306853E-3</v>
      </c>
      <c r="S72" s="112">
        <f t="shared" si="20"/>
        <v>0</v>
      </c>
      <c r="T72" s="112">
        <f t="shared" si="21"/>
        <v>0</v>
      </c>
      <c r="U72" s="106">
        <f t="shared" si="22"/>
        <v>-1.2999999999999956E-3</v>
      </c>
      <c r="V72" s="107">
        <f t="shared" si="23"/>
        <v>-1.2999999999999956E-3</v>
      </c>
    </row>
    <row r="73" spans="1:22">
      <c r="A73" s="131">
        <v>65</v>
      </c>
      <c r="B73" s="100" t="s">
        <v>120</v>
      </c>
      <c r="C73" s="101" t="s">
        <v>121</v>
      </c>
      <c r="D73" s="132">
        <v>9650283656.4500008</v>
      </c>
      <c r="E73" s="109">
        <f t="shared" si="38"/>
        <v>1.6975944432602028E-3</v>
      </c>
      <c r="F73" s="120">
        <v>1</v>
      </c>
      <c r="G73" s="120">
        <v>1</v>
      </c>
      <c r="H73" s="110">
        <v>655</v>
      </c>
      <c r="I73" s="111">
        <v>0.1542</v>
      </c>
      <c r="J73" s="111">
        <v>0.1542</v>
      </c>
      <c r="K73" s="132">
        <v>9547402758.2000008</v>
      </c>
      <c r="L73" s="109">
        <f>(K73/$K$76)</f>
        <v>1.6794965253746402E-3</v>
      </c>
      <c r="M73" s="120">
        <v>1</v>
      </c>
      <c r="N73" s="120">
        <v>1</v>
      </c>
      <c r="O73" s="110">
        <v>661</v>
      </c>
      <c r="P73" s="111">
        <v>0.1542</v>
      </c>
      <c r="Q73" s="111">
        <v>0.1542</v>
      </c>
      <c r="R73" s="112">
        <f t="shared" si="19"/>
        <v>-1.0660919607397972E-2</v>
      </c>
      <c r="S73" s="112">
        <f t="shared" si="20"/>
        <v>0</v>
      </c>
      <c r="T73" s="112">
        <f t="shared" si="21"/>
        <v>9.1603053435114507E-3</v>
      </c>
      <c r="U73" s="106">
        <f t="shared" si="22"/>
        <v>0</v>
      </c>
      <c r="V73" s="107">
        <f t="shared" si="23"/>
        <v>0</v>
      </c>
    </row>
    <row r="74" spans="1:22">
      <c r="A74" s="131">
        <v>66</v>
      </c>
      <c r="B74" s="100" t="s">
        <v>122</v>
      </c>
      <c r="C74" s="101" t="s">
        <v>123</v>
      </c>
      <c r="D74" s="132">
        <v>15718804508.16</v>
      </c>
      <c r="E74" s="109">
        <f t="shared" si="38"/>
        <v>2.7651161497113962E-3</v>
      </c>
      <c r="F74" s="120">
        <v>1</v>
      </c>
      <c r="G74" s="120">
        <v>1</v>
      </c>
      <c r="H74" s="110">
        <v>6984</v>
      </c>
      <c r="I74" s="111">
        <v>0.1754</v>
      </c>
      <c r="J74" s="111">
        <v>0.1754</v>
      </c>
      <c r="K74" s="132">
        <v>15608478961.73</v>
      </c>
      <c r="L74" s="109">
        <f t="shared" si="50"/>
        <v>2.745708633700814E-3</v>
      </c>
      <c r="M74" s="120">
        <v>1</v>
      </c>
      <c r="N74" s="120">
        <v>1</v>
      </c>
      <c r="O74" s="110">
        <v>7144</v>
      </c>
      <c r="P74" s="111">
        <v>0.1754</v>
      </c>
      <c r="Q74" s="111">
        <v>0.1754</v>
      </c>
      <c r="R74" s="112">
        <f t="shared" si="19"/>
        <v>-7.0186982968537927E-3</v>
      </c>
      <c r="S74" s="112">
        <f t="shared" si="20"/>
        <v>0</v>
      </c>
      <c r="T74" s="112">
        <f t="shared" si="21"/>
        <v>2.2909507445589918E-2</v>
      </c>
      <c r="U74" s="106">
        <f t="shared" si="22"/>
        <v>0</v>
      </c>
      <c r="V74" s="107">
        <f t="shared" si="23"/>
        <v>0</v>
      </c>
    </row>
    <row r="75" spans="1:22">
      <c r="A75" s="131">
        <v>67</v>
      </c>
      <c r="B75" s="100" t="s">
        <v>124</v>
      </c>
      <c r="C75" s="101" t="s">
        <v>125</v>
      </c>
      <c r="D75" s="132">
        <v>149403837122.44</v>
      </c>
      <c r="E75" s="109">
        <f t="shared" si="38"/>
        <v>2.6281830952325294E-2</v>
      </c>
      <c r="F75" s="120">
        <v>1</v>
      </c>
      <c r="G75" s="120">
        <v>1</v>
      </c>
      <c r="H75" s="110">
        <v>8285</v>
      </c>
      <c r="I75" s="111">
        <v>0.1618</v>
      </c>
      <c r="J75" s="111">
        <v>0.1618</v>
      </c>
      <c r="K75" s="132">
        <v>149993067641.01001</v>
      </c>
      <c r="L75" s="109">
        <f t="shared" si="50"/>
        <v>2.6385483289368801E-2</v>
      </c>
      <c r="M75" s="120">
        <v>1</v>
      </c>
      <c r="N75" s="120">
        <v>1</v>
      </c>
      <c r="O75" s="110">
        <v>8346</v>
      </c>
      <c r="P75" s="111">
        <v>0.16200000000000001</v>
      </c>
      <c r="Q75" s="111">
        <v>0.16200000000000001</v>
      </c>
      <c r="R75" s="112">
        <f t="shared" si="19"/>
        <v>3.9438780818401532E-3</v>
      </c>
      <c r="S75" s="112">
        <f t="shared" si="20"/>
        <v>0</v>
      </c>
      <c r="T75" s="112">
        <f t="shared" si="21"/>
        <v>7.3627036813518404E-3</v>
      </c>
      <c r="U75" s="106">
        <f t="shared" si="22"/>
        <v>2.0000000000000573E-4</v>
      </c>
      <c r="V75" s="107">
        <f t="shared" si="23"/>
        <v>2.0000000000000573E-4</v>
      </c>
    </row>
    <row r="76" spans="1:22">
      <c r="A76" s="121"/>
      <c r="B76" s="122"/>
      <c r="C76" s="123" t="s">
        <v>54</v>
      </c>
      <c r="D76" s="141">
        <f>SUM(D29:D75)</f>
        <v>5663646349610.5918</v>
      </c>
      <c r="E76" s="125">
        <f>(D76/$D$238)</f>
        <v>0.65233340164408671</v>
      </c>
      <c r="F76" s="126"/>
      <c r="G76" s="134"/>
      <c r="H76" s="128">
        <f>SUM(H29:H75)</f>
        <v>727494</v>
      </c>
      <c r="I76" s="142"/>
      <c r="J76" s="142"/>
      <c r="K76" s="141">
        <f>SUM(K29:K75)</f>
        <v>5684681458968.9551</v>
      </c>
      <c r="L76" s="125">
        <f>(K76/$K$238)</f>
        <v>0.64827670216378019</v>
      </c>
      <c r="M76" s="126"/>
      <c r="N76" s="134"/>
      <c r="O76" s="128">
        <f>SUM(O29:O75)</f>
        <v>733302</v>
      </c>
      <c r="P76" s="142"/>
      <c r="Q76" s="142"/>
      <c r="R76" s="112">
        <f t="shared" si="19"/>
        <v>3.7140577041519492E-3</v>
      </c>
      <c r="S76" s="112" t="e">
        <f t="shared" si="20"/>
        <v>#DIV/0!</v>
      </c>
      <c r="T76" s="112">
        <f t="shared" si="21"/>
        <v>7.9835709985236984E-3</v>
      </c>
      <c r="U76" s="106">
        <f t="shared" si="22"/>
        <v>0</v>
      </c>
      <c r="V76" s="107">
        <f t="shared" si="23"/>
        <v>0</v>
      </c>
    </row>
    <row r="77" spans="1:22" ht="3" customHeight="1">
      <c r="A77" s="121"/>
      <c r="B77" s="130"/>
      <c r="C77" s="130"/>
      <c r="D77" s="130"/>
      <c r="E77" s="130"/>
      <c r="F77" s="130"/>
      <c r="G77" s="130"/>
      <c r="H77" s="130"/>
      <c r="I77" s="130"/>
      <c r="J77" s="130"/>
      <c r="K77" s="130"/>
      <c r="L77" s="130"/>
      <c r="M77" s="130"/>
      <c r="N77" s="130"/>
      <c r="O77" s="130"/>
      <c r="P77" s="130"/>
      <c r="Q77" s="130"/>
      <c r="R77" s="130"/>
      <c r="S77" s="130"/>
      <c r="T77" s="130"/>
      <c r="U77" s="130"/>
      <c r="V77" s="130"/>
    </row>
    <row r="78" spans="1:22" ht="15" customHeight="1">
      <c r="A78" s="98" t="s">
        <v>126</v>
      </c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</row>
    <row r="79" spans="1:22">
      <c r="A79" s="131">
        <v>68</v>
      </c>
      <c r="B79" s="100" t="s">
        <v>127</v>
      </c>
      <c r="C79" s="101" t="s">
        <v>21</v>
      </c>
      <c r="D79" s="116">
        <v>1145096646.3399999</v>
      </c>
      <c r="E79" s="109">
        <f>(D79/$D$117)</f>
        <v>4.828493046516222E-3</v>
      </c>
      <c r="F79" s="143">
        <v>1.7823</v>
      </c>
      <c r="G79" s="143">
        <v>1.7823</v>
      </c>
      <c r="H79" s="110">
        <v>555</v>
      </c>
      <c r="I79" s="111">
        <v>-1E-3</v>
      </c>
      <c r="J79" s="111">
        <v>6.7699999999999996E-2</v>
      </c>
      <c r="K79" s="116">
        <v>1139184341.8299999</v>
      </c>
      <c r="L79" s="109">
        <f t="shared" ref="L79:L116" si="51">(K79/$K$117)</f>
        <v>4.8330634753493574E-3</v>
      </c>
      <c r="M79" s="143">
        <v>1.7732000000000001</v>
      </c>
      <c r="N79" s="143">
        <v>1.7732000000000001</v>
      </c>
      <c r="O79" s="110">
        <v>558</v>
      </c>
      <c r="P79" s="111">
        <v>9.0300000000000005E-4</v>
      </c>
      <c r="Q79" s="111">
        <v>6.2199999999999998E-2</v>
      </c>
      <c r="R79" s="112">
        <f>((K79-D79)/D79)</f>
        <v>-5.1631489175146183E-3</v>
      </c>
      <c r="S79" s="112">
        <f>((N79-G79)/G79)</f>
        <v>-5.1057622173595277E-3</v>
      </c>
      <c r="T79" s="112">
        <f>((O79-H79)/H79)</f>
        <v>5.4054054054054057E-3</v>
      </c>
      <c r="U79" s="106">
        <f>P79-I79</f>
        <v>1.9030000000000002E-3</v>
      </c>
      <c r="V79" s="107">
        <f>Q79-J79</f>
        <v>-5.4999999999999979E-3</v>
      </c>
    </row>
    <row r="80" spans="1:22">
      <c r="A80" s="131">
        <v>69</v>
      </c>
      <c r="B80" s="100" t="s">
        <v>128</v>
      </c>
      <c r="C80" s="101" t="s">
        <v>23</v>
      </c>
      <c r="D80" s="116">
        <v>1219416772.47</v>
      </c>
      <c r="E80" s="109">
        <f>(D80/$D$117)</f>
        <v>5.1418763870245514E-3</v>
      </c>
      <c r="F80" s="143">
        <v>1.3752</v>
      </c>
      <c r="G80" s="143">
        <v>1.3752</v>
      </c>
      <c r="H80" s="110">
        <v>1531</v>
      </c>
      <c r="I80" s="111">
        <v>0.1178</v>
      </c>
      <c r="J80" s="111">
        <v>0.1181</v>
      </c>
      <c r="K80" s="116">
        <v>1202987618.3699999</v>
      </c>
      <c r="L80" s="109">
        <f t="shared" si="51"/>
        <v>5.1037530153387554E-3</v>
      </c>
      <c r="M80" s="143">
        <v>1.3752</v>
      </c>
      <c r="N80" s="143">
        <v>1.3752</v>
      </c>
      <c r="O80" s="110">
        <v>1528</v>
      </c>
      <c r="P80" s="111">
        <v>0</v>
      </c>
      <c r="Q80" s="111">
        <v>0.1108</v>
      </c>
      <c r="R80" s="112">
        <f t="shared" ref="R80:R117" si="52">((K80-D80)/D80)</f>
        <v>-1.3472960575014833E-2</v>
      </c>
      <c r="S80" s="112">
        <f t="shared" ref="S80:S117" si="53">((N80-G80)/G80)</f>
        <v>0</v>
      </c>
      <c r="T80" s="112">
        <f t="shared" ref="T80:T117" si="54">((O80-H80)/H80)</f>
        <v>-1.9595035924232528E-3</v>
      </c>
      <c r="U80" s="106">
        <f t="shared" ref="U80:U117" si="55">P80-I80</f>
        <v>-0.1178</v>
      </c>
      <c r="V80" s="107">
        <f t="shared" ref="V80:V117" si="56">Q80-J80</f>
        <v>-7.3000000000000009E-3</v>
      </c>
    </row>
    <row r="81" spans="1:22">
      <c r="A81" s="131">
        <v>70</v>
      </c>
      <c r="B81" s="100" t="s">
        <v>129</v>
      </c>
      <c r="C81" s="101" t="s">
        <v>23</v>
      </c>
      <c r="D81" s="116">
        <v>663620276.42999995</v>
      </c>
      <c r="E81" s="109">
        <f>(D81/$D$117)</f>
        <v>2.7982667668367419E-3</v>
      </c>
      <c r="F81" s="143">
        <v>1.2258</v>
      </c>
      <c r="G81" s="143">
        <v>1.2258</v>
      </c>
      <c r="H81" s="110">
        <v>768</v>
      </c>
      <c r="I81" s="111">
        <v>0.12790000000000001</v>
      </c>
      <c r="J81" s="111">
        <v>0.12609999999999999</v>
      </c>
      <c r="K81" s="116">
        <v>665551500.48000002</v>
      </c>
      <c r="L81" s="109">
        <f t="shared" si="51"/>
        <v>2.8236454187621448E-3</v>
      </c>
      <c r="M81" s="143">
        <v>1.2290000000000001</v>
      </c>
      <c r="N81" s="143">
        <v>1.2290000000000001</v>
      </c>
      <c r="O81" s="110">
        <v>772</v>
      </c>
      <c r="P81" s="111">
        <v>0.1361</v>
      </c>
      <c r="Q81" s="111">
        <v>0.127</v>
      </c>
      <c r="R81" s="112">
        <f t="shared" si="52"/>
        <v>2.9101341815371447E-3</v>
      </c>
      <c r="S81" s="112">
        <f t="shared" si="53"/>
        <v>2.6105400554740509E-3</v>
      </c>
      <c r="T81" s="112">
        <f t="shared" si="54"/>
        <v>5.208333333333333E-3</v>
      </c>
      <c r="U81" s="106">
        <f t="shared" si="55"/>
        <v>8.1999999999999851E-3</v>
      </c>
      <c r="V81" s="107">
        <f t="shared" si="56"/>
        <v>9.000000000000119E-4</v>
      </c>
    </row>
    <row r="82" spans="1:22">
      <c r="A82" s="131">
        <v>71</v>
      </c>
      <c r="B82" s="100" t="s">
        <v>130</v>
      </c>
      <c r="C82" s="101" t="s">
        <v>62</v>
      </c>
      <c r="D82" s="116">
        <v>328248861.91000003</v>
      </c>
      <c r="E82" s="109">
        <f>(D82/$D$117)</f>
        <v>1.3841166615282349E-3</v>
      </c>
      <c r="F82" s="115">
        <v>1253.8800000000001</v>
      </c>
      <c r="G82" s="115">
        <v>1253.8800000000001</v>
      </c>
      <c r="H82" s="110">
        <v>287</v>
      </c>
      <c r="I82" s="111">
        <v>1.1000000000000001E-3</v>
      </c>
      <c r="J82" s="111">
        <v>7.7399999999999997E-2</v>
      </c>
      <c r="K82" s="116">
        <v>328689583.23000002</v>
      </c>
      <c r="L82" s="109">
        <f t="shared" si="51"/>
        <v>1.3944868807490847E-3</v>
      </c>
      <c r="M82" s="115">
        <v>1252.74</v>
      </c>
      <c r="N82" s="115">
        <v>1252.74</v>
      </c>
      <c r="O82" s="110">
        <v>287</v>
      </c>
      <c r="P82" s="111">
        <v>1.6999999999999999E-3</v>
      </c>
      <c r="Q82" s="111">
        <v>6.9500000000000006E-2</v>
      </c>
      <c r="R82" s="112">
        <f t="shared" si="52"/>
        <v>1.3426438630603104E-3</v>
      </c>
      <c r="S82" s="112">
        <f t="shared" si="53"/>
        <v>-9.0917791176197077E-4</v>
      </c>
      <c r="T82" s="112">
        <f t="shared" si="54"/>
        <v>0</v>
      </c>
      <c r="U82" s="106">
        <f t="shared" si="55"/>
        <v>5.9999999999999984E-4</v>
      </c>
      <c r="V82" s="107">
        <f t="shared" si="56"/>
        <v>-7.8999999999999904E-3</v>
      </c>
    </row>
    <row r="83" spans="1:22" ht="15" customHeight="1">
      <c r="A83" s="131">
        <v>72</v>
      </c>
      <c r="B83" s="100" t="s">
        <v>131</v>
      </c>
      <c r="C83" s="101" t="s">
        <v>27</v>
      </c>
      <c r="D83" s="116">
        <v>1858950233.5599999</v>
      </c>
      <c r="E83" s="109">
        <f>(D83/$K$117)</f>
        <v>7.8867169661745017E-3</v>
      </c>
      <c r="F83" s="115">
        <v>1.1615</v>
      </c>
      <c r="G83" s="115">
        <v>1.1615</v>
      </c>
      <c r="H83" s="110">
        <v>1081</v>
      </c>
      <c r="I83" s="111">
        <v>2.2000000000000001E-3</v>
      </c>
      <c r="J83" s="111">
        <v>7.0599999999999996E-2</v>
      </c>
      <c r="K83" s="116">
        <v>1804048112.6600001</v>
      </c>
      <c r="L83" s="109">
        <f t="shared" si="51"/>
        <v>7.6537911564545837E-3</v>
      </c>
      <c r="M83" s="115">
        <v>1.1592</v>
      </c>
      <c r="N83" s="115">
        <v>1.1592</v>
      </c>
      <c r="O83" s="110">
        <v>1081</v>
      </c>
      <c r="P83" s="111">
        <v>-2E-3</v>
      </c>
      <c r="Q83" s="111">
        <v>6.8599999999999994E-2</v>
      </c>
      <c r="R83" s="112">
        <f t="shared" si="52"/>
        <v>-2.9533937976843543E-2</v>
      </c>
      <c r="S83" s="112">
        <f t="shared" si="53"/>
        <v>-1.9801980198019533E-3</v>
      </c>
      <c r="T83" s="112">
        <f t="shared" si="54"/>
        <v>0</v>
      </c>
      <c r="U83" s="106">
        <f t="shared" si="55"/>
        <v>-4.2000000000000006E-3</v>
      </c>
      <c r="V83" s="107">
        <f t="shared" si="56"/>
        <v>-2.0000000000000018E-3</v>
      </c>
    </row>
    <row r="84" spans="1:22">
      <c r="A84" s="131">
        <v>73</v>
      </c>
      <c r="B84" s="100" t="s">
        <v>132</v>
      </c>
      <c r="C84" s="101" t="s">
        <v>133</v>
      </c>
      <c r="D84" s="116">
        <v>500411316.10000002</v>
      </c>
      <c r="E84" s="109">
        <f t="shared" ref="E84:E102" si="57">(D84/$D$117)</f>
        <v>2.1100686722904417E-3</v>
      </c>
      <c r="F84" s="115">
        <v>2.8496999999999999</v>
      </c>
      <c r="G84" s="115">
        <v>2.8496999999999999</v>
      </c>
      <c r="H84" s="110">
        <v>1390</v>
      </c>
      <c r="I84" s="111">
        <v>0.13389999999999999</v>
      </c>
      <c r="J84" s="111">
        <v>0.1366</v>
      </c>
      <c r="K84" s="116">
        <v>502073911.19999999</v>
      </c>
      <c r="L84" s="109">
        <f t="shared" si="51"/>
        <v>2.130081140554011E-3</v>
      </c>
      <c r="M84" s="115">
        <v>2.8592</v>
      </c>
      <c r="N84" s="115">
        <v>2.8592</v>
      </c>
      <c r="O84" s="110">
        <v>1390</v>
      </c>
      <c r="P84" s="111">
        <v>0.1741</v>
      </c>
      <c r="Q84" s="111">
        <v>0.13930000000000001</v>
      </c>
      <c r="R84" s="112">
        <f t="shared" si="52"/>
        <v>3.3224570398558261E-3</v>
      </c>
      <c r="S84" s="112">
        <f t="shared" si="53"/>
        <v>3.3336842474646681E-3</v>
      </c>
      <c r="T84" s="112">
        <f t="shared" si="54"/>
        <v>0</v>
      </c>
      <c r="U84" s="106">
        <f t="shared" si="55"/>
        <v>4.0200000000000014E-2</v>
      </c>
      <c r="V84" s="107">
        <f t="shared" si="56"/>
        <v>2.7000000000000079E-3</v>
      </c>
    </row>
    <row r="85" spans="1:22">
      <c r="A85" s="131">
        <v>74</v>
      </c>
      <c r="B85" s="101" t="s">
        <v>134</v>
      </c>
      <c r="C85" s="101" t="s">
        <v>135</v>
      </c>
      <c r="D85" s="116">
        <v>3311669945.1199999</v>
      </c>
      <c r="E85" s="109">
        <f t="shared" si="57"/>
        <v>1.3964214595752859E-2</v>
      </c>
      <c r="F85" s="115">
        <v>1189.95</v>
      </c>
      <c r="G85" s="115">
        <v>1189.95</v>
      </c>
      <c r="H85" s="110">
        <v>314</v>
      </c>
      <c r="I85" s="111">
        <v>2.4099999999999998E-3</v>
      </c>
      <c r="J85" s="111">
        <v>6.3390000000000002E-2</v>
      </c>
      <c r="K85" s="116">
        <v>3461223115.1199999</v>
      </c>
      <c r="L85" s="109">
        <f t="shared" si="51"/>
        <v>1.468446361442155E-2</v>
      </c>
      <c r="M85" s="115">
        <v>1193.95</v>
      </c>
      <c r="N85" s="115">
        <v>1193.95</v>
      </c>
      <c r="O85" s="110">
        <v>323</v>
      </c>
      <c r="P85" s="111">
        <v>2.5699999999999998E-3</v>
      </c>
      <c r="Q85" s="111">
        <v>6.6970000000000002E-2</v>
      </c>
      <c r="R85" s="112">
        <f t="shared" ref="R85" si="58">((K85-D85)/D85)</f>
        <v>4.5159442963323713E-2</v>
      </c>
      <c r="S85" s="112">
        <f t="shared" si="53"/>
        <v>3.3614857767133069E-3</v>
      </c>
      <c r="T85" s="112">
        <f t="shared" ref="T85" si="59">((O85-H85)/H85)</f>
        <v>2.8662420382165606E-2</v>
      </c>
      <c r="U85" s="106">
        <f t="shared" si="55"/>
        <v>1.5999999999999999E-4</v>
      </c>
      <c r="V85" s="107">
        <f t="shared" si="56"/>
        <v>3.5799999999999998E-3</v>
      </c>
    </row>
    <row r="86" spans="1:22">
      <c r="A86" s="131">
        <v>75</v>
      </c>
      <c r="B86" s="100" t="s">
        <v>136</v>
      </c>
      <c r="C86" s="101" t="s">
        <v>67</v>
      </c>
      <c r="D86" s="116">
        <v>198917079.53999999</v>
      </c>
      <c r="E86" s="109">
        <f t="shared" si="57"/>
        <v>8.3876739877118049E-4</v>
      </c>
      <c r="F86" s="115">
        <v>12.067</v>
      </c>
      <c r="G86" s="115">
        <v>12.112</v>
      </c>
      <c r="H86" s="110">
        <v>47</v>
      </c>
      <c r="I86" s="111">
        <v>1.4300000000000001E-3</v>
      </c>
      <c r="J86" s="111">
        <v>0.17299999999999999</v>
      </c>
      <c r="K86" s="116">
        <v>198821357.72</v>
      </c>
      <c r="L86" s="109">
        <f t="shared" si="51"/>
        <v>8.4351250875891882E-4</v>
      </c>
      <c r="M86" s="115">
        <v>12.0619</v>
      </c>
      <c r="N86" s="115">
        <v>12.1098</v>
      </c>
      <c r="O86" s="110">
        <v>47</v>
      </c>
      <c r="P86" s="111">
        <v>-1.24E-3</v>
      </c>
      <c r="Q86" s="111">
        <v>0.16020000000000001</v>
      </c>
      <c r="R86" s="112">
        <f t="shared" si="52"/>
        <v>-4.8121468614636617E-4</v>
      </c>
      <c r="S86" s="112">
        <f t="shared" si="53"/>
        <v>-1.8163804491415139E-4</v>
      </c>
      <c r="T86" s="112">
        <f t="shared" si="54"/>
        <v>0</v>
      </c>
      <c r="U86" s="106">
        <f t="shared" si="55"/>
        <v>-2.6700000000000001E-3</v>
      </c>
      <c r="V86" s="107">
        <f t="shared" si="56"/>
        <v>-1.2799999999999978E-2</v>
      </c>
    </row>
    <row r="87" spans="1:22">
      <c r="A87" s="131">
        <v>76</v>
      </c>
      <c r="B87" s="100" t="s">
        <v>137</v>
      </c>
      <c r="C87" s="101" t="s">
        <v>69</v>
      </c>
      <c r="D87" s="116">
        <v>2112524130.76531</v>
      </c>
      <c r="E87" s="109">
        <f t="shared" si="57"/>
        <v>8.9078141208435331E-3</v>
      </c>
      <c r="F87" s="116">
        <v>4947.9986651684303</v>
      </c>
      <c r="G87" s="116">
        <v>4947.9986651684303</v>
      </c>
      <c r="H87" s="110">
        <v>1227</v>
      </c>
      <c r="I87" s="111">
        <v>0.125</v>
      </c>
      <c r="J87" s="111">
        <v>0.14019999999999999</v>
      </c>
      <c r="K87" s="116">
        <v>2111985516.28075</v>
      </c>
      <c r="L87" s="109">
        <f t="shared" si="51"/>
        <v>8.9602355689037284E-3</v>
      </c>
      <c r="M87" s="116">
        <v>4945.0113953658001</v>
      </c>
      <c r="N87" s="116">
        <v>4945.0113953658001</v>
      </c>
      <c r="O87" s="110">
        <v>1227</v>
      </c>
      <c r="P87" s="111">
        <v>-3.15E-2</v>
      </c>
      <c r="Q87" s="111">
        <v>0.12959999999999999</v>
      </c>
      <c r="R87" s="112">
        <f t="shared" si="52"/>
        <v>-2.5496252408008588E-4</v>
      </c>
      <c r="S87" s="112">
        <f t="shared" si="53"/>
        <v>-6.0373294432335774E-4</v>
      </c>
      <c r="T87" s="112">
        <f t="shared" si="54"/>
        <v>0</v>
      </c>
      <c r="U87" s="106">
        <f t="shared" si="55"/>
        <v>-0.1565</v>
      </c>
      <c r="V87" s="107">
        <f t="shared" si="56"/>
        <v>-1.0599999999999998E-2</v>
      </c>
    </row>
    <row r="88" spans="1:22">
      <c r="A88" s="131">
        <v>77</v>
      </c>
      <c r="B88" s="100" t="s">
        <v>138</v>
      </c>
      <c r="C88" s="101" t="s">
        <v>71</v>
      </c>
      <c r="D88" s="116">
        <v>379577115.37</v>
      </c>
      <c r="E88" s="109">
        <f t="shared" si="57"/>
        <v>1.6005508950172435E-3</v>
      </c>
      <c r="F88" s="143">
        <v>116.06</v>
      </c>
      <c r="G88" s="143">
        <v>116.06</v>
      </c>
      <c r="H88" s="110">
        <v>98</v>
      </c>
      <c r="I88" s="111">
        <v>2.3E-3</v>
      </c>
      <c r="J88" s="111">
        <v>0.1202</v>
      </c>
      <c r="K88" s="116">
        <v>380563244.29000002</v>
      </c>
      <c r="L88" s="109">
        <f t="shared" si="51"/>
        <v>1.6145642531250049E-3</v>
      </c>
      <c r="M88" s="143">
        <v>116.32</v>
      </c>
      <c r="N88" s="143">
        <v>116.32</v>
      </c>
      <c r="O88" s="110">
        <v>98</v>
      </c>
      <c r="P88" s="111">
        <v>2.2000000000000001E-3</v>
      </c>
      <c r="Q88" s="111">
        <v>0.1202</v>
      </c>
      <c r="R88" s="112">
        <f t="shared" si="52"/>
        <v>2.5979672642771649E-3</v>
      </c>
      <c r="S88" s="112">
        <f t="shared" si="53"/>
        <v>2.2402205755642848E-3</v>
      </c>
      <c r="T88" s="112">
        <f t="shared" si="54"/>
        <v>0</v>
      </c>
      <c r="U88" s="106">
        <f t="shared" si="55"/>
        <v>-9.9999999999999829E-5</v>
      </c>
      <c r="V88" s="107">
        <f t="shared" si="56"/>
        <v>0</v>
      </c>
    </row>
    <row r="89" spans="1:22" ht="13.5" customHeight="1">
      <c r="A89" s="131">
        <v>78</v>
      </c>
      <c r="B89" s="100" t="s">
        <v>139</v>
      </c>
      <c r="C89" s="101" t="s">
        <v>73</v>
      </c>
      <c r="D89" s="116">
        <v>1186997774.28</v>
      </c>
      <c r="E89" s="109">
        <f t="shared" si="57"/>
        <v>5.0051762160514199E-3</v>
      </c>
      <c r="F89" s="143">
        <v>1.5637000000000001</v>
      </c>
      <c r="G89" s="143">
        <v>1.5637000000000001</v>
      </c>
      <c r="H89" s="110">
        <v>2730</v>
      </c>
      <c r="I89" s="111">
        <v>2.2000000000000001E-3</v>
      </c>
      <c r="J89" s="111">
        <v>7.3800000000000004E-2</v>
      </c>
      <c r="K89" s="116">
        <v>1159518734.9200001</v>
      </c>
      <c r="L89" s="109">
        <f t="shared" si="51"/>
        <v>4.9193334572372772E-3</v>
      </c>
      <c r="M89" s="143">
        <v>1.5601</v>
      </c>
      <c r="N89" s="143">
        <v>1.5601</v>
      </c>
      <c r="O89" s="110">
        <v>2751</v>
      </c>
      <c r="P89" s="111">
        <v>-2.3E-3</v>
      </c>
      <c r="Q89" s="111">
        <v>7.1400000000000005E-2</v>
      </c>
      <c r="R89" s="112">
        <f t="shared" si="52"/>
        <v>-2.3150034444393057E-2</v>
      </c>
      <c r="S89" s="112">
        <f t="shared" si="53"/>
        <v>-2.3022318859116501E-3</v>
      </c>
      <c r="T89" s="112">
        <f t="shared" si="54"/>
        <v>7.6923076923076927E-3</v>
      </c>
      <c r="U89" s="106">
        <f t="shared" si="55"/>
        <v>-4.5000000000000005E-3</v>
      </c>
      <c r="V89" s="107">
        <f t="shared" si="56"/>
        <v>-2.3999999999999994E-3</v>
      </c>
    </row>
    <row r="90" spans="1:22" ht="13.5" customHeight="1">
      <c r="A90" s="131">
        <v>79</v>
      </c>
      <c r="B90" s="100" t="s">
        <v>140</v>
      </c>
      <c r="C90" s="101" t="s">
        <v>73</v>
      </c>
      <c r="D90" s="116">
        <v>160536256.37</v>
      </c>
      <c r="E90" s="109">
        <f t="shared" si="57"/>
        <v>6.769281877419236E-4</v>
      </c>
      <c r="F90" s="143">
        <v>1.0458000000000001</v>
      </c>
      <c r="G90" s="143">
        <v>1.0458000000000001</v>
      </c>
      <c r="H90" s="110">
        <v>100</v>
      </c>
      <c r="I90" s="111">
        <v>1.8E-3</v>
      </c>
      <c r="J90" s="111">
        <v>0.12970000000000001</v>
      </c>
      <c r="K90" s="116">
        <v>172279600.81</v>
      </c>
      <c r="L90" s="109">
        <f t="shared" si="51"/>
        <v>7.3090738315891707E-4</v>
      </c>
      <c r="M90" s="143">
        <v>1.0461</v>
      </c>
      <c r="N90" s="143">
        <v>1.0461</v>
      </c>
      <c r="O90" s="110">
        <v>100</v>
      </c>
      <c r="P90" s="111">
        <v>2.9999999999999997E-4</v>
      </c>
      <c r="Q90" s="111">
        <v>0.13</v>
      </c>
      <c r="R90" s="112">
        <f t="shared" ref="R90" si="60">((K90-D90)/D90)</f>
        <v>7.3150730592186144E-2</v>
      </c>
      <c r="S90" s="112">
        <f t="shared" ref="S90" si="61">((N90-G90)/G90)</f>
        <v>2.8686173264483354E-4</v>
      </c>
      <c r="T90" s="112">
        <f t="shared" ref="T90" si="62">((O90-H90)/H90)</f>
        <v>0</v>
      </c>
      <c r="U90" s="106">
        <f t="shared" ref="U90" si="63">P90-I90</f>
        <v>-1.5E-3</v>
      </c>
      <c r="V90" s="107">
        <f t="shared" ref="V90" si="64">Q90-J90</f>
        <v>2.9999999999999472E-4</v>
      </c>
    </row>
    <row r="91" spans="1:22">
      <c r="A91" s="131">
        <v>80</v>
      </c>
      <c r="B91" s="100" t="s">
        <v>141</v>
      </c>
      <c r="C91" s="101" t="s">
        <v>29</v>
      </c>
      <c r="D91" s="116">
        <v>236781106.68000001</v>
      </c>
      <c r="E91" s="109">
        <f t="shared" si="57"/>
        <v>9.9842745221989811E-4</v>
      </c>
      <c r="F91" s="143">
        <v>146.04419999999999</v>
      </c>
      <c r="G91" s="143">
        <v>146.04419999999999</v>
      </c>
      <c r="H91" s="110">
        <v>452</v>
      </c>
      <c r="I91" s="111">
        <v>4.2499999999999998E-4</v>
      </c>
      <c r="J91" s="111">
        <v>8.5500000000000007E-2</v>
      </c>
      <c r="K91" s="116">
        <v>236225070.97</v>
      </c>
      <c r="L91" s="109">
        <f t="shared" si="51"/>
        <v>1.0022001888060456E-3</v>
      </c>
      <c r="M91" s="143">
        <v>146.4802</v>
      </c>
      <c r="N91" s="143">
        <v>146.4802</v>
      </c>
      <c r="O91" s="110">
        <v>459</v>
      </c>
      <c r="P91" s="111">
        <v>4.2299999999999998E-4</v>
      </c>
      <c r="Q91" s="111">
        <v>8.7099999999999997E-2</v>
      </c>
      <c r="R91" s="112">
        <f t="shared" si="52"/>
        <v>-2.3483111376427003E-3</v>
      </c>
      <c r="S91" s="112">
        <f t="shared" si="53"/>
        <v>2.9853975714202075E-3</v>
      </c>
      <c r="T91" s="112">
        <f t="shared" si="54"/>
        <v>1.5486725663716814E-2</v>
      </c>
      <c r="U91" s="106">
        <f t="shared" si="55"/>
        <v>-1.9999999999999944E-6</v>
      </c>
      <c r="V91" s="107">
        <f t="shared" si="56"/>
        <v>1.5999999999999903E-3</v>
      </c>
    </row>
    <row r="92" spans="1:22">
      <c r="A92" s="131">
        <v>81</v>
      </c>
      <c r="B92" s="100" t="s">
        <v>142</v>
      </c>
      <c r="C92" s="101" t="s">
        <v>75</v>
      </c>
      <c r="D92" s="116">
        <v>2702781690.5999999</v>
      </c>
      <c r="E92" s="109">
        <f t="shared" si="57"/>
        <v>1.1396734625872417E-2</v>
      </c>
      <c r="F92" s="115">
        <v>1351.7</v>
      </c>
      <c r="G92" s="115">
        <v>1351.7</v>
      </c>
      <c r="H92" s="110">
        <v>321</v>
      </c>
      <c r="I92" s="111">
        <v>3.3999999999999998E-3</v>
      </c>
      <c r="J92" s="111">
        <v>0.19919999999999999</v>
      </c>
      <c r="K92" s="116">
        <v>2710164459.4899998</v>
      </c>
      <c r="L92" s="109">
        <f t="shared" si="51"/>
        <v>1.1498048542617451E-2</v>
      </c>
      <c r="M92" s="115">
        <v>1356.16</v>
      </c>
      <c r="N92" s="115">
        <v>1356.16</v>
      </c>
      <c r="O92" s="110">
        <v>321</v>
      </c>
      <c r="P92" s="111">
        <v>3.7000000000000002E-3</v>
      </c>
      <c r="Q92" s="111">
        <v>0.19939999999999999</v>
      </c>
      <c r="R92" s="112">
        <f t="shared" si="52"/>
        <v>2.7315446584814402E-3</v>
      </c>
      <c r="S92" s="112">
        <f t="shared" si="53"/>
        <v>3.2995487164311876E-3</v>
      </c>
      <c r="T92" s="112">
        <f t="shared" si="54"/>
        <v>0</v>
      </c>
      <c r="U92" s="106">
        <f t="shared" si="55"/>
        <v>3.0000000000000035E-4</v>
      </c>
      <c r="V92" s="107">
        <f t="shared" si="56"/>
        <v>2.0000000000000573E-4</v>
      </c>
    </row>
    <row r="93" spans="1:22">
      <c r="A93" s="131">
        <v>82</v>
      </c>
      <c r="B93" s="100" t="s">
        <v>143</v>
      </c>
      <c r="C93" s="101" t="s">
        <v>77</v>
      </c>
      <c r="D93" s="116">
        <v>148013096.66</v>
      </c>
      <c r="E93" s="109">
        <f t="shared" si="57"/>
        <v>6.2412217370510223E-4</v>
      </c>
      <c r="F93" s="115">
        <v>1014.22</v>
      </c>
      <c r="G93" s="115">
        <v>1026.95</v>
      </c>
      <c r="H93" s="110">
        <v>70</v>
      </c>
      <c r="I93" s="111">
        <v>1.11E-2</v>
      </c>
      <c r="J93" s="111">
        <v>4.19E-2</v>
      </c>
      <c r="K93" s="116">
        <v>148318344.38999999</v>
      </c>
      <c r="L93" s="109">
        <f t="shared" si="51"/>
        <v>6.2925019829895867E-4</v>
      </c>
      <c r="M93" s="115">
        <v>1015.97</v>
      </c>
      <c r="N93" s="115">
        <v>1029.3699999999999</v>
      </c>
      <c r="O93" s="110">
        <v>72</v>
      </c>
      <c r="P93" s="111">
        <v>2.0999999999999999E-3</v>
      </c>
      <c r="Q93" s="111">
        <v>4.3999999999999997E-2</v>
      </c>
      <c r="R93" s="112">
        <f t="shared" si="52"/>
        <v>2.0623021670924972E-3</v>
      </c>
      <c r="S93" s="112">
        <f t="shared" si="53"/>
        <v>2.3564925264130147E-3</v>
      </c>
      <c r="T93" s="112">
        <f t="shared" si="54"/>
        <v>2.8571428571428571E-2</v>
      </c>
      <c r="U93" s="106">
        <f t="shared" si="55"/>
        <v>-9.0000000000000011E-3</v>
      </c>
      <c r="V93" s="107">
        <f t="shared" si="56"/>
        <v>2.0999999999999977E-3</v>
      </c>
    </row>
    <row r="94" spans="1:22">
      <c r="A94" s="131">
        <v>83</v>
      </c>
      <c r="B94" s="100" t="s">
        <v>144</v>
      </c>
      <c r="C94" s="101" t="s">
        <v>80</v>
      </c>
      <c r="D94" s="116">
        <v>743538114.39999998</v>
      </c>
      <c r="E94" s="109">
        <f t="shared" si="57"/>
        <v>3.1352538029652014E-3</v>
      </c>
      <c r="F94" s="144">
        <v>1.24</v>
      </c>
      <c r="G94" s="144">
        <v>1.24</v>
      </c>
      <c r="H94" s="110">
        <v>64</v>
      </c>
      <c r="I94" s="111">
        <v>0.1535</v>
      </c>
      <c r="J94" s="111">
        <v>0.1535</v>
      </c>
      <c r="K94" s="116">
        <v>762925243.25</v>
      </c>
      <c r="L94" s="109">
        <f t="shared" si="51"/>
        <v>3.2367598396325641E-3</v>
      </c>
      <c r="M94" s="144">
        <v>1.2417</v>
      </c>
      <c r="N94" s="144">
        <v>1.2417</v>
      </c>
      <c r="O94" s="110">
        <v>63</v>
      </c>
      <c r="P94" s="111">
        <v>0</v>
      </c>
      <c r="Q94" s="111">
        <v>0.15210000000000001</v>
      </c>
      <c r="R94" s="112">
        <f t="shared" si="52"/>
        <v>2.6074156084983643E-2</v>
      </c>
      <c r="S94" s="112">
        <f t="shared" si="53"/>
        <v>1.370967741935512E-3</v>
      </c>
      <c r="T94" s="112">
        <f t="shared" si="54"/>
        <v>-1.5625E-2</v>
      </c>
      <c r="U94" s="106">
        <f t="shared" si="55"/>
        <v>-0.1535</v>
      </c>
      <c r="V94" s="107">
        <f t="shared" si="56"/>
        <v>-1.3999999999999846E-3</v>
      </c>
    </row>
    <row r="95" spans="1:22">
      <c r="A95" s="131">
        <v>84</v>
      </c>
      <c r="B95" s="100" t="s">
        <v>145</v>
      </c>
      <c r="C95" s="101" t="s">
        <v>82</v>
      </c>
      <c r="D95" s="144">
        <v>11660573001.9</v>
      </c>
      <c r="E95" s="109">
        <f t="shared" si="57"/>
        <v>4.9168771769637652E-2</v>
      </c>
      <c r="F95" s="144">
        <v>1710.23</v>
      </c>
      <c r="G95" s="144">
        <v>1710.23</v>
      </c>
      <c r="H95" s="110">
        <v>2036</v>
      </c>
      <c r="I95" s="111">
        <v>2.3E-3</v>
      </c>
      <c r="J95" s="111">
        <v>2.64E-2</v>
      </c>
      <c r="K95" s="144">
        <v>11445616043.26</v>
      </c>
      <c r="L95" s="109">
        <f t="shared" si="51"/>
        <v>4.8558768603411448E-2</v>
      </c>
      <c r="M95" s="144">
        <v>1717.21</v>
      </c>
      <c r="N95" s="144">
        <v>1717.21</v>
      </c>
      <c r="O95" s="110">
        <v>2036</v>
      </c>
      <c r="P95" s="111">
        <v>4.1000000000000003E-3</v>
      </c>
      <c r="Q95" s="111">
        <v>3.0599999999999999E-2</v>
      </c>
      <c r="R95" s="112">
        <f t="shared" si="52"/>
        <v>-1.8434510774468272E-2</v>
      </c>
      <c r="S95" s="112">
        <f t="shared" si="53"/>
        <v>4.0813223952333999E-3</v>
      </c>
      <c r="T95" s="112">
        <f t="shared" si="54"/>
        <v>0</v>
      </c>
      <c r="U95" s="106">
        <f t="shared" si="55"/>
        <v>1.8000000000000004E-3</v>
      </c>
      <c r="V95" s="107">
        <f t="shared" si="56"/>
        <v>4.1999999999999989E-3</v>
      </c>
    </row>
    <row r="96" spans="1:22">
      <c r="A96" s="131">
        <v>85</v>
      </c>
      <c r="B96" s="100" t="s">
        <v>146</v>
      </c>
      <c r="C96" s="101" t="s">
        <v>90</v>
      </c>
      <c r="D96" s="116">
        <v>23764142.620000001</v>
      </c>
      <c r="E96" s="109">
        <f t="shared" si="57"/>
        <v>1.0020551345062618E-4</v>
      </c>
      <c r="F96" s="143">
        <v>0.72599999999999998</v>
      </c>
      <c r="G96" s="143">
        <v>0.72599999999999998</v>
      </c>
      <c r="H96" s="110">
        <v>744</v>
      </c>
      <c r="I96" s="111">
        <v>2.3E-3</v>
      </c>
      <c r="J96" s="111">
        <v>-4.7000000000000002E-3</v>
      </c>
      <c r="K96" s="116">
        <v>23815723.57</v>
      </c>
      <c r="L96" s="109">
        <f t="shared" si="51"/>
        <v>1.0103975230231928E-4</v>
      </c>
      <c r="M96" s="143">
        <v>0.72750000000000004</v>
      </c>
      <c r="N96" s="143">
        <v>0.72750000000000004</v>
      </c>
      <c r="O96" s="110">
        <v>744</v>
      </c>
      <c r="P96" s="111">
        <v>2.0999999999999999E-3</v>
      </c>
      <c r="Q96" s="111">
        <v>-2.5999999999999999E-3</v>
      </c>
      <c r="R96" s="112">
        <f t="shared" si="52"/>
        <v>2.1705369650739477E-3</v>
      </c>
      <c r="S96" s="112">
        <f t="shared" si="53"/>
        <v>2.0661157024794174E-3</v>
      </c>
      <c r="T96" s="112">
        <f t="shared" si="54"/>
        <v>0</v>
      </c>
      <c r="U96" s="106">
        <f t="shared" si="55"/>
        <v>-2.0000000000000009E-4</v>
      </c>
      <c r="V96" s="107">
        <f t="shared" si="56"/>
        <v>2.1000000000000003E-3</v>
      </c>
    </row>
    <row r="97" spans="1:22">
      <c r="A97" s="131">
        <v>86</v>
      </c>
      <c r="B97" s="100" t="s">
        <v>147</v>
      </c>
      <c r="C97" s="101" t="s">
        <v>36</v>
      </c>
      <c r="D97" s="116">
        <v>12325729527.59</v>
      </c>
      <c r="E97" s="109">
        <f t="shared" si="57"/>
        <v>5.1973516390455832E-2</v>
      </c>
      <c r="F97" s="143">
        <v>1</v>
      </c>
      <c r="G97" s="143">
        <v>1</v>
      </c>
      <c r="H97" s="110">
        <v>5837</v>
      </c>
      <c r="I97" s="111">
        <v>0.06</v>
      </c>
      <c r="J97" s="111">
        <v>0.06</v>
      </c>
      <c r="K97" s="116">
        <v>12356320619.93</v>
      </c>
      <c r="L97" s="109">
        <f t="shared" si="51"/>
        <v>5.2422491852334149E-2</v>
      </c>
      <c r="M97" s="143">
        <v>1</v>
      </c>
      <c r="N97" s="143">
        <v>1</v>
      </c>
      <c r="O97" s="110">
        <v>5903</v>
      </c>
      <c r="P97" s="111">
        <v>0.06</v>
      </c>
      <c r="Q97" s="111">
        <v>0.06</v>
      </c>
      <c r="R97" s="112">
        <f t="shared" si="52"/>
        <v>2.4818889844633401E-3</v>
      </c>
      <c r="S97" s="112">
        <f t="shared" si="53"/>
        <v>0</v>
      </c>
      <c r="T97" s="112">
        <f t="shared" si="54"/>
        <v>1.130717834504026E-2</v>
      </c>
      <c r="U97" s="106">
        <f t="shared" si="55"/>
        <v>0</v>
      </c>
      <c r="V97" s="107">
        <f t="shared" si="56"/>
        <v>0</v>
      </c>
    </row>
    <row r="98" spans="1:22">
      <c r="A98" s="131">
        <v>87</v>
      </c>
      <c r="B98" s="100" t="s">
        <v>148</v>
      </c>
      <c r="C98" s="101" t="s">
        <v>149</v>
      </c>
      <c r="D98" s="116">
        <v>1804424984.3399999</v>
      </c>
      <c r="E98" s="109">
        <f t="shared" si="57"/>
        <v>7.6086621314397666E-3</v>
      </c>
      <c r="F98" s="116">
        <v>280.95999999999998</v>
      </c>
      <c r="G98" s="116">
        <v>280.95999999999998</v>
      </c>
      <c r="H98" s="110">
        <v>562</v>
      </c>
      <c r="I98" s="111">
        <v>3.0000000000000001E-3</v>
      </c>
      <c r="J98" s="111">
        <v>0.16950000000000001</v>
      </c>
      <c r="K98" s="116">
        <v>1790260877.8900001</v>
      </c>
      <c r="L98" s="109">
        <f t="shared" si="51"/>
        <v>7.5952979184893297E-3</v>
      </c>
      <c r="M98" s="116">
        <v>281.83</v>
      </c>
      <c r="N98" s="116">
        <v>281.83</v>
      </c>
      <c r="O98" s="110">
        <v>562</v>
      </c>
      <c r="P98" s="111">
        <v>3.0000000000000001E-3</v>
      </c>
      <c r="Q98" s="111">
        <v>0.16980000000000001</v>
      </c>
      <c r="R98" s="112">
        <f t="shared" si="52"/>
        <v>-7.8496510372696813E-3</v>
      </c>
      <c r="S98" s="112">
        <f t="shared" si="53"/>
        <v>3.0965261958997886E-3</v>
      </c>
      <c r="T98" s="112">
        <f t="shared" si="54"/>
        <v>0</v>
      </c>
      <c r="U98" s="106">
        <f t="shared" si="55"/>
        <v>0</v>
      </c>
      <c r="V98" s="107">
        <f t="shared" si="56"/>
        <v>2.9999999999999472E-4</v>
      </c>
    </row>
    <row r="99" spans="1:22">
      <c r="A99" s="131">
        <v>88</v>
      </c>
      <c r="B99" s="100" t="s">
        <v>150</v>
      </c>
      <c r="C99" s="101" t="s">
        <v>40</v>
      </c>
      <c r="D99" s="116">
        <v>1153290928.4300001</v>
      </c>
      <c r="E99" s="109">
        <f t="shared" si="57"/>
        <v>4.8630456183181049E-3</v>
      </c>
      <c r="F99" s="143">
        <v>3.78</v>
      </c>
      <c r="G99" s="143">
        <v>3.81</v>
      </c>
      <c r="H99" s="136">
        <v>810</v>
      </c>
      <c r="I99" s="137">
        <v>4.4999999999999998E-2</v>
      </c>
      <c r="J99" s="137">
        <v>0.1643</v>
      </c>
      <c r="K99" s="116">
        <v>1153359864.9200001</v>
      </c>
      <c r="L99" s="109">
        <f t="shared" si="51"/>
        <v>4.8932040517026048E-3</v>
      </c>
      <c r="M99" s="143">
        <v>3.79</v>
      </c>
      <c r="N99" s="143">
        <v>3.82</v>
      </c>
      <c r="O99" s="136">
        <v>809</v>
      </c>
      <c r="P99" s="137">
        <v>4.6899999999999997E-2</v>
      </c>
      <c r="Q99" s="137">
        <v>0.15970000000000001</v>
      </c>
      <c r="R99" s="112">
        <f t="shared" si="52"/>
        <v>5.9773720837164893E-5</v>
      </c>
      <c r="S99" s="112">
        <f t="shared" si="53"/>
        <v>2.6246719160104427E-3</v>
      </c>
      <c r="T99" s="112">
        <f t="shared" si="54"/>
        <v>-1.2345679012345679E-3</v>
      </c>
      <c r="U99" s="106">
        <f t="shared" si="55"/>
        <v>1.8999999999999989E-3</v>
      </c>
      <c r="V99" s="107">
        <f t="shared" si="56"/>
        <v>-4.599999999999993E-3</v>
      </c>
    </row>
    <row r="100" spans="1:22">
      <c r="A100" s="131">
        <v>89</v>
      </c>
      <c r="B100" s="100" t="s">
        <v>151</v>
      </c>
      <c r="C100" s="101" t="s">
        <v>42</v>
      </c>
      <c r="D100" s="116">
        <v>787879308.04999995</v>
      </c>
      <c r="E100" s="109">
        <f t="shared" si="57"/>
        <v>3.3222259209061385E-3</v>
      </c>
      <c r="F100" s="143">
        <v>113.60053000000001</v>
      </c>
      <c r="G100" s="143">
        <v>113.60053000000001</v>
      </c>
      <c r="H100" s="136">
        <v>255</v>
      </c>
      <c r="I100" s="137">
        <v>0.1462</v>
      </c>
      <c r="J100" s="137">
        <v>0.16819999999999999</v>
      </c>
      <c r="K100" s="116">
        <v>791607740.01999998</v>
      </c>
      <c r="L100" s="109">
        <f t="shared" si="51"/>
        <v>3.3584471929701504E-3</v>
      </c>
      <c r="M100" s="143">
        <v>114.09715</v>
      </c>
      <c r="N100" s="143">
        <v>114.09715</v>
      </c>
      <c r="O100" s="136">
        <v>256</v>
      </c>
      <c r="P100" s="137">
        <v>0.14530000000000001</v>
      </c>
      <c r="Q100" s="137">
        <v>0.16719999999999999</v>
      </c>
      <c r="R100" s="112">
        <f t="shared" si="52"/>
        <v>4.7322374530026582E-3</v>
      </c>
      <c r="S100" s="112">
        <f t="shared" si="53"/>
        <v>4.3716345337472713E-3</v>
      </c>
      <c r="T100" s="112">
        <f t="shared" si="54"/>
        <v>3.9215686274509803E-3</v>
      </c>
      <c r="U100" s="106">
        <f t="shared" si="55"/>
        <v>-8.9999999999998415E-4</v>
      </c>
      <c r="V100" s="107">
        <f t="shared" si="56"/>
        <v>-1.0000000000000009E-3</v>
      </c>
    </row>
    <row r="101" spans="1:22">
      <c r="A101" s="131">
        <v>90</v>
      </c>
      <c r="B101" s="101" t="s">
        <v>152</v>
      </c>
      <c r="C101" s="145" t="s">
        <v>46</v>
      </c>
      <c r="D101" s="116">
        <v>1190885377.3199999</v>
      </c>
      <c r="E101" s="109">
        <f t="shared" si="57"/>
        <v>5.0215689496309413E-3</v>
      </c>
      <c r="F101" s="143">
        <v>115.94</v>
      </c>
      <c r="G101" s="143">
        <v>116.12</v>
      </c>
      <c r="H101" s="110">
        <v>3328</v>
      </c>
      <c r="I101" s="111">
        <v>2.3E-3</v>
      </c>
      <c r="J101" s="111">
        <v>4.8800000000000003E-2</v>
      </c>
      <c r="K101" s="116">
        <v>1191878499.49</v>
      </c>
      <c r="L101" s="109">
        <f t="shared" si="51"/>
        <v>5.0566218577808922E-3</v>
      </c>
      <c r="M101" s="143">
        <v>116.02</v>
      </c>
      <c r="N101" s="143">
        <v>115.79</v>
      </c>
      <c r="O101" s="110">
        <v>3381</v>
      </c>
      <c r="P101" s="111">
        <v>-2.9999999999999997E-4</v>
      </c>
      <c r="Q101" s="111">
        <v>4.7600000000000003E-2</v>
      </c>
      <c r="R101" s="112">
        <f t="shared" si="52"/>
        <v>8.3393598486785085E-4</v>
      </c>
      <c r="S101" s="112">
        <f t="shared" si="53"/>
        <v>-2.8418877023768368E-3</v>
      </c>
      <c r="T101" s="112">
        <f t="shared" si="54"/>
        <v>1.5925480769230768E-2</v>
      </c>
      <c r="U101" s="106">
        <f t="shared" si="55"/>
        <v>-2.5999999999999999E-3</v>
      </c>
      <c r="V101" s="107">
        <f t="shared" si="56"/>
        <v>-1.1999999999999997E-3</v>
      </c>
    </row>
    <row r="102" spans="1:22">
      <c r="A102" s="131">
        <v>91</v>
      </c>
      <c r="B102" s="100" t="s">
        <v>153</v>
      </c>
      <c r="C102" s="101" t="s">
        <v>19</v>
      </c>
      <c r="D102" s="119">
        <v>1715422189.99</v>
      </c>
      <c r="E102" s="103">
        <f t="shared" si="57"/>
        <v>7.2333668452182337E-3</v>
      </c>
      <c r="F102" s="146">
        <v>403.45409999999998</v>
      </c>
      <c r="G102" s="146">
        <v>403.45409999999998</v>
      </c>
      <c r="H102" s="104">
        <v>96</v>
      </c>
      <c r="I102" s="105">
        <v>2.3999999999999998E-3</v>
      </c>
      <c r="J102" s="105">
        <v>4.9299999999999997E-2</v>
      </c>
      <c r="K102" s="119">
        <v>1718167805.4200001</v>
      </c>
      <c r="L102" s="103">
        <f t="shared" si="51"/>
        <v>7.2894383814623822E-3</v>
      </c>
      <c r="M102" s="146">
        <v>403.96300000000002</v>
      </c>
      <c r="N102" s="146">
        <v>403.96300000000002</v>
      </c>
      <c r="O102" s="104">
        <v>96</v>
      </c>
      <c r="P102" s="105">
        <v>1.2999999999999999E-3</v>
      </c>
      <c r="Q102" s="105">
        <v>5.0599999999999999E-2</v>
      </c>
      <c r="R102" s="106">
        <f t="shared" si="52"/>
        <v>1.6005479269310793E-3</v>
      </c>
      <c r="S102" s="106">
        <f t="shared" si="53"/>
        <v>1.2613578595434764E-3</v>
      </c>
      <c r="T102" s="106">
        <f t="shared" si="54"/>
        <v>0</v>
      </c>
      <c r="U102" s="106">
        <f t="shared" si="55"/>
        <v>-1.0999999999999998E-3</v>
      </c>
      <c r="V102" s="107">
        <f t="shared" si="56"/>
        <v>1.3000000000000025E-3</v>
      </c>
    </row>
    <row r="103" spans="1:22">
      <c r="A103" s="131">
        <v>92</v>
      </c>
      <c r="B103" s="100" t="s">
        <v>154</v>
      </c>
      <c r="C103" s="101" t="s">
        <v>102</v>
      </c>
      <c r="D103" s="132">
        <v>5550838056</v>
      </c>
      <c r="E103" s="109">
        <f>(D103/$K$76)</f>
        <v>9.7645542605421013E-4</v>
      </c>
      <c r="F103" s="143">
        <v>103.83</v>
      </c>
      <c r="G103" s="143">
        <v>103.83</v>
      </c>
      <c r="H103" s="110">
        <v>499</v>
      </c>
      <c r="I103" s="111">
        <v>2.7000000000000001E-3</v>
      </c>
      <c r="J103" s="111">
        <v>0.1532</v>
      </c>
      <c r="K103" s="132">
        <v>5524019975</v>
      </c>
      <c r="L103" s="109">
        <f t="shared" si="51"/>
        <v>2.3436013117407204E-2</v>
      </c>
      <c r="M103" s="143">
        <v>103.75</v>
      </c>
      <c r="N103" s="143">
        <v>103.75</v>
      </c>
      <c r="O103" s="110">
        <v>500</v>
      </c>
      <c r="P103" s="111">
        <v>-8.0000000000000004E-4</v>
      </c>
      <c r="Q103" s="111">
        <v>0.14119999999999999</v>
      </c>
      <c r="R103" s="112">
        <f t="shared" si="52"/>
        <v>-4.8313571265174741E-3</v>
      </c>
      <c r="S103" s="112">
        <f t="shared" si="53"/>
        <v>-7.7049022440526149E-4</v>
      </c>
      <c r="T103" s="112">
        <f t="shared" si="54"/>
        <v>2.004008016032064E-3</v>
      </c>
      <c r="U103" s="106">
        <f t="shared" si="55"/>
        <v>-3.5000000000000001E-3</v>
      </c>
      <c r="V103" s="107">
        <f t="shared" si="56"/>
        <v>-1.2000000000000011E-2</v>
      </c>
    </row>
    <row r="104" spans="1:22">
      <c r="A104" s="131">
        <v>93</v>
      </c>
      <c r="B104" s="100" t="s">
        <v>155</v>
      </c>
      <c r="C104" s="101" t="s">
        <v>44</v>
      </c>
      <c r="D104" s="116">
        <v>61441817.469999999</v>
      </c>
      <c r="E104" s="109">
        <f t="shared" ref="E104:E116" si="65">(D104/$D$117)</f>
        <v>2.590797810538053E-4</v>
      </c>
      <c r="F104" s="116">
        <v>12.754</v>
      </c>
      <c r="G104" s="116">
        <v>13.4</v>
      </c>
      <c r="H104" s="110">
        <v>54</v>
      </c>
      <c r="I104" s="111">
        <v>6.7000000000000002E-3</v>
      </c>
      <c r="J104" s="111">
        <v>-7.7600000000000002E-2</v>
      </c>
      <c r="K104" s="116">
        <v>60260098.859999999</v>
      </c>
      <c r="L104" s="109">
        <f t="shared" si="51"/>
        <v>2.5565737881663161E-4</v>
      </c>
      <c r="M104" s="116">
        <v>12.51</v>
      </c>
      <c r="N104" s="116">
        <v>13.33</v>
      </c>
      <c r="O104" s="110">
        <v>54</v>
      </c>
      <c r="P104" s="111">
        <v>2.4299999999999999E-2</v>
      </c>
      <c r="Q104" s="111">
        <v>-5.33E-2</v>
      </c>
      <c r="R104" s="112">
        <f t="shared" si="52"/>
        <v>-1.9233132395163822E-2</v>
      </c>
      <c r="S104" s="112">
        <f t="shared" si="53"/>
        <v>-5.2238805970149464E-3</v>
      </c>
      <c r="T104" s="112">
        <f t="shared" si="54"/>
        <v>0</v>
      </c>
      <c r="U104" s="106">
        <f t="shared" si="55"/>
        <v>1.7599999999999998E-2</v>
      </c>
      <c r="V104" s="107">
        <f t="shared" si="56"/>
        <v>2.4300000000000002E-2</v>
      </c>
    </row>
    <row r="105" spans="1:22">
      <c r="A105" s="131">
        <v>94</v>
      </c>
      <c r="B105" s="100" t="s">
        <v>156</v>
      </c>
      <c r="C105" s="101" t="s">
        <v>157</v>
      </c>
      <c r="D105" s="116">
        <v>1020495540.52</v>
      </c>
      <c r="E105" s="109">
        <f t="shared" si="65"/>
        <v>4.3030914789166036E-3</v>
      </c>
      <c r="F105" s="116">
        <v>163.66</v>
      </c>
      <c r="G105" s="116">
        <v>163.66</v>
      </c>
      <c r="H105" s="110">
        <v>190</v>
      </c>
      <c r="I105" s="111">
        <v>0.20760000000000001</v>
      </c>
      <c r="J105" s="111">
        <v>0.18210000000000001</v>
      </c>
      <c r="K105" s="116">
        <v>1045045959.5599999</v>
      </c>
      <c r="L105" s="109">
        <f t="shared" si="51"/>
        <v>4.433675281295766E-3</v>
      </c>
      <c r="M105" s="116">
        <v>163.89</v>
      </c>
      <c r="N105" s="116">
        <v>163.89</v>
      </c>
      <c r="O105" s="110">
        <v>189</v>
      </c>
      <c r="P105" s="111">
        <v>4.2299999999999997E-2</v>
      </c>
      <c r="Q105" s="111">
        <v>0.17530000000000001</v>
      </c>
      <c r="R105" s="112">
        <f t="shared" si="52"/>
        <v>2.4057350635251322E-2</v>
      </c>
      <c r="S105" s="112">
        <f t="shared" si="53"/>
        <v>1.4053525601856885E-3</v>
      </c>
      <c r="T105" s="112">
        <f t="shared" si="54"/>
        <v>-5.263157894736842E-3</v>
      </c>
      <c r="U105" s="106">
        <f t="shared" si="55"/>
        <v>-0.1653</v>
      </c>
      <c r="V105" s="107">
        <f t="shared" si="56"/>
        <v>-6.8000000000000005E-3</v>
      </c>
    </row>
    <row r="106" spans="1:22">
      <c r="A106" s="131">
        <v>95</v>
      </c>
      <c r="B106" s="100" t="s">
        <v>158</v>
      </c>
      <c r="C106" s="101" t="s">
        <v>159</v>
      </c>
      <c r="D106" s="116">
        <v>11973996826.9331</v>
      </c>
      <c r="E106" s="109">
        <f t="shared" si="65"/>
        <v>5.0490376164010746E-2</v>
      </c>
      <c r="F106" s="116">
        <v>1.04</v>
      </c>
      <c r="G106" s="116">
        <v>1.04</v>
      </c>
      <c r="H106" s="110">
        <v>5385</v>
      </c>
      <c r="I106" s="111">
        <v>0.1603</v>
      </c>
      <c r="J106" s="111">
        <v>0.1603</v>
      </c>
      <c r="K106" s="116">
        <v>12004744707.370001</v>
      </c>
      <c r="L106" s="109">
        <f t="shared" si="51"/>
        <v>5.0930908234640852E-2</v>
      </c>
      <c r="M106" s="116">
        <v>1.044308</v>
      </c>
      <c r="N106" s="116">
        <v>1.044308</v>
      </c>
      <c r="O106" s="110">
        <v>5387</v>
      </c>
      <c r="P106" s="111">
        <v>0.16009999999999999</v>
      </c>
      <c r="Q106" s="111">
        <v>0.16009999999999999</v>
      </c>
      <c r="R106" s="112">
        <f t="shared" si="52"/>
        <v>2.5678878056606723E-3</v>
      </c>
      <c r="S106" s="112">
        <f t="shared" si="53"/>
        <v>4.1423076923076717E-3</v>
      </c>
      <c r="T106" s="112">
        <f t="shared" si="54"/>
        <v>3.7140204271123489E-4</v>
      </c>
      <c r="U106" s="106">
        <f t="shared" si="55"/>
        <v>-2.0000000000000573E-4</v>
      </c>
      <c r="V106" s="107">
        <f t="shared" si="56"/>
        <v>-2.0000000000000573E-4</v>
      </c>
    </row>
    <row r="107" spans="1:22" ht="13.5" customHeight="1">
      <c r="A107" s="131">
        <v>96</v>
      </c>
      <c r="B107" s="100" t="s">
        <v>160</v>
      </c>
      <c r="C107" s="101" t="s">
        <v>48</v>
      </c>
      <c r="D107" s="116">
        <v>15167729757.27</v>
      </c>
      <c r="E107" s="109">
        <f t="shared" si="65"/>
        <v>6.3957289455435107E-2</v>
      </c>
      <c r="F107" s="143">
        <v>259.25</v>
      </c>
      <c r="G107" s="143">
        <v>259.25</v>
      </c>
      <c r="H107" s="110">
        <v>5919</v>
      </c>
      <c r="I107" s="111">
        <v>0</v>
      </c>
      <c r="J107" s="111">
        <v>0</v>
      </c>
      <c r="K107" s="116">
        <v>15552901659.709999</v>
      </c>
      <c r="L107" s="109">
        <f t="shared" si="51"/>
        <v>6.5984194293343013E-2</v>
      </c>
      <c r="M107" s="143">
        <v>259.25</v>
      </c>
      <c r="N107" s="143">
        <v>259.25</v>
      </c>
      <c r="O107" s="110">
        <v>5912</v>
      </c>
      <c r="P107" s="111">
        <v>0</v>
      </c>
      <c r="Q107" s="111">
        <v>0</v>
      </c>
      <c r="R107" s="112">
        <f t="shared" si="52"/>
        <v>2.5394169635398665E-2</v>
      </c>
      <c r="S107" s="112">
        <f t="shared" si="53"/>
        <v>0</v>
      </c>
      <c r="T107" s="112">
        <f t="shared" si="54"/>
        <v>-1.1826322013853692E-3</v>
      </c>
      <c r="U107" s="106">
        <f t="shared" si="55"/>
        <v>0</v>
      </c>
      <c r="V107" s="107">
        <f t="shared" si="56"/>
        <v>0</v>
      </c>
    </row>
    <row r="108" spans="1:22" ht="13.5" customHeight="1">
      <c r="A108" s="131">
        <v>97</v>
      </c>
      <c r="B108" s="100" t="s">
        <v>161</v>
      </c>
      <c r="C108" s="101" t="s">
        <v>48</v>
      </c>
      <c r="D108" s="116">
        <v>1122243338.02</v>
      </c>
      <c r="E108" s="109">
        <f t="shared" si="65"/>
        <v>4.7321282194374712E-3</v>
      </c>
      <c r="F108" s="115">
        <v>10585.16</v>
      </c>
      <c r="G108" s="115">
        <v>10622.86</v>
      </c>
      <c r="H108" s="110">
        <v>30</v>
      </c>
      <c r="I108" s="111">
        <v>6.0000000000000001E-3</v>
      </c>
      <c r="J108" s="111">
        <v>0.12720000000000001</v>
      </c>
      <c r="K108" s="116">
        <v>1243377500.0999999</v>
      </c>
      <c r="L108" s="109">
        <f t="shared" si="51"/>
        <v>5.2751097088914083E-3</v>
      </c>
      <c r="M108" s="115">
        <v>10759.93</v>
      </c>
      <c r="N108" s="115">
        <v>10797.21</v>
      </c>
      <c r="O108" s="110">
        <v>30</v>
      </c>
      <c r="P108" s="111">
        <v>1.6400000000000001E-2</v>
      </c>
      <c r="Q108" s="111">
        <v>0.1457</v>
      </c>
      <c r="R108" s="112">
        <f t="shared" si="52"/>
        <v>0.10793930155443804</v>
      </c>
      <c r="S108" s="112">
        <f t="shared" si="53"/>
        <v>1.6412717479096828E-2</v>
      </c>
      <c r="T108" s="112">
        <f t="shared" si="54"/>
        <v>0</v>
      </c>
      <c r="U108" s="106">
        <f t="shared" si="55"/>
        <v>1.0400000000000001E-2</v>
      </c>
      <c r="V108" s="107">
        <f t="shared" si="56"/>
        <v>1.8499999999999989E-2</v>
      </c>
    </row>
    <row r="109" spans="1:22" ht="15" customHeight="1">
      <c r="A109" s="131">
        <v>98</v>
      </c>
      <c r="B109" s="100" t="s">
        <v>162</v>
      </c>
      <c r="C109" s="101" t="s">
        <v>48</v>
      </c>
      <c r="D109" s="116">
        <v>6193363800.54</v>
      </c>
      <c r="E109" s="109">
        <f t="shared" si="65"/>
        <v>2.6115362525106416E-2</v>
      </c>
      <c r="F109" s="143">
        <v>171.29</v>
      </c>
      <c r="G109" s="143">
        <v>171.29</v>
      </c>
      <c r="H109" s="110">
        <v>6213</v>
      </c>
      <c r="I109" s="111">
        <v>3.5999999999999999E-3</v>
      </c>
      <c r="J109" s="111">
        <v>0.20269999999999999</v>
      </c>
      <c r="K109" s="116">
        <v>5800341610.0699997</v>
      </c>
      <c r="L109" s="109">
        <f t="shared" si="51"/>
        <v>2.4608325580691502E-2</v>
      </c>
      <c r="M109" s="143">
        <v>171.22</v>
      </c>
      <c r="N109" s="143">
        <v>171.22</v>
      </c>
      <c r="O109" s="110">
        <v>6216</v>
      </c>
      <c r="P109" s="111">
        <v>-4.0000000000000002E-4</v>
      </c>
      <c r="Q109" s="111">
        <v>0.19420000000000001</v>
      </c>
      <c r="R109" s="112">
        <f t="shared" si="52"/>
        <v>-6.3458599095330498E-2</v>
      </c>
      <c r="S109" s="112">
        <f t="shared" si="53"/>
        <v>-4.0866366979971501E-4</v>
      </c>
      <c r="T109" s="112">
        <f t="shared" si="54"/>
        <v>4.8285852245292128E-4</v>
      </c>
      <c r="U109" s="106">
        <f t="shared" si="55"/>
        <v>-4.0000000000000001E-3</v>
      </c>
      <c r="V109" s="107">
        <f t="shared" si="56"/>
        <v>-8.4999999999999798E-3</v>
      </c>
    </row>
    <row r="110" spans="1:22" ht="15" customHeight="1">
      <c r="A110" s="131">
        <v>99</v>
      </c>
      <c r="B110" s="100" t="s">
        <v>163</v>
      </c>
      <c r="C110" s="101" t="s">
        <v>48</v>
      </c>
      <c r="D110" s="116">
        <v>5708544444.4799995</v>
      </c>
      <c r="E110" s="109">
        <f t="shared" si="65"/>
        <v>2.4071039980774107E-2</v>
      </c>
      <c r="F110" s="143">
        <v>388.15</v>
      </c>
      <c r="G110" s="143">
        <v>388.15</v>
      </c>
      <c r="H110" s="110">
        <v>11937</v>
      </c>
      <c r="I110" s="111">
        <v>1E-4</v>
      </c>
      <c r="J110" s="111">
        <v>7.6E-3</v>
      </c>
      <c r="K110" s="116">
        <v>5690998451.7799997</v>
      </c>
      <c r="L110" s="109">
        <f t="shared" si="51"/>
        <v>2.4144430137955857E-2</v>
      </c>
      <c r="M110" s="143">
        <v>388.15</v>
      </c>
      <c r="N110" s="143">
        <v>388.15</v>
      </c>
      <c r="O110" s="110">
        <v>11946</v>
      </c>
      <c r="P110" s="111">
        <v>0</v>
      </c>
      <c r="Q110" s="111">
        <v>7.6E-3</v>
      </c>
      <c r="R110" s="112">
        <f t="shared" si="52"/>
        <v>-3.0736368737509412E-3</v>
      </c>
      <c r="S110" s="112">
        <f t="shared" si="53"/>
        <v>0</v>
      </c>
      <c r="T110" s="112">
        <f t="shared" si="54"/>
        <v>7.5395828097511936E-4</v>
      </c>
      <c r="U110" s="106">
        <f t="shared" si="55"/>
        <v>-1E-4</v>
      </c>
      <c r="V110" s="107">
        <f t="shared" si="56"/>
        <v>0</v>
      </c>
    </row>
    <row r="111" spans="1:22" ht="15" customHeight="1">
      <c r="A111" s="131">
        <v>100</v>
      </c>
      <c r="B111" s="100" t="s">
        <v>164</v>
      </c>
      <c r="C111" s="101" t="s">
        <v>116</v>
      </c>
      <c r="D111" s="116">
        <v>118114462.56999999</v>
      </c>
      <c r="E111" s="109">
        <f t="shared" si="65"/>
        <v>4.9804954283562603E-4</v>
      </c>
      <c r="F111" s="143">
        <v>118.7962</v>
      </c>
      <c r="G111" s="143">
        <v>118.7962</v>
      </c>
      <c r="H111" s="110">
        <v>27</v>
      </c>
      <c r="I111" s="111">
        <v>2.8178000000000001E-3</v>
      </c>
      <c r="J111" s="111">
        <v>0.1681</v>
      </c>
      <c r="K111" s="116">
        <v>117796202.33</v>
      </c>
      <c r="L111" s="109">
        <f t="shared" si="51"/>
        <v>4.9975803047066873E-4</v>
      </c>
      <c r="M111" s="143">
        <v>118.4044</v>
      </c>
      <c r="N111" s="143">
        <v>118.4044</v>
      </c>
      <c r="O111" s="110">
        <v>27</v>
      </c>
      <c r="P111" s="111">
        <v>-6.4932000000000002E-3</v>
      </c>
      <c r="Q111" s="111">
        <v>0.1467</v>
      </c>
      <c r="R111" s="112">
        <f t="shared" ref="R111" si="66">((K111-D111)/D111)</f>
        <v>-2.6945069475414933E-3</v>
      </c>
      <c r="S111" s="112">
        <f t="shared" ref="S111" si="67">((N111-G111)/G111)</f>
        <v>-3.2980852922905235E-3</v>
      </c>
      <c r="T111" s="112">
        <f t="shared" ref="T111" si="68">((O111-H111)/H111)</f>
        <v>0</v>
      </c>
      <c r="U111" s="106">
        <f t="shared" ref="U111" si="69">P111-I111</f>
        <v>-9.3109999999999998E-3</v>
      </c>
      <c r="V111" s="107">
        <f t="shared" ref="V111" si="70">Q111-J111</f>
        <v>-2.1400000000000002E-2</v>
      </c>
    </row>
    <row r="112" spans="1:22">
      <c r="A112" s="131">
        <v>101</v>
      </c>
      <c r="B112" s="100" t="s">
        <v>165</v>
      </c>
      <c r="C112" s="101" t="s">
        <v>51</v>
      </c>
      <c r="D112" s="116">
        <v>77303878768.520004</v>
      </c>
      <c r="E112" s="109">
        <f t="shared" si="65"/>
        <v>0.32596483650141073</v>
      </c>
      <c r="F112" s="116">
        <v>2.0261</v>
      </c>
      <c r="G112" s="116">
        <v>2.0261</v>
      </c>
      <c r="H112" s="110">
        <v>7027</v>
      </c>
      <c r="I112" s="111">
        <v>1.6999999999999999E-3</v>
      </c>
      <c r="J112" s="111">
        <v>8.5800000000000001E-2</v>
      </c>
      <c r="K112" s="116">
        <v>77425298241.190002</v>
      </c>
      <c r="L112" s="109">
        <f t="shared" si="51"/>
        <v>0.32848185079194864</v>
      </c>
      <c r="M112" s="116">
        <v>2.02922</v>
      </c>
      <c r="N112" s="116">
        <v>2.02922</v>
      </c>
      <c r="O112" s="110">
        <v>7040</v>
      </c>
      <c r="P112" s="111">
        <v>1.5E-3</v>
      </c>
      <c r="Q112" s="111">
        <v>8.5699999999999998E-2</v>
      </c>
      <c r="R112" s="112">
        <f t="shared" si="52"/>
        <v>1.5706776245158231E-3</v>
      </c>
      <c r="S112" s="112">
        <f t="shared" si="53"/>
        <v>1.5399042495434635E-3</v>
      </c>
      <c r="T112" s="112">
        <f t="shared" si="54"/>
        <v>1.8500071154119824E-3</v>
      </c>
      <c r="U112" s="106">
        <f t="shared" si="55"/>
        <v>-1.9999999999999987E-4</v>
      </c>
      <c r="V112" s="107">
        <f t="shared" si="56"/>
        <v>-1.0000000000000286E-4</v>
      </c>
    </row>
    <row r="113" spans="1:28">
      <c r="A113" s="131">
        <v>102</v>
      </c>
      <c r="B113" s="100" t="s">
        <v>166</v>
      </c>
      <c r="C113" s="101" t="s">
        <v>51</v>
      </c>
      <c r="D113" s="116">
        <v>62649151944.25</v>
      </c>
      <c r="E113" s="109">
        <f t="shared" si="65"/>
        <v>0.26417071039358486</v>
      </c>
      <c r="F113" s="116">
        <v>134.4221</v>
      </c>
      <c r="G113" s="116">
        <v>134.4221</v>
      </c>
      <c r="H113" s="110">
        <v>1508</v>
      </c>
      <c r="I113" s="111">
        <v>4.2200000000000001E-2</v>
      </c>
      <c r="J113" s="111">
        <v>0.15140000000000001</v>
      </c>
      <c r="K113" s="116">
        <v>61098952825.639999</v>
      </c>
      <c r="L113" s="109">
        <f t="shared" si="51"/>
        <v>0.25921627118691637</v>
      </c>
      <c r="M113" s="116">
        <v>134.80479</v>
      </c>
      <c r="N113" s="116">
        <v>134.80479</v>
      </c>
      <c r="O113" s="110">
        <v>1535</v>
      </c>
      <c r="P113" s="111">
        <v>2.8E-3</v>
      </c>
      <c r="Q113" s="111">
        <v>0.15190000000000001</v>
      </c>
      <c r="R113" s="112">
        <f t="shared" ref="R113:R115" si="71">((K113-D113)/D113)</f>
        <v>-2.4744135722531188E-2</v>
      </c>
      <c r="S113" s="112">
        <f t="shared" ref="S113:S115" si="72">((N113-G113)/G113)</f>
        <v>2.8469277001326168E-3</v>
      </c>
      <c r="T113" s="112">
        <f t="shared" ref="T113:T115" si="73">((O113-H113)/H113)</f>
        <v>1.790450928381963E-2</v>
      </c>
      <c r="U113" s="106">
        <f t="shared" ref="U113:U115" si="74">P113-I113</f>
        <v>-3.9400000000000004E-2</v>
      </c>
      <c r="V113" s="107">
        <f t="shared" ref="V113:V115" si="75">Q113-J113</f>
        <v>5.0000000000000044E-4</v>
      </c>
    </row>
    <row r="114" spans="1:28">
      <c r="A114" s="131">
        <v>103</v>
      </c>
      <c r="B114" s="100" t="s">
        <v>167</v>
      </c>
      <c r="C114" s="100" t="s">
        <v>168</v>
      </c>
      <c r="D114" s="116">
        <v>117474763.64</v>
      </c>
      <c r="E114" s="109">
        <f t="shared" si="65"/>
        <v>4.9535214445860579E-4</v>
      </c>
      <c r="F114" s="116">
        <v>118.36</v>
      </c>
      <c r="G114" s="116">
        <v>118.36</v>
      </c>
      <c r="H114" s="147">
        <v>88</v>
      </c>
      <c r="I114" s="148">
        <v>1.5E-3</v>
      </c>
      <c r="J114" s="148">
        <v>1.46E-2</v>
      </c>
      <c r="K114" s="116">
        <v>117586713.13</v>
      </c>
      <c r="L114" s="109">
        <f t="shared" si="51"/>
        <v>4.9886925894895547E-4</v>
      </c>
      <c r="M114" s="116">
        <v>118.45687482566299</v>
      </c>
      <c r="N114" s="116">
        <v>118.45687482566299</v>
      </c>
      <c r="O114" s="147">
        <v>90</v>
      </c>
      <c r="P114" s="148">
        <v>8.0000000000000004E-4</v>
      </c>
      <c r="Q114" s="148">
        <v>1.5299999999999999E-2</v>
      </c>
      <c r="R114" s="112">
        <f t="shared" si="71"/>
        <v>9.5296629276959012E-4</v>
      </c>
      <c r="S114" s="112">
        <f t="shared" si="72"/>
        <v>8.1847605325273453E-4</v>
      </c>
      <c r="T114" s="112">
        <f t="shared" si="73"/>
        <v>2.2727272727272728E-2</v>
      </c>
      <c r="U114" s="106">
        <f t="shared" si="74"/>
        <v>-6.9999999999999999E-4</v>
      </c>
      <c r="V114" s="107">
        <f t="shared" si="75"/>
        <v>6.9999999999999923E-4</v>
      </c>
    </row>
    <row r="115" spans="1:28">
      <c r="A115" s="131">
        <v>104</v>
      </c>
      <c r="B115" s="100" t="s">
        <v>169</v>
      </c>
      <c r="C115" s="101" t="s">
        <v>123</v>
      </c>
      <c r="D115" s="116">
        <v>527526853.88</v>
      </c>
      <c r="E115" s="109">
        <f t="shared" si="65"/>
        <v>2.2244059084021292E-3</v>
      </c>
      <c r="F115" s="116">
        <v>1.46</v>
      </c>
      <c r="G115" s="116">
        <v>1.46</v>
      </c>
      <c r="H115" s="110">
        <v>899</v>
      </c>
      <c r="I115" s="111">
        <v>2.8E-3</v>
      </c>
      <c r="J115" s="111">
        <v>8.7300000000000003E-2</v>
      </c>
      <c r="K115" s="116">
        <v>529950759.79000002</v>
      </c>
      <c r="L115" s="109">
        <f t="shared" si="51"/>
        <v>2.2483504792211316E-3</v>
      </c>
      <c r="M115" s="116">
        <v>1.45</v>
      </c>
      <c r="N115" s="116">
        <v>1.45</v>
      </c>
      <c r="O115" s="110">
        <v>903</v>
      </c>
      <c r="P115" s="111">
        <v>-4.3E-3</v>
      </c>
      <c r="Q115" s="111">
        <v>5.8500000000000003E-2</v>
      </c>
      <c r="R115" s="112">
        <f t="shared" si="71"/>
        <v>4.5948483800815343E-3</v>
      </c>
      <c r="S115" s="112">
        <f t="shared" si="72"/>
        <v>-6.8493150684931572E-3</v>
      </c>
      <c r="T115" s="112">
        <f t="shared" si="73"/>
        <v>4.4493882091212458E-3</v>
      </c>
      <c r="U115" s="106">
        <f t="shared" si="74"/>
        <v>-7.1000000000000004E-3</v>
      </c>
      <c r="V115" s="107">
        <f t="shared" si="75"/>
        <v>-2.8799999999999999E-2</v>
      </c>
    </row>
    <row r="116" spans="1:28">
      <c r="A116" s="131">
        <v>105</v>
      </c>
      <c r="B116" s="100" t="s">
        <v>170</v>
      </c>
      <c r="C116" s="101" t="s">
        <v>125</v>
      </c>
      <c r="D116" s="116">
        <v>2080192492.53</v>
      </c>
      <c r="E116" s="109">
        <f t="shared" si="65"/>
        <v>8.7714823178462516E-3</v>
      </c>
      <c r="F116" s="143">
        <v>31.721299999999999</v>
      </c>
      <c r="G116" s="143">
        <v>31.721299999999999</v>
      </c>
      <c r="H116" s="110">
        <v>1549</v>
      </c>
      <c r="I116" s="111">
        <v>0.14549999999999999</v>
      </c>
      <c r="J116" s="111">
        <v>0.14549999999999999</v>
      </c>
      <c r="K116" s="116">
        <v>2039610594.25</v>
      </c>
      <c r="L116" s="109">
        <f t="shared" si="51"/>
        <v>8.6531802668301724E-3</v>
      </c>
      <c r="M116" s="143">
        <v>31.427700000000002</v>
      </c>
      <c r="N116" s="143">
        <v>31.427700000000002</v>
      </c>
      <c r="O116" s="110">
        <v>1551</v>
      </c>
      <c r="P116" s="111">
        <v>0.1439</v>
      </c>
      <c r="Q116" s="111">
        <v>0.1439</v>
      </c>
      <c r="R116" s="112">
        <f t="shared" si="52"/>
        <v>-1.950872259453398E-2</v>
      </c>
      <c r="S116" s="112">
        <f t="shared" si="53"/>
        <v>-9.2556105834249499E-3</v>
      </c>
      <c r="T116" s="112">
        <f t="shared" si="54"/>
        <v>1.2911555842479018E-3</v>
      </c>
      <c r="U116" s="106">
        <f t="shared" si="55"/>
        <v>-1.5999999999999903E-3</v>
      </c>
      <c r="V116" s="107">
        <f t="shared" si="56"/>
        <v>-1.5999999999999903E-3</v>
      </c>
    </row>
    <row r="117" spans="1:28">
      <c r="A117" s="121"/>
      <c r="B117" s="122"/>
      <c r="C117" s="123" t="s">
        <v>54</v>
      </c>
      <c r="D117" s="141">
        <f>SUM(D79:D116)</f>
        <v>237154042743.45844</v>
      </c>
      <c r="E117" s="125">
        <f>(D117/$D$238)</f>
        <v>2.7315177160933454E-2</v>
      </c>
      <c r="F117" s="126"/>
      <c r="G117" s="134"/>
      <c r="H117" s="128">
        <f>SUM(H79:H116)</f>
        <v>66028</v>
      </c>
      <c r="I117" s="137"/>
      <c r="J117" s="137"/>
      <c r="K117" s="141">
        <f>SUM(K79:K116)</f>
        <v>235706472228.2908</v>
      </c>
      <c r="L117" s="125">
        <f>(K117/$K$238)</f>
        <v>2.6879784838907978E-2</v>
      </c>
      <c r="M117" s="126"/>
      <c r="N117" s="134"/>
      <c r="O117" s="128">
        <f>SUM(O79:O116)</f>
        <v>66244</v>
      </c>
      <c r="P117" s="137"/>
      <c r="Q117" s="137"/>
      <c r="R117" s="112">
        <f t="shared" si="52"/>
        <v>-6.1039251046356548E-3</v>
      </c>
      <c r="S117" s="112" t="e">
        <f t="shared" si="53"/>
        <v>#DIV/0!</v>
      </c>
      <c r="T117" s="112">
        <f t="shared" si="54"/>
        <v>3.2713394317562248E-3</v>
      </c>
      <c r="U117" s="106">
        <f t="shared" si="55"/>
        <v>0</v>
      </c>
      <c r="V117" s="107">
        <f t="shared" si="56"/>
        <v>0</v>
      </c>
    </row>
    <row r="118" spans="1:28" ht="3.75" customHeight="1">
      <c r="A118" s="121"/>
      <c r="B118" s="130"/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</row>
    <row r="119" spans="1:28" ht="15" customHeight="1">
      <c r="A119" s="98" t="s">
        <v>171</v>
      </c>
      <c r="B119" s="98"/>
      <c r="C119" s="98"/>
      <c r="D119" s="98"/>
      <c r="E119" s="98"/>
      <c r="F119" s="98"/>
      <c r="G119" s="98"/>
      <c r="H119" s="98"/>
      <c r="I119" s="98"/>
      <c r="J119" s="98"/>
      <c r="K119" s="98"/>
      <c r="L119" s="98"/>
      <c r="M119" s="98"/>
      <c r="N119" s="98"/>
      <c r="O119" s="98"/>
      <c r="P119" s="98"/>
      <c r="Q119" s="98"/>
      <c r="R119" s="98"/>
      <c r="S119" s="98"/>
      <c r="T119" s="98"/>
      <c r="U119" s="98"/>
      <c r="V119" s="98"/>
    </row>
    <row r="120" spans="1:28">
      <c r="A120" s="149" t="s">
        <v>172</v>
      </c>
      <c r="B120" s="149"/>
      <c r="C120" s="149"/>
      <c r="D120" s="149"/>
      <c r="E120" s="149"/>
      <c r="F120" s="149"/>
      <c r="G120" s="149"/>
      <c r="H120" s="149"/>
      <c r="I120" s="149"/>
      <c r="J120" s="149"/>
      <c r="K120" s="149"/>
      <c r="L120" s="149"/>
      <c r="M120" s="149"/>
      <c r="N120" s="149"/>
      <c r="O120" s="149"/>
      <c r="P120" s="149"/>
      <c r="Q120" s="149"/>
      <c r="R120" s="149"/>
      <c r="S120" s="149"/>
      <c r="T120" s="149"/>
      <c r="U120" s="149"/>
      <c r="V120" s="149"/>
      <c r="Z120" s="23"/>
      <c r="AB120" s="25"/>
    </row>
    <row r="121" spans="1:28" ht="16.5" customHeight="1">
      <c r="A121" s="131">
        <v>106</v>
      </c>
      <c r="B121" s="100" t="s">
        <v>173</v>
      </c>
      <c r="C121" s="101" t="s">
        <v>19</v>
      </c>
      <c r="D121" s="116">
        <v>3608597260.3096037</v>
      </c>
      <c r="E121" s="109">
        <f t="shared" ref="E121:E126" si="76">(D121/$D$161)</f>
        <v>1.9937346910824808E-3</v>
      </c>
      <c r="F121" s="116">
        <v>157239.04450305999</v>
      </c>
      <c r="G121" s="116">
        <v>157239.04450305999</v>
      </c>
      <c r="H121" s="110">
        <v>190</v>
      </c>
      <c r="I121" s="111">
        <v>2.0999999999999999E-3</v>
      </c>
      <c r="J121" s="111">
        <v>2.1700000000000001E-2</v>
      </c>
      <c r="K121" s="116">
        <f>2706858.26*W140</f>
        <v>3677091271.1089253</v>
      </c>
      <c r="L121" s="109">
        <f t="shared" ref="L121:L138" si="77">(K121/$K$161)</f>
        <v>1.9924483883827795E-3</v>
      </c>
      <c r="M121" s="150">
        <f>117.7468*W140</f>
        <v>159951.38603267999</v>
      </c>
      <c r="N121" s="116">
        <f>117.7468*W140</f>
        <v>159951.38603267999</v>
      </c>
      <c r="O121" s="110">
        <v>190</v>
      </c>
      <c r="P121" s="111">
        <v>6.1999999999999998E-3</v>
      </c>
      <c r="Q121" s="111">
        <v>2.8000000000000001E-2</v>
      </c>
      <c r="R121" s="112">
        <f>((K121-D121)/D121)</f>
        <v>1.8980785568031254E-2</v>
      </c>
      <c r="S121" s="112">
        <f>((N121-G121)/G121)</f>
        <v>1.7249796564155616E-2</v>
      </c>
      <c r="T121" s="112">
        <f>((O121-H121)/H121)</f>
        <v>0</v>
      </c>
      <c r="U121" s="112">
        <f>P121-I121</f>
        <v>4.0999999999999995E-3</v>
      </c>
      <c r="V121" s="133">
        <f>Q121-J121</f>
        <v>6.3E-3</v>
      </c>
      <c r="X121" s="23"/>
      <c r="Y121" s="26"/>
      <c r="Z121" s="23"/>
      <c r="AA121" s="27"/>
    </row>
    <row r="122" spans="1:28" ht="16.5" customHeight="1">
      <c r="A122" s="131">
        <v>107</v>
      </c>
      <c r="B122" s="100" t="s">
        <v>174</v>
      </c>
      <c r="C122" s="101" t="s">
        <v>58</v>
      </c>
      <c r="D122" s="116">
        <v>5025087369.4790773</v>
      </c>
      <c r="E122" s="109">
        <f t="shared" si="76"/>
        <v>2.776339472527139E-3</v>
      </c>
      <c r="F122" s="116">
        <v>141794.30809400001</v>
      </c>
      <c r="G122" s="116">
        <v>141794.30809400001</v>
      </c>
      <c r="H122" s="110">
        <v>105</v>
      </c>
      <c r="I122" s="111">
        <v>3.3370000000000001E-3</v>
      </c>
      <c r="J122" s="111">
        <v>5.5349000000000002E-2</v>
      </c>
      <c r="K122" s="116">
        <f>3776198.03*W140</f>
        <v>5129719948.5028524</v>
      </c>
      <c r="L122" s="109">
        <f t="shared" si="77"/>
        <v>2.779561748862213E-3</v>
      </c>
      <c r="M122" s="116">
        <f>105.82*W140</f>
        <v>143749.60228199998</v>
      </c>
      <c r="N122" s="116">
        <f>105.82*W140</f>
        <v>143749.60228199998</v>
      </c>
      <c r="O122" s="110">
        <v>106</v>
      </c>
      <c r="P122" s="111">
        <v>2.8860000000000001E-3</v>
      </c>
      <c r="Q122" s="111">
        <v>5.8235000000000002E-2</v>
      </c>
      <c r="R122" s="106">
        <f>((K122-D122)/D122)</f>
        <v>2.082204175379776E-2</v>
      </c>
      <c r="S122" s="106">
        <f>((N122-G122)/G122)</f>
        <v>1.3789652167869414E-2</v>
      </c>
      <c r="T122" s="106">
        <f>((O122-H122)/H122)</f>
        <v>9.5238095238095247E-3</v>
      </c>
      <c r="U122" s="106">
        <f>P122-I122</f>
        <v>-4.5100000000000001E-4</v>
      </c>
      <c r="V122" s="107">
        <f>Q122-J122</f>
        <v>2.8859999999999997E-3</v>
      </c>
      <c r="X122" s="23"/>
      <c r="Y122" s="26"/>
      <c r="Z122" s="23"/>
      <c r="AA122" s="27"/>
    </row>
    <row r="123" spans="1:28">
      <c r="A123" s="131">
        <v>108</v>
      </c>
      <c r="B123" s="100" t="s">
        <v>175</v>
      </c>
      <c r="C123" s="101" t="s">
        <v>23</v>
      </c>
      <c r="D123" s="116">
        <v>17791196573.903973</v>
      </c>
      <c r="E123" s="109">
        <f t="shared" si="76"/>
        <v>9.8295606981137207E-3</v>
      </c>
      <c r="F123" s="116">
        <v>1647.7054867399997</v>
      </c>
      <c r="G123" s="116">
        <v>1647.7054867399997</v>
      </c>
      <c r="H123" s="110">
        <v>339</v>
      </c>
      <c r="I123" s="111">
        <v>0.1108</v>
      </c>
      <c r="J123" s="111">
        <v>5.3699999999999998E-2</v>
      </c>
      <c r="K123" s="116">
        <f>13314375.02*FX_RATE</f>
        <v>18086714361.731201</v>
      </c>
      <c r="L123" s="109">
        <f t="shared" si="77"/>
        <v>9.8003672534087323E-3</v>
      </c>
      <c r="M123" s="116">
        <f>1.2281*W140</f>
        <v>1668.2941463099999</v>
      </c>
      <c r="N123" s="116">
        <f>1.2281*W140</f>
        <v>1668.2941463099999</v>
      </c>
      <c r="O123" s="110">
        <v>339</v>
      </c>
      <c r="P123" s="111">
        <v>7.6499999999999999E-2</v>
      </c>
      <c r="Q123" s="111">
        <v>5.5199999999999999E-2</v>
      </c>
      <c r="R123" s="106">
        <f t="shared" ref="R123:R136" si="78">((K123-D123)/D123)</f>
        <v>1.6610337961230352E-2</v>
      </c>
      <c r="S123" s="106">
        <f t="shared" ref="S123:S136" si="79">((N123-G123)/G123)</f>
        <v>1.2495351709203182E-2</v>
      </c>
      <c r="T123" s="106">
        <f t="shared" ref="T123:T136" si="80">((O123-H123)/H123)</f>
        <v>0</v>
      </c>
      <c r="U123" s="106">
        <f t="shared" ref="U123:U136" si="81">P123-I123</f>
        <v>-3.4299999999999997E-2</v>
      </c>
      <c r="V123" s="107">
        <f t="shared" ref="V123:V136" si="82">Q123-J123</f>
        <v>1.5000000000000013E-3</v>
      </c>
    </row>
    <row r="124" spans="1:28">
      <c r="A124" s="131">
        <v>109</v>
      </c>
      <c r="B124" s="100" t="s">
        <v>176</v>
      </c>
      <c r="C124" s="101" t="s">
        <v>23</v>
      </c>
      <c r="D124" s="116">
        <v>4214443142.7989974</v>
      </c>
      <c r="E124" s="109">
        <f t="shared" si="76"/>
        <v>2.3284619732466733E-3</v>
      </c>
      <c r="F124" s="116">
        <v>1423.4520041199999</v>
      </c>
      <c r="G124" s="116">
        <v>1423.4520041199999</v>
      </c>
      <c r="H124" s="110">
        <v>122</v>
      </c>
      <c r="I124" s="111">
        <v>7.3899999999999993E-2</v>
      </c>
      <c r="J124" s="111">
        <v>4.9000000000000002E-2</v>
      </c>
      <c r="K124" s="116">
        <f>3121171*W140</f>
        <v>4239908239.5020995</v>
      </c>
      <c r="L124" s="109">
        <f t="shared" si="77"/>
        <v>2.2974132856210462E-3</v>
      </c>
      <c r="M124" s="116">
        <f>1.0603*W140</f>
        <v>1440.34873653</v>
      </c>
      <c r="N124" s="116">
        <f>1.0603*W140</f>
        <v>1440.34873653</v>
      </c>
      <c r="O124" s="110">
        <v>122</v>
      </c>
      <c r="P124" s="111">
        <v>4.4299999999999999E-2</v>
      </c>
      <c r="Q124" s="111">
        <v>4.87E-2</v>
      </c>
      <c r="R124" s="106">
        <f t="shared" si="78"/>
        <v>6.0423396022349987E-3</v>
      </c>
      <c r="S124" s="106">
        <f t="shared" ref="S124" si="83">((N124-G124)/G124)</f>
        <v>1.1870250883833602E-2</v>
      </c>
      <c r="T124" s="106">
        <f t="shared" ref="T124" si="84">((O124-H124)/H124)</f>
        <v>0</v>
      </c>
      <c r="U124" s="106">
        <f t="shared" ref="U124" si="85">P124-I124</f>
        <v>-2.9599999999999994E-2</v>
      </c>
      <c r="V124" s="107">
        <f t="shared" ref="V124" si="86">Q124-J124</f>
        <v>-3.0000000000000165E-4</v>
      </c>
    </row>
    <row r="125" spans="1:28">
      <c r="A125" s="131">
        <v>110</v>
      </c>
      <c r="B125" s="100" t="s">
        <v>177</v>
      </c>
      <c r="C125" s="101" t="s">
        <v>27</v>
      </c>
      <c r="D125" s="116">
        <v>46524071604.171898</v>
      </c>
      <c r="E125" s="109">
        <f t="shared" si="76"/>
        <v>2.5704352366460733E-2</v>
      </c>
      <c r="F125" s="116">
        <v>1698.3607072</v>
      </c>
      <c r="G125" s="116">
        <v>1698.3607072</v>
      </c>
      <c r="H125" s="110">
        <v>651</v>
      </c>
      <c r="I125" s="111">
        <v>1.37E-2</v>
      </c>
      <c r="J125" s="111">
        <v>4.24E-2</v>
      </c>
      <c r="K125" s="116">
        <f xml:space="preserve"> 34873115.68*W140</f>
        <v>47372864386.072365</v>
      </c>
      <c r="L125" s="109">
        <f t="shared" si="77"/>
        <v>2.5669198923811486E-2</v>
      </c>
      <c r="M125" s="116">
        <f>1.2723*W140</f>
        <v>1728.3369777299999</v>
      </c>
      <c r="N125" s="116">
        <f>1.2723*W140</f>
        <v>1728.3369777299999</v>
      </c>
      <c r="O125" s="110">
        <v>654</v>
      </c>
      <c r="P125" s="111">
        <v>6.7000000000000002E-3</v>
      </c>
      <c r="Q125" s="111">
        <v>4.9099999999999998E-2</v>
      </c>
      <c r="R125" s="106">
        <f t="shared" si="78"/>
        <v>1.8244163776593322E-2</v>
      </c>
      <c r="S125" s="106">
        <f t="shared" ref="S125:T128" si="87">((N125-G125)/G125)</f>
        <v>1.7650120144041898E-2</v>
      </c>
      <c r="T125" s="106">
        <f t="shared" si="87"/>
        <v>4.608294930875576E-3</v>
      </c>
      <c r="U125" s="106">
        <f t="shared" si="81"/>
        <v>-7.0000000000000001E-3</v>
      </c>
      <c r="V125" s="107">
        <f t="shared" si="82"/>
        <v>6.6999999999999976E-3</v>
      </c>
    </row>
    <row r="126" spans="1:28">
      <c r="A126" s="131">
        <v>111</v>
      </c>
      <c r="B126" s="100" t="s">
        <v>178</v>
      </c>
      <c r="C126" s="101" t="s">
        <v>67</v>
      </c>
      <c r="D126" s="116">
        <v>1338105428.2821879</v>
      </c>
      <c r="E126" s="109">
        <f t="shared" si="76"/>
        <v>7.3929757749222741E-4</v>
      </c>
      <c r="F126" s="116">
        <v>1477.6006880599998</v>
      </c>
      <c r="G126" s="116">
        <v>1491.4401780000001</v>
      </c>
      <c r="H126" s="110">
        <v>74</v>
      </c>
      <c r="I126" s="111">
        <v>2.1800000000000001E-3</v>
      </c>
      <c r="J126" s="111">
        <v>7.5999999999999998E-2</v>
      </c>
      <c r="K126" s="116">
        <f>1007587.82*W140</f>
        <v>1368742661.0204818</v>
      </c>
      <c r="L126" s="109">
        <f t="shared" si="77"/>
        <v>7.4165934647539241E-4</v>
      </c>
      <c r="M126" s="116">
        <f>1.1022*W140</f>
        <v>1497.2671672199999</v>
      </c>
      <c r="N126" s="116">
        <f>1.11*W140</f>
        <v>1507.862961</v>
      </c>
      <c r="O126" s="110">
        <v>75</v>
      </c>
      <c r="P126" s="111">
        <v>2E-3</v>
      </c>
      <c r="Q126" s="111">
        <v>7.85E-2</v>
      </c>
      <c r="R126" s="106">
        <f t="shared" si="78"/>
        <v>2.2895978217220801E-2</v>
      </c>
      <c r="S126" s="106">
        <f t="shared" si="87"/>
        <v>1.1011358847810241E-2</v>
      </c>
      <c r="T126" s="106">
        <f t="shared" si="87"/>
        <v>1.3513513513513514E-2</v>
      </c>
      <c r="U126" s="106">
        <f t="shared" si="81"/>
        <v>-1.8000000000000004E-4</v>
      </c>
      <c r="V126" s="107">
        <f t="shared" si="82"/>
        <v>2.5000000000000022E-3</v>
      </c>
    </row>
    <row r="127" spans="1:28">
      <c r="A127" s="131">
        <v>112</v>
      </c>
      <c r="B127" s="100" t="s">
        <v>179</v>
      </c>
      <c r="C127" s="101" t="s">
        <v>29</v>
      </c>
      <c r="D127" s="116">
        <v>825354999.84838998</v>
      </c>
      <c r="E127" s="109">
        <v>0</v>
      </c>
      <c r="F127" s="116">
        <v>1952.3086294</v>
      </c>
      <c r="G127" s="116">
        <v>1952.3086294</v>
      </c>
      <c r="H127" s="110">
        <v>76</v>
      </c>
      <c r="I127" s="111">
        <v>2.0699999999999999E-4</v>
      </c>
      <c r="J127" s="111">
        <v>2.9100000000000001E-2</v>
      </c>
      <c r="K127" s="116">
        <f>659837.05*W140</f>
        <v>896345809.00045502</v>
      </c>
      <c r="L127" s="109">
        <f t="shared" si="77"/>
        <v>4.8568899461612282E-4</v>
      </c>
      <c r="M127" s="116">
        <f>1.4548*W140</f>
        <v>1976.25138348</v>
      </c>
      <c r="N127" s="116">
        <f>1.4548*W140</f>
        <v>1976.25138348</v>
      </c>
      <c r="O127" s="110">
        <v>76</v>
      </c>
      <c r="P127" s="111">
        <v>2.34E-4</v>
      </c>
      <c r="Q127" s="111">
        <v>3.04E-2</v>
      </c>
      <c r="R127" s="106">
        <f t="shared" si="78"/>
        <v>8.6012454234972086E-2</v>
      </c>
      <c r="S127" s="106">
        <f t="shared" si="87"/>
        <v>1.2263816140257637E-2</v>
      </c>
      <c r="T127" s="106">
        <f t="shared" si="87"/>
        <v>0</v>
      </c>
      <c r="U127" s="106">
        <f t="shared" si="81"/>
        <v>2.7000000000000006E-5</v>
      </c>
      <c r="V127" s="107">
        <f t="shared" si="82"/>
        <v>1.2999999999999991E-3</v>
      </c>
    </row>
    <row r="128" spans="1:28">
      <c r="A128" s="131">
        <v>113</v>
      </c>
      <c r="B128" s="100" t="s">
        <v>180</v>
      </c>
      <c r="C128" s="101" t="s">
        <v>77</v>
      </c>
      <c r="D128" s="116">
        <v>3846577944.8915181</v>
      </c>
      <c r="E128" s="109">
        <f t="shared" ref="E128:E135" si="88">(D128/$D$161)</f>
        <v>2.1252180106197272E-3</v>
      </c>
      <c r="F128" s="116">
        <v>147491.34084599998</v>
      </c>
      <c r="G128" s="116">
        <v>148069.10595999999</v>
      </c>
      <c r="H128" s="110">
        <v>81</v>
      </c>
      <c r="I128" s="111">
        <v>4.4999999999999997E-3</v>
      </c>
      <c r="J128" s="111">
        <v>2.4299999999999999E-2</v>
      </c>
      <c r="K128" s="116">
        <f>2874488.35*W140</f>
        <v>3904805869.1810851</v>
      </c>
      <c r="L128" s="109">
        <f t="shared" si="77"/>
        <v>2.1158365641142122E-3</v>
      </c>
      <c r="M128" s="116">
        <f>110.16*W140</f>
        <v>149645.210616</v>
      </c>
      <c r="N128" s="116">
        <f>110.63*W140</f>
        <v>150283.67511299998</v>
      </c>
      <c r="O128" s="110">
        <v>84</v>
      </c>
      <c r="P128" s="111">
        <v>3.8E-3</v>
      </c>
      <c r="Q128" s="111">
        <v>2.8199999999999999E-2</v>
      </c>
      <c r="R128" s="106">
        <f t="shared" si="78"/>
        <v>1.5137591158628958E-2</v>
      </c>
      <c r="S128" s="106">
        <f t="shared" si="87"/>
        <v>1.495632150030164E-2</v>
      </c>
      <c r="T128" s="106">
        <f t="shared" si="87"/>
        <v>3.7037037037037035E-2</v>
      </c>
      <c r="U128" s="106">
        <f t="shared" si="81"/>
        <v>-6.9999999999999967E-4</v>
      </c>
      <c r="V128" s="107">
        <f t="shared" si="82"/>
        <v>3.9000000000000007E-3</v>
      </c>
    </row>
    <row r="129" spans="1:25">
      <c r="A129" s="131">
        <v>114</v>
      </c>
      <c r="B129" s="100" t="s">
        <v>181</v>
      </c>
      <c r="C129" s="101" t="s">
        <v>80</v>
      </c>
      <c r="D129" s="116">
        <v>4825912814.9700003</v>
      </c>
      <c r="E129" s="109">
        <f t="shared" si="88"/>
        <v>2.666296375373212E-3</v>
      </c>
      <c r="F129" s="116">
        <v>1640.53</v>
      </c>
      <c r="G129" s="116">
        <v>1640.53</v>
      </c>
      <c r="H129" s="110">
        <v>63</v>
      </c>
      <c r="I129" s="111">
        <v>6.5799999999999997E-2</v>
      </c>
      <c r="J129" s="111">
        <v>7.17E-2</v>
      </c>
      <c r="K129" s="116">
        <v>4904016054.1800003</v>
      </c>
      <c r="L129" s="109">
        <f t="shared" si="77"/>
        <v>2.6572630819706338E-3</v>
      </c>
      <c r="M129" s="116">
        <v>1654.6</v>
      </c>
      <c r="N129" s="116">
        <v>1654.6</v>
      </c>
      <c r="O129" s="110">
        <v>64</v>
      </c>
      <c r="P129" s="111">
        <v>6.5799999999999997E-2</v>
      </c>
      <c r="Q129" s="111">
        <v>9.5500000000000002E-2</v>
      </c>
      <c r="R129" s="106">
        <f t="shared" si="78"/>
        <v>1.6184138049018103E-2</v>
      </c>
      <c r="S129" s="106">
        <f t="shared" si="79"/>
        <v>8.5764966199947199E-3</v>
      </c>
      <c r="T129" s="106">
        <f t="shared" si="80"/>
        <v>1.5873015873015872E-2</v>
      </c>
      <c r="U129" s="106">
        <f t="shared" si="81"/>
        <v>0</v>
      </c>
      <c r="V129" s="107">
        <f t="shared" si="82"/>
        <v>2.3800000000000002E-2</v>
      </c>
      <c r="X129" s="24"/>
    </row>
    <row r="130" spans="1:25">
      <c r="A130" s="131">
        <v>115</v>
      </c>
      <c r="B130" s="100" t="s">
        <v>182</v>
      </c>
      <c r="C130" s="101" t="s">
        <v>82</v>
      </c>
      <c r="D130" s="116">
        <v>51358301340.767502</v>
      </c>
      <c r="E130" s="109">
        <f t="shared" si="88"/>
        <v>2.8375243805780357E-2</v>
      </c>
      <c r="F130" s="116">
        <v>175743.46</v>
      </c>
      <c r="G130" s="116">
        <v>175797.27000000002</v>
      </c>
      <c r="H130" s="110">
        <v>2612</v>
      </c>
      <c r="I130" s="111">
        <v>1.4E-3</v>
      </c>
      <c r="J130" s="111">
        <v>2.1499999999999998E-2</v>
      </c>
      <c r="K130" s="116">
        <f>38107430.1*1358.86</f>
        <v>51782662465.685997</v>
      </c>
      <c r="L130" s="109">
        <f t="shared" si="77"/>
        <v>2.8058667780854547E-2</v>
      </c>
      <c r="M130" s="116">
        <f>130.8*1358.86</f>
        <v>177738.88800000001</v>
      </c>
      <c r="N130" s="116">
        <f>130.84*1358.86</f>
        <v>177793.24239999999</v>
      </c>
      <c r="O130" s="110">
        <v>2612</v>
      </c>
      <c r="P130" s="111">
        <v>1.1999999999999999E-3</v>
      </c>
      <c r="Q130" s="111">
        <v>2.2800000000000001E-2</v>
      </c>
      <c r="R130" s="106">
        <f t="shared" si="78"/>
        <v>8.2627562407645919E-3</v>
      </c>
      <c r="S130" s="106">
        <f t="shared" si="79"/>
        <v>1.1353830466195348E-2</v>
      </c>
      <c r="T130" s="106">
        <f t="shared" si="80"/>
        <v>0</v>
      </c>
      <c r="U130" s="106">
        <f t="shared" si="81"/>
        <v>-2.0000000000000009E-4</v>
      </c>
      <c r="V130" s="107">
        <f t="shared" si="82"/>
        <v>1.3000000000000025E-3</v>
      </c>
    </row>
    <row r="131" spans="1:25">
      <c r="A131" s="131">
        <v>116</v>
      </c>
      <c r="B131" s="151" t="s">
        <v>183</v>
      </c>
      <c r="C131" s="101" t="s">
        <v>82</v>
      </c>
      <c r="D131" s="116">
        <v>154278202668.5325</v>
      </c>
      <c r="E131" s="109">
        <f t="shared" si="88"/>
        <v>8.5238053057690624E-2</v>
      </c>
      <c r="F131" s="116">
        <v>171546.28</v>
      </c>
      <c r="G131" s="116">
        <v>171613.54249999998</v>
      </c>
      <c r="H131" s="110">
        <v>1047</v>
      </c>
      <c r="I131" s="111">
        <v>1.4E-3</v>
      </c>
      <c r="J131" s="111">
        <v>2.2800000000000001E-2</v>
      </c>
      <c r="K131" s="116">
        <f>116031516.69*1358.86</f>
        <v>157670586769.37338</v>
      </c>
      <c r="L131" s="109">
        <f t="shared" si="77"/>
        <v>8.5434514223864957E-2</v>
      </c>
      <c r="M131" s="116">
        <f>127.67*1358.86</f>
        <v>173485.6562</v>
      </c>
      <c r="N131" s="116">
        <f>127.73*1358.86</f>
        <v>173567.18779999999</v>
      </c>
      <c r="O131" s="110">
        <v>1047</v>
      </c>
      <c r="P131" s="111">
        <v>1.1999999999999999E-3</v>
      </c>
      <c r="Q131" s="111">
        <v>2.4E-2</v>
      </c>
      <c r="R131" s="106">
        <f t="shared" si="78"/>
        <v>2.1988745280689042E-2</v>
      </c>
      <c r="S131" s="106">
        <f t="shared" si="79"/>
        <v>1.1383980958262685E-2</v>
      </c>
      <c r="T131" s="106">
        <f t="shared" si="80"/>
        <v>0</v>
      </c>
      <c r="U131" s="106">
        <f t="shared" si="81"/>
        <v>-2.0000000000000009E-4</v>
      </c>
      <c r="V131" s="107">
        <f t="shared" si="82"/>
        <v>1.1999999999999997E-3</v>
      </c>
      <c r="X131" s="23"/>
    </row>
    <row r="132" spans="1:25">
      <c r="A132" s="131">
        <v>117</v>
      </c>
      <c r="B132" s="100" t="s">
        <v>184</v>
      </c>
      <c r="C132" s="101" t="s">
        <v>86</v>
      </c>
      <c r="D132" s="116">
        <v>1918607308.1360219</v>
      </c>
      <c r="E132" s="109">
        <f t="shared" si="88"/>
        <v>1.0600224056222264E-3</v>
      </c>
      <c r="F132" s="116">
        <v>1343.6397999999999</v>
      </c>
      <c r="G132" s="116">
        <v>1343.6397999999999</v>
      </c>
      <c r="H132" s="110">
        <v>15</v>
      </c>
      <c r="I132" s="111">
        <v>8.43E-2</v>
      </c>
      <c r="J132" s="111">
        <v>8.3599999999999994E-2</v>
      </c>
      <c r="K132" s="116">
        <f>1433800.23*W140</f>
        <v>1947724558.8200729</v>
      </c>
      <c r="L132" s="109">
        <f t="shared" si="77"/>
        <v>1.0553832831743317E-3</v>
      </c>
      <c r="M132" s="116">
        <f>1*W140</f>
        <v>1358.4350999999999</v>
      </c>
      <c r="N132" s="116">
        <f>1*W140</f>
        <v>1358.4350999999999</v>
      </c>
      <c r="O132" s="110">
        <v>15</v>
      </c>
      <c r="P132" s="111">
        <v>8.8999999999999996E-2</v>
      </c>
      <c r="Q132" s="111">
        <v>8.3900000000000002E-2</v>
      </c>
      <c r="R132" s="106">
        <f t="shared" ref="R132" si="89">((K132-D132)/D132)</f>
        <v>1.5176242976130025E-2</v>
      </c>
      <c r="S132" s="106">
        <f t="shared" ref="S132" si="90">((N132-G132)/G132)</f>
        <v>1.1011358847810253E-2</v>
      </c>
      <c r="T132" s="106">
        <f t="shared" si="80"/>
        <v>0</v>
      </c>
      <c r="U132" s="106">
        <f t="shared" si="81"/>
        <v>4.6999999999999958E-3</v>
      </c>
      <c r="V132" s="107">
        <f t="shared" si="82"/>
        <v>3.0000000000000859E-4</v>
      </c>
    </row>
    <row r="133" spans="1:25">
      <c r="A133" s="131">
        <v>118</v>
      </c>
      <c r="B133" s="100" t="s">
        <v>185</v>
      </c>
      <c r="C133" s="101" t="s">
        <v>34</v>
      </c>
      <c r="D133" s="116">
        <v>267395625.04782125</v>
      </c>
      <c r="E133" s="109">
        <f t="shared" si="88"/>
        <v>1.4773494946781218E-4</v>
      </c>
      <c r="F133" s="116">
        <v>194152.86072846001</v>
      </c>
      <c r="G133" s="116">
        <v>194152.86072846001</v>
      </c>
      <c r="H133" s="110">
        <v>11</v>
      </c>
      <c r="I133" s="111">
        <v>4.3400000000000001E-2</v>
      </c>
      <c r="J133" s="111">
        <v>6.8099999999999994E-2</v>
      </c>
      <c r="K133" s="116">
        <f xml:space="preserve"> 199378.8209*W140</f>
        <v>270843188.50717354</v>
      </c>
      <c r="L133" s="109">
        <f t="shared" si="77"/>
        <v>1.4675759578924676E-4</v>
      </c>
      <c r="M133" s="116">
        <f>144.7666*W140</f>
        <v>196656.03074766</v>
      </c>
      <c r="N133" s="116">
        <f>144.7666*W140</f>
        <v>196656.03074766</v>
      </c>
      <c r="O133" s="110">
        <v>11</v>
      </c>
      <c r="P133" s="111">
        <v>1.9E-3</v>
      </c>
      <c r="Q133" s="111">
        <v>7.0099999999999996E-2</v>
      </c>
      <c r="R133" s="106">
        <f t="shared" si="78"/>
        <v>1.289311842232168E-2</v>
      </c>
      <c r="S133" s="106">
        <f t="shared" si="79"/>
        <v>1.2892779482146748E-2</v>
      </c>
      <c r="T133" s="106">
        <f t="shared" si="80"/>
        <v>0</v>
      </c>
      <c r="U133" s="106">
        <f t="shared" si="81"/>
        <v>-4.1500000000000002E-2</v>
      </c>
      <c r="V133" s="107">
        <f t="shared" si="82"/>
        <v>2.0000000000000018E-3</v>
      </c>
    </row>
    <row r="134" spans="1:25">
      <c r="A134" s="131">
        <v>119</v>
      </c>
      <c r="B134" s="100" t="s">
        <v>186</v>
      </c>
      <c r="C134" s="101" t="s">
        <v>40</v>
      </c>
      <c r="D134" s="116">
        <v>14620453284.425661</v>
      </c>
      <c r="E134" s="109">
        <f t="shared" si="88"/>
        <v>8.0777384700473163E-3</v>
      </c>
      <c r="F134" s="116">
        <v>2028.8960979999999</v>
      </c>
      <c r="G134" s="116">
        <v>2028.8960979999999</v>
      </c>
      <c r="H134" s="136">
        <v>119</v>
      </c>
      <c r="I134" s="137">
        <v>1.24E-2</v>
      </c>
      <c r="J134" s="137">
        <v>6.2700000000000006E-2</v>
      </c>
      <c r="K134" s="116">
        <f>10924412.07*W140</f>
        <v>14840104802.751657</v>
      </c>
      <c r="L134" s="109">
        <f t="shared" si="77"/>
        <v>8.0411773104443543E-3</v>
      </c>
      <c r="M134" s="116">
        <f>1.51*W140</f>
        <v>2051.237001</v>
      </c>
      <c r="N134" s="116">
        <f>1.52*W140</f>
        <v>2064.8213519999999</v>
      </c>
      <c r="O134" s="136">
        <v>120</v>
      </c>
      <c r="P134" s="137">
        <v>1.52E-2</v>
      </c>
      <c r="Q134" s="137">
        <v>6.7900000000000002E-2</v>
      </c>
      <c r="R134" s="106">
        <f t="shared" si="78"/>
        <v>1.502357786403098E-2</v>
      </c>
      <c r="S134" s="106">
        <f t="shared" si="79"/>
        <v>1.7706798310378531E-2</v>
      </c>
      <c r="T134" s="106">
        <f t="shared" si="80"/>
        <v>8.4033613445378148E-3</v>
      </c>
      <c r="U134" s="106">
        <f t="shared" si="81"/>
        <v>2.8000000000000004E-3</v>
      </c>
      <c r="V134" s="107">
        <f t="shared" si="82"/>
        <v>5.1999999999999963E-3</v>
      </c>
    </row>
    <row r="135" spans="1:25">
      <c r="A135" s="131">
        <v>120</v>
      </c>
      <c r="B135" s="100" t="s">
        <v>338</v>
      </c>
      <c r="C135" s="101" t="s">
        <v>335</v>
      </c>
      <c r="D135" s="116">
        <v>33630874.229263999</v>
      </c>
      <c r="E135" s="109">
        <f t="shared" si="88"/>
        <v>1.8580915465352513E-5</v>
      </c>
      <c r="F135" s="108">
        <v>1343.8252222924</v>
      </c>
      <c r="G135" s="108">
        <v>1343.8789678844</v>
      </c>
      <c r="H135" s="110">
        <v>1</v>
      </c>
      <c r="I135" s="111">
        <v>0</v>
      </c>
      <c r="J135" s="111">
        <v>0</v>
      </c>
      <c r="K135" s="116">
        <f>25053.91*W140</f>
        <v>34034110.736240998</v>
      </c>
      <c r="L135" s="109">
        <f t="shared" si="77"/>
        <v>1.8441535465616588E-5</v>
      </c>
      <c r="M135" s="108">
        <f>1.002156*W140</f>
        <v>1361.3638860756</v>
      </c>
      <c r="N135" s="108">
        <f>1.002671*W140</f>
        <v>1362.0634801521001</v>
      </c>
      <c r="O135" s="110">
        <v>1</v>
      </c>
      <c r="P135" s="111">
        <v>9.68E-4</v>
      </c>
      <c r="Q135" s="111">
        <v>0</v>
      </c>
      <c r="R135" s="106">
        <f>((K135-D135)/D135)</f>
        <v>1.1990069131956195E-2</v>
      </c>
      <c r="S135" s="106">
        <f>((N135-G135)/G135)</f>
        <v>1.35313616049271E-2</v>
      </c>
      <c r="T135" s="106">
        <f>((O135-H135)/H135)</f>
        <v>0</v>
      </c>
      <c r="U135" s="106">
        <f>P135-I135</f>
        <v>9.68E-4</v>
      </c>
      <c r="V135" s="107">
        <f>Q135-J135</f>
        <v>0</v>
      </c>
    </row>
    <row r="136" spans="1:25">
      <c r="A136" s="131">
        <v>121</v>
      </c>
      <c r="B136" s="100" t="s">
        <v>187</v>
      </c>
      <c r="C136" s="101" t="s">
        <v>102</v>
      </c>
      <c r="D136" s="116">
        <v>39896787948.906395</v>
      </c>
      <c r="E136" s="109">
        <f>(D136/$D$161)</f>
        <v>2.2042806237033943E-2</v>
      </c>
      <c r="F136" s="116">
        <v>142613.92837199999</v>
      </c>
      <c r="G136" s="116">
        <v>142613.92837199999</v>
      </c>
      <c r="H136" s="110">
        <v>909</v>
      </c>
      <c r="I136" s="137">
        <v>5.7000000000000002E-3</v>
      </c>
      <c r="J136" s="111">
        <v>0.12239999999999999</v>
      </c>
      <c r="K136" s="116">
        <f>30445916*W140</f>
        <v>41358800946.051598</v>
      </c>
      <c r="L136" s="109">
        <f t="shared" si="77"/>
        <v>2.2410451689863317E-2</v>
      </c>
      <c r="M136" s="116">
        <f>106.43*W140</f>
        <v>144578.24769300001</v>
      </c>
      <c r="N136" s="116">
        <f>106.43*W140</f>
        <v>144578.24769300001</v>
      </c>
      <c r="O136" s="110">
        <v>914</v>
      </c>
      <c r="P136" s="137">
        <v>2.7000000000000001E-3</v>
      </c>
      <c r="Q136" s="111">
        <v>0.12379999999999999</v>
      </c>
      <c r="R136" s="106">
        <f t="shared" si="78"/>
        <v>3.6644879758679361E-2</v>
      </c>
      <c r="S136" s="106">
        <f t="shared" si="79"/>
        <v>1.3773684964880895E-2</v>
      </c>
      <c r="T136" s="106">
        <f t="shared" si="80"/>
        <v>5.5005500550055009E-3</v>
      </c>
      <c r="U136" s="106">
        <f t="shared" si="81"/>
        <v>-3.0000000000000001E-3</v>
      </c>
      <c r="V136" s="107">
        <f t="shared" si="82"/>
        <v>1.3999999999999985E-3</v>
      </c>
    </row>
    <row r="137" spans="1:25">
      <c r="A137" s="131">
        <v>122</v>
      </c>
      <c r="B137" s="100" t="s">
        <v>188</v>
      </c>
      <c r="C137" s="101" t="s">
        <v>44</v>
      </c>
      <c r="D137" s="116">
        <v>2727153306.9044218</v>
      </c>
      <c r="E137" s="109">
        <f>(D137/$D$161)</f>
        <v>1.5067406428749439E-3</v>
      </c>
      <c r="F137" s="116">
        <v>216566.10951406098</v>
      </c>
      <c r="G137" s="116">
        <v>225281.9031792802</v>
      </c>
      <c r="H137" s="110">
        <v>54</v>
      </c>
      <c r="I137" s="111">
        <v>-1.6999999999999999E-3</v>
      </c>
      <c r="J137" s="111">
        <v>-3.0300000000000001E-2</v>
      </c>
      <c r="K137" s="116">
        <f>2034997.89*W140</f>
        <v>2764412562.2019386</v>
      </c>
      <c r="L137" s="109">
        <f t="shared" si="77"/>
        <v>1.4979093387375432E-3</v>
      </c>
      <c r="M137" s="116">
        <f>168.14*W140</f>
        <v>228407.27771399997</v>
      </c>
      <c r="N137" s="116">
        <f>161.6*W140</f>
        <v>219523.11215999999</v>
      </c>
      <c r="O137" s="110">
        <v>54</v>
      </c>
      <c r="P137" s="111">
        <v>2.5999999999999999E-3</v>
      </c>
      <c r="Q137" s="111">
        <v>-2.7699999999999999E-2</v>
      </c>
      <c r="R137" s="106">
        <f t="shared" ref="R137:R138" si="91">((K137-D137)/D137)</f>
        <v>1.3662325181054679E-2</v>
      </c>
      <c r="S137" s="106">
        <f t="shared" ref="S137:S138" si="92">((N137-G137)/G137)</f>
        <v>-2.5562599294526291E-2</v>
      </c>
      <c r="T137" s="106">
        <f t="shared" ref="T137:T138" si="93">((O137-H137)/H137)</f>
        <v>0</v>
      </c>
      <c r="U137" s="106">
        <f t="shared" ref="U137:U138" si="94">P137-I137</f>
        <v>4.3E-3</v>
      </c>
      <c r="V137" s="107">
        <f t="shared" ref="V137:V138" si="95">Q137-J137</f>
        <v>2.6000000000000016E-3</v>
      </c>
    </row>
    <row r="138" spans="1:25" ht="15" customHeight="1">
      <c r="A138" s="131">
        <v>123</v>
      </c>
      <c r="B138" s="100" t="s">
        <v>189</v>
      </c>
      <c r="C138" s="101" t="s">
        <v>51</v>
      </c>
      <c r="D138" s="108">
        <v>152545035652.0975</v>
      </c>
      <c r="E138" s="109">
        <f>(D138/$D$161)</f>
        <v>8.4280485627234308E-2</v>
      </c>
      <c r="F138" s="116">
        <v>170693.3915</v>
      </c>
      <c r="G138" s="116">
        <v>170693.3915</v>
      </c>
      <c r="H138" s="110">
        <v>4372</v>
      </c>
      <c r="I138" s="111">
        <v>1.1000000000000001E-3</v>
      </c>
      <c r="J138" s="111">
        <v>5.8999999999999997E-2</v>
      </c>
      <c r="K138" s="108">
        <f>113979956.09*1358.86</f>
        <v>154882803132.4574</v>
      </c>
      <c r="L138" s="109">
        <f t="shared" si="77"/>
        <v>8.3923941163529137E-2</v>
      </c>
      <c r="M138" s="116">
        <f>127.02429*1358.86</f>
        <v>172608.22670939998</v>
      </c>
      <c r="N138" s="116">
        <f>127.02429*1358.86</f>
        <v>172608.22670939998</v>
      </c>
      <c r="O138" s="110">
        <v>4380</v>
      </c>
      <c r="P138" s="111">
        <v>1.1000000000000001E-3</v>
      </c>
      <c r="Q138" s="111">
        <v>5.8999999999999997E-2</v>
      </c>
      <c r="R138" s="106">
        <f t="shared" si="91"/>
        <v>1.5325097079471883E-2</v>
      </c>
      <c r="S138" s="106">
        <f t="shared" si="92"/>
        <v>1.1217980922243177E-2</v>
      </c>
      <c r="T138" s="106">
        <f t="shared" si="93"/>
        <v>1.8298261665141812E-3</v>
      </c>
      <c r="U138" s="106">
        <f t="shared" si="94"/>
        <v>0</v>
      </c>
      <c r="V138" s="107">
        <f t="shared" si="95"/>
        <v>0</v>
      </c>
    </row>
    <row r="139" spans="1:25">
      <c r="A139" s="152"/>
      <c r="B139" s="130"/>
      <c r="C139" s="130"/>
      <c r="D139" s="130"/>
      <c r="E139" s="130"/>
      <c r="F139" s="130"/>
      <c r="G139" s="130"/>
      <c r="H139" s="130"/>
      <c r="I139" s="130"/>
      <c r="J139" s="130"/>
      <c r="K139" s="130"/>
      <c r="L139" s="130"/>
      <c r="M139" s="130"/>
      <c r="N139" s="130"/>
      <c r="O139" s="130"/>
      <c r="P139" s="130"/>
      <c r="Q139" s="130"/>
      <c r="R139" s="130"/>
      <c r="S139" s="130"/>
      <c r="T139" s="130"/>
      <c r="U139" s="130"/>
      <c r="V139" s="130"/>
    </row>
    <row r="140" spans="1:25">
      <c r="A140" s="149" t="s">
        <v>190</v>
      </c>
      <c r="B140" s="149"/>
      <c r="C140" s="149"/>
      <c r="D140" s="149"/>
      <c r="E140" s="149"/>
      <c r="F140" s="149"/>
      <c r="G140" s="149"/>
      <c r="H140" s="149"/>
      <c r="I140" s="149"/>
      <c r="J140" s="149"/>
      <c r="K140" s="149"/>
      <c r="L140" s="149"/>
      <c r="M140" s="149"/>
      <c r="N140" s="149"/>
      <c r="O140" s="149"/>
      <c r="P140" s="149"/>
      <c r="Q140" s="149"/>
      <c r="R140" s="149"/>
      <c r="S140" s="149"/>
      <c r="T140" s="149"/>
      <c r="U140" s="149"/>
      <c r="V140" s="149"/>
      <c r="W140" s="28">
        <v>1358.4350999999999</v>
      </c>
      <c r="Y140" s="32"/>
    </row>
    <row r="141" spans="1:25">
      <c r="A141" s="131">
        <v>124</v>
      </c>
      <c r="B141" s="100" t="s">
        <v>332</v>
      </c>
      <c r="C141" s="101" t="s">
        <v>333</v>
      </c>
      <c r="D141" s="108">
        <v>449867413.97389799</v>
      </c>
      <c r="E141" s="109">
        <f>(D141/$D$161)</f>
        <v>2.4854983943272519E-4</v>
      </c>
      <c r="F141" s="116">
        <v>1357.076198</v>
      </c>
      <c r="G141" s="116">
        <v>1357.076198</v>
      </c>
      <c r="H141" s="110">
        <v>36</v>
      </c>
      <c r="I141" s="111">
        <v>6.83E-2</v>
      </c>
      <c r="J141" s="111">
        <v>7.0999999999999994E-2</v>
      </c>
      <c r="K141" s="108">
        <f>343104.78*W140</f>
        <v>466085576.12977803</v>
      </c>
      <c r="L141" s="109">
        <f>(K141/$K$161)</f>
        <v>2.5255055872686446E-4</v>
      </c>
      <c r="M141" s="116">
        <f>1.01*W140</f>
        <v>1372.0194509999999</v>
      </c>
      <c r="N141" s="116">
        <f>1.01*W140</f>
        <v>1372.0194509999999</v>
      </c>
      <c r="O141" s="110">
        <v>36</v>
      </c>
      <c r="P141" s="111">
        <v>7.0699999999999999E-2</v>
      </c>
      <c r="Q141" s="111">
        <v>7.0999999999999994E-2</v>
      </c>
      <c r="R141" s="106">
        <f>((K141-D141)/D141)</f>
        <v>3.6050982249674651E-2</v>
      </c>
      <c r="S141" s="106">
        <f>((N141-G141)/G141)</f>
        <v>1.1011358847810191E-2</v>
      </c>
      <c r="T141" s="106">
        <f>((O141-H141)/H141)</f>
        <v>0</v>
      </c>
      <c r="U141" s="106">
        <f>P141-I141</f>
        <v>2.3999999999999994E-3</v>
      </c>
      <c r="V141" s="107">
        <f>Q141-J141</f>
        <v>0</v>
      </c>
      <c r="W141" s="28"/>
      <c r="Y141" s="32"/>
    </row>
    <row r="142" spans="1:25">
      <c r="A142" s="131">
        <v>125</v>
      </c>
      <c r="B142" s="100" t="s">
        <v>191</v>
      </c>
      <c r="C142" s="101" t="s">
        <v>62</v>
      </c>
      <c r="D142" s="108">
        <v>1581959202.7390959</v>
      </c>
      <c r="E142" s="109">
        <f>(D142/$D$161)</f>
        <v>8.7402575429199254E-4</v>
      </c>
      <c r="F142" s="116">
        <v>158992.89753399999</v>
      </c>
      <c r="G142" s="116">
        <v>158992.89753399999</v>
      </c>
      <c r="H142" s="110">
        <v>76</v>
      </c>
      <c r="I142" s="111">
        <v>8.3999999999999995E-3</v>
      </c>
      <c r="J142" s="111">
        <v>7.9399999999999998E-2</v>
      </c>
      <c r="K142" s="108">
        <f>1178227.95*W140</f>
        <v>1600546203.0810449</v>
      </c>
      <c r="L142" s="109">
        <f>(K142/$K$161)</f>
        <v>8.6726313483626808E-4</v>
      </c>
      <c r="M142" s="116">
        <f>118.41*W140</f>
        <v>160852.30019099999</v>
      </c>
      <c r="N142" s="116">
        <f>118.41*W140</f>
        <v>160852.30019099999</v>
      </c>
      <c r="O142" s="110">
        <v>76</v>
      </c>
      <c r="P142" s="111">
        <v>1E-4</v>
      </c>
      <c r="Q142" s="111">
        <v>7.6600000000000001E-2</v>
      </c>
      <c r="R142" s="106">
        <f>((K142-D142)/D142)</f>
        <v>1.1749355046430007E-2</v>
      </c>
      <c r="S142" s="106">
        <f>((N142-G142)/G142)</f>
        <v>1.1694878738859219E-2</v>
      </c>
      <c r="T142" s="106">
        <f>((O142-H142)/H142)</f>
        <v>0</v>
      </c>
      <c r="U142" s="106">
        <f>P142-I142</f>
        <v>-8.3000000000000001E-3</v>
      </c>
      <c r="V142" s="107">
        <f>Q142-J142</f>
        <v>-2.7999999999999969E-3</v>
      </c>
    </row>
    <row r="143" spans="1:25">
      <c r="A143" s="131">
        <v>126</v>
      </c>
      <c r="B143" s="101" t="s">
        <v>192</v>
      </c>
      <c r="C143" s="101" t="s">
        <v>25</v>
      </c>
      <c r="D143" s="116">
        <v>27296097747.159382</v>
      </c>
      <c r="E143" s="109">
        <f>(D143/$D$161)</f>
        <v>1.5080978309289323E-2</v>
      </c>
      <c r="F143" s="108">
        <v>184911.70927600001</v>
      </c>
      <c r="G143" s="108">
        <v>184911.70927600001</v>
      </c>
      <c r="H143" s="110">
        <v>678</v>
      </c>
      <c r="I143" s="111">
        <v>5.0000000000000001E-4</v>
      </c>
      <c r="J143" s="111">
        <v>1.4800000000000001E-2</v>
      </c>
      <c r="K143" s="116">
        <f>20476935.31*W140</f>
        <v>27816587665.533379</v>
      </c>
      <c r="L143" s="109">
        <f>(K143/$K$161)</f>
        <v>1.5072542718741368E-2</v>
      </c>
      <c r="M143" s="108">
        <f>137.76*W140</f>
        <v>187138.01937599998</v>
      </c>
      <c r="N143" s="108">
        <f>137.76*W140</f>
        <v>187138.01937599998</v>
      </c>
      <c r="O143" s="110">
        <v>681</v>
      </c>
      <c r="P143" s="111">
        <v>5.0000000000000001E-4</v>
      </c>
      <c r="Q143" s="111">
        <v>1.5800000000000002E-2</v>
      </c>
      <c r="R143" s="106">
        <f t="shared" ref="R143:R161" si="96">((K143-D143)/D143)</f>
        <v>1.906829039063514E-2</v>
      </c>
      <c r="S143" s="106">
        <f t="shared" ref="S143:S161" si="97">((N143-G143)/G143)</f>
        <v>1.2039854635040842E-2</v>
      </c>
      <c r="T143" s="106">
        <f t="shared" ref="T143:T161" si="98">((O143-H143)/H143)</f>
        <v>4.4247787610619468E-3</v>
      </c>
      <c r="U143" s="106">
        <f t="shared" ref="U143:U161" si="99">P143-I143</f>
        <v>0</v>
      </c>
      <c r="V143" s="107">
        <f t="shared" ref="V143:V161" si="100">Q143-J143</f>
        <v>1.0000000000000009E-3</v>
      </c>
    </row>
    <row r="144" spans="1:25">
      <c r="A144" s="131">
        <v>127</v>
      </c>
      <c r="B144" s="101" t="s">
        <v>193</v>
      </c>
      <c r="C144" s="101" t="s">
        <v>135</v>
      </c>
      <c r="D144" s="116">
        <v>560841903.53700995</v>
      </c>
      <c r="E144" s="109">
        <f>(D144/$D$161)</f>
        <v>3.0986277454484801E-4</v>
      </c>
      <c r="F144" s="108">
        <v>138650.19096199999</v>
      </c>
      <c r="G144" s="108">
        <v>138650.19096199999</v>
      </c>
      <c r="H144" s="110">
        <v>23</v>
      </c>
      <c r="I144" s="111">
        <v>8.0000000000000004E-4</v>
      </c>
      <c r="J144" s="111">
        <v>2.0160000000000001E-2</v>
      </c>
      <c r="K144" s="116">
        <f>408112.21*W140</f>
        <v>554393950.80257094</v>
      </c>
      <c r="L144" s="109">
        <f>(K144/$K$161)</f>
        <v>3.0040084739931466E-4</v>
      </c>
      <c r="M144" s="108">
        <f>103.32*W140</f>
        <v>140353.51453199997</v>
      </c>
      <c r="N144" s="108">
        <f>103.32*W140</f>
        <v>140353.51453199997</v>
      </c>
      <c r="O144" s="110">
        <v>23</v>
      </c>
      <c r="P144" s="111">
        <v>9.2000000000000003E-4</v>
      </c>
      <c r="Q144" s="111">
        <v>2.3E-2</v>
      </c>
      <c r="R144" s="106">
        <v>0</v>
      </c>
      <c r="S144" s="106">
        <f t="shared" ref="S144" si="101">((N144-G144)/G144)</f>
        <v>1.2285043087079558E-2</v>
      </c>
      <c r="T144" s="106">
        <f t="shared" ref="T144" si="102">((O144-H144)/H144)</f>
        <v>0</v>
      </c>
      <c r="U144" s="106">
        <f t="shared" ref="U144" si="103">P144-I144</f>
        <v>1.1999999999999999E-4</v>
      </c>
      <c r="V144" s="107">
        <f t="shared" ref="V144" si="104">Q144-J144</f>
        <v>2.8399999999999988E-3</v>
      </c>
    </row>
    <row r="145" spans="1:24">
      <c r="A145" s="131">
        <v>128</v>
      </c>
      <c r="B145" s="100" t="s">
        <v>194</v>
      </c>
      <c r="C145" s="101" t="s">
        <v>71</v>
      </c>
      <c r="D145" s="108">
        <v>17233993783.279999</v>
      </c>
      <c r="E145" s="109">
        <f>(D145/$D$161)</f>
        <v>9.5217085180287434E-3</v>
      </c>
      <c r="F145" s="108">
        <v>162825.62</v>
      </c>
      <c r="G145" s="108">
        <v>162825.62</v>
      </c>
      <c r="H145" s="110">
        <v>471</v>
      </c>
      <c r="I145" s="111">
        <v>1.1999999999999999E-3</v>
      </c>
      <c r="J145" s="111">
        <v>6.5500000000000003E-2</v>
      </c>
      <c r="K145" s="108">
        <v>17136343318.4</v>
      </c>
      <c r="L145" s="109">
        <f t="shared" ref="L145:L146" si="105">(K145/$K$117)</f>
        <v>7.2702048256879384E-2</v>
      </c>
      <c r="M145" s="108">
        <v>164723.20000000001</v>
      </c>
      <c r="N145" s="108">
        <v>164723.20000000001</v>
      </c>
      <c r="O145" s="110">
        <v>470</v>
      </c>
      <c r="P145" s="111">
        <v>1.1999999999999999E-3</v>
      </c>
      <c r="Q145" s="111">
        <v>6.5500000000000003E-2</v>
      </c>
      <c r="R145" s="106">
        <f t="shared" si="96"/>
        <v>-5.6661541200471628E-3</v>
      </c>
      <c r="S145" s="106">
        <f t="shared" si="97"/>
        <v>1.1654062794295003E-2</v>
      </c>
      <c r="T145" s="106">
        <f t="shared" si="98"/>
        <v>-2.1231422505307855E-3</v>
      </c>
      <c r="U145" s="106">
        <f t="shared" si="99"/>
        <v>0</v>
      </c>
      <c r="V145" s="107">
        <f t="shared" si="100"/>
        <v>0</v>
      </c>
    </row>
    <row r="146" spans="1:24">
      <c r="A146" s="131">
        <v>129</v>
      </c>
      <c r="B146" s="100" t="s">
        <v>195</v>
      </c>
      <c r="C146" s="101" t="s">
        <v>73</v>
      </c>
      <c r="D146" s="116">
        <v>149773714.59226999</v>
      </c>
      <c r="E146" s="109">
        <f t="shared" ref="E146" si="106">(D146/$D$117)</f>
        <v>6.3154611601661719E-4</v>
      </c>
      <c r="F146" s="115">
        <v>1421.0334524800001</v>
      </c>
      <c r="G146" s="115">
        <v>1421.0334524800001</v>
      </c>
      <c r="H146" s="110">
        <v>7</v>
      </c>
      <c r="I146" s="111">
        <v>2.5999999999999999E-3</v>
      </c>
      <c r="J146" s="111">
        <v>8.5199999999999998E-2</v>
      </c>
      <c r="K146" s="116">
        <f>112543.84*W140</f>
        <v>152883502.54478398</v>
      </c>
      <c r="L146" s="109">
        <f t="shared" si="105"/>
        <v>6.4861817793747476E-4</v>
      </c>
      <c r="M146" s="115">
        <f>1.0586*W140</f>
        <v>1438.0393968599999</v>
      </c>
      <c r="N146" s="115">
        <f>1.0586*W140</f>
        <v>1438.0393968599999</v>
      </c>
      <c r="O146" s="110">
        <v>7</v>
      </c>
      <c r="P146" s="111">
        <v>8.9999999999999998E-4</v>
      </c>
      <c r="Q146" s="111">
        <v>8.6199999999999999E-2</v>
      </c>
      <c r="R146" s="112">
        <f t="shared" si="96"/>
        <v>2.0763242475355506E-2</v>
      </c>
      <c r="S146" s="112">
        <f t="shared" si="97"/>
        <v>1.1967307560790298E-2</v>
      </c>
      <c r="T146" s="112">
        <f t="shared" si="98"/>
        <v>0</v>
      </c>
      <c r="U146" s="106">
        <f t="shared" si="99"/>
        <v>-1.6999999999999999E-3</v>
      </c>
      <c r="V146" s="107">
        <f t="shared" si="100"/>
        <v>1.0000000000000009E-3</v>
      </c>
    </row>
    <row r="147" spans="1:24">
      <c r="A147" s="131">
        <v>130</v>
      </c>
      <c r="B147" s="100" t="s">
        <v>196</v>
      </c>
      <c r="C147" s="101" t="s">
        <v>69</v>
      </c>
      <c r="D147" s="108">
        <v>12728390482.0228</v>
      </c>
      <c r="E147" s="109">
        <f t="shared" ref="E147:E160" si="107">(D147/$D$161)</f>
        <v>7.0323817913323103E-3</v>
      </c>
      <c r="F147" s="108">
        <v>1838.56470679483</v>
      </c>
      <c r="G147" s="108">
        <v>1838.56470679483</v>
      </c>
      <c r="H147" s="110">
        <v>360</v>
      </c>
      <c r="I147" s="111">
        <v>7.9899999999999999E-2</v>
      </c>
      <c r="J147" s="111">
        <v>7.0599999999999996E-2</v>
      </c>
      <c r="K147" s="108">
        <v>13138869825.437599</v>
      </c>
      <c r="L147" s="109">
        <f t="shared" ref="L147:L160" si="108">(K147/$K$161)</f>
        <v>7.1193555119368679E-3</v>
      </c>
      <c r="M147" s="108">
        <v>1859.2331949757399</v>
      </c>
      <c r="N147" s="108">
        <v>1859.2331949757399</v>
      </c>
      <c r="O147" s="110">
        <v>361</v>
      </c>
      <c r="P147" s="111">
        <v>5.8099999999999999E-2</v>
      </c>
      <c r="Q147" s="111">
        <v>6.9900000000000004E-2</v>
      </c>
      <c r="R147" s="106">
        <f t="shared" si="96"/>
        <v>3.224911617808611E-2</v>
      </c>
      <c r="S147" s="106">
        <f t="shared" si="97"/>
        <v>1.1241643062397987E-2</v>
      </c>
      <c r="T147" s="112">
        <f t="shared" si="98"/>
        <v>2.7777777777777779E-3</v>
      </c>
      <c r="U147" s="106">
        <f t="shared" si="99"/>
        <v>-2.18E-2</v>
      </c>
      <c r="V147" s="107">
        <f t="shared" si="100"/>
        <v>-6.999999999999923E-4</v>
      </c>
    </row>
    <row r="148" spans="1:24">
      <c r="A148" s="131">
        <v>131</v>
      </c>
      <c r="B148" s="100" t="s">
        <v>197</v>
      </c>
      <c r="C148" s="101" t="s">
        <v>92</v>
      </c>
      <c r="D148" s="108">
        <v>269262137.43888795</v>
      </c>
      <c r="E148" s="109">
        <f t="shared" si="107"/>
        <v>1.4876618965256079E-4</v>
      </c>
      <c r="F148" s="108">
        <v>1410.82179</v>
      </c>
      <c r="G148" s="108">
        <v>1410.82179</v>
      </c>
      <c r="H148" s="110">
        <v>11</v>
      </c>
      <c r="I148" s="111">
        <v>6.7299999999999999E-2</v>
      </c>
      <c r="J148" s="111">
        <v>6.7299999999999999E-2</v>
      </c>
      <c r="K148" s="108">
        <f>200552.07*W140</f>
        <v>272436971.26565701</v>
      </c>
      <c r="L148" s="109">
        <f t="shared" si="108"/>
        <v>1.4762119412130962E-4</v>
      </c>
      <c r="M148" s="108">
        <f>1.05*W140</f>
        <v>1426.356855</v>
      </c>
      <c r="N148" s="108">
        <f>1.05*W140</f>
        <v>1426.356855</v>
      </c>
      <c r="O148" s="110">
        <v>11</v>
      </c>
      <c r="P148" s="111">
        <v>6.7299999999999999E-2</v>
      </c>
      <c r="Q148" s="111">
        <v>6.7299999999999999E-2</v>
      </c>
      <c r="R148" s="106">
        <f t="shared" si="96"/>
        <v>1.1790866168436392E-2</v>
      </c>
      <c r="S148" s="106">
        <f t="shared" si="97"/>
        <v>1.1011358847810276E-2</v>
      </c>
      <c r="T148" s="112">
        <f t="shared" si="98"/>
        <v>0</v>
      </c>
      <c r="U148" s="106">
        <f t="shared" si="99"/>
        <v>0</v>
      </c>
      <c r="V148" s="107">
        <f t="shared" si="100"/>
        <v>0</v>
      </c>
    </row>
    <row r="149" spans="1:24" ht="15.6">
      <c r="A149" s="131">
        <v>132</v>
      </c>
      <c r="B149" s="100" t="s">
        <v>198</v>
      </c>
      <c r="C149" s="101" t="s">
        <v>36</v>
      </c>
      <c r="D149" s="108">
        <v>134390024912.851</v>
      </c>
      <c r="E149" s="109">
        <f t="shared" si="107"/>
        <v>7.4249919144815241E-2</v>
      </c>
      <c r="F149" s="108">
        <v>134363.97999999998</v>
      </c>
      <c r="G149" s="108">
        <v>134363.97999999998</v>
      </c>
      <c r="H149" s="110">
        <v>3135</v>
      </c>
      <c r="I149" s="111">
        <v>4.4400000000000002E-2</v>
      </c>
      <c r="J149" s="111">
        <v>5.0299999999999997E-2</v>
      </c>
      <c r="K149" s="108">
        <v>151013784023.61099</v>
      </c>
      <c r="L149" s="109">
        <f t="shared" si="108"/>
        <v>8.1827495815921983E-2</v>
      </c>
      <c r="M149" s="108">
        <f>100*W140</f>
        <v>135843.50999999998</v>
      </c>
      <c r="N149" s="108">
        <f>100*W140</f>
        <v>135843.50999999998</v>
      </c>
      <c r="O149" s="110">
        <v>3194</v>
      </c>
      <c r="P149" s="111">
        <v>4.58E-2</v>
      </c>
      <c r="Q149" s="111">
        <v>0.05</v>
      </c>
      <c r="R149" s="106">
        <f t="shared" si="96"/>
        <v>0.12369786464092213</v>
      </c>
      <c r="S149" s="106">
        <f t="shared" si="97"/>
        <v>1.1011358847810246E-2</v>
      </c>
      <c r="T149" s="106">
        <f t="shared" si="98"/>
        <v>1.8819776714513556E-2</v>
      </c>
      <c r="U149" s="106">
        <f t="shared" si="99"/>
        <v>1.3999999999999985E-3</v>
      </c>
      <c r="V149" s="107">
        <f t="shared" si="100"/>
        <v>-2.9999999999999472E-4</v>
      </c>
      <c r="X149" s="29"/>
    </row>
    <row r="150" spans="1:24" ht="15.6">
      <c r="A150" s="131">
        <v>133</v>
      </c>
      <c r="B150" s="100" t="s">
        <v>199</v>
      </c>
      <c r="C150" s="101" t="s">
        <v>149</v>
      </c>
      <c r="D150" s="108">
        <v>1512377579.5474801</v>
      </c>
      <c r="E150" s="109">
        <f t="shared" si="107"/>
        <v>8.3558220240417347E-4</v>
      </c>
      <c r="F150" s="108">
        <v>1545.1857699999998</v>
      </c>
      <c r="G150" s="108">
        <v>1545.1857699999998</v>
      </c>
      <c r="H150" s="110">
        <v>53</v>
      </c>
      <c r="I150" s="111">
        <v>1.9E-3</v>
      </c>
      <c r="J150" s="111">
        <v>0.1193</v>
      </c>
      <c r="K150" s="108">
        <f>1126865.96*W140</f>
        <v>1530774273.0591958</v>
      </c>
      <c r="L150" s="109">
        <f t="shared" si="108"/>
        <v>8.2945690179042229E-4</v>
      </c>
      <c r="M150" s="108">
        <f>1.15*W140</f>
        <v>1562.2003649999997</v>
      </c>
      <c r="N150" s="108">
        <f>1.15*W140</f>
        <v>1562.2003649999997</v>
      </c>
      <c r="O150" s="110">
        <v>53</v>
      </c>
      <c r="P150" s="111">
        <v>1.9E-3</v>
      </c>
      <c r="Q150" s="111">
        <v>0.1149</v>
      </c>
      <c r="R150" s="106">
        <f t="shared" si="96"/>
        <v>1.2164087699065297E-2</v>
      </c>
      <c r="S150" s="106">
        <f t="shared" si="97"/>
        <v>1.1011358847810172E-2</v>
      </c>
      <c r="T150" s="106">
        <f t="shared" si="98"/>
        <v>0</v>
      </c>
      <c r="U150" s="106">
        <f t="shared" si="99"/>
        <v>0</v>
      </c>
      <c r="V150" s="107">
        <f t="shared" si="100"/>
        <v>-4.4000000000000011E-3</v>
      </c>
      <c r="X150" s="29"/>
    </row>
    <row r="151" spans="1:24" ht="15.6">
      <c r="A151" s="131">
        <v>134</v>
      </c>
      <c r="B151" s="100" t="s">
        <v>326</v>
      </c>
      <c r="C151" s="101" t="s">
        <v>42</v>
      </c>
      <c r="D151" s="116">
        <v>10514824273.373743</v>
      </c>
      <c r="E151" s="109">
        <f t="shared" si="107"/>
        <v>5.8093958433762041E-3</v>
      </c>
      <c r="F151" s="108">
        <v>14471.000645999999</v>
      </c>
      <c r="G151" s="108">
        <v>14471.000645999999</v>
      </c>
      <c r="H151" s="110">
        <v>185</v>
      </c>
      <c r="I151" s="111">
        <v>5.7500000000000002E-2</v>
      </c>
      <c r="J151" s="111">
        <v>7.5800000000000006E-2</v>
      </c>
      <c r="K151" s="116">
        <f>7862371.59*W140</f>
        <v>10680521537.098808</v>
      </c>
      <c r="L151" s="109">
        <f t="shared" si="108"/>
        <v>5.787288471972689E-3</v>
      </c>
      <c r="M151" s="108">
        <f>10.79*W140</f>
        <v>14657.514728999999</v>
      </c>
      <c r="N151" s="108">
        <f>10.79*W140</f>
        <v>14657.514728999999</v>
      </c>
      <c r="O151" s="110">
        <v>187</v>
      </c>
      <c r="P151" s="111">
        <v>5.74E-2</v>
      </c>
      <c r="Q151" s="111">
        <v>7.5600000000000001E-2</v>
      </c>
      <c r="R151" s="106">
        <f t="shared" si="96"/>
        <v>1.5758443452512431E-2</v>
      </c>
      <c r="S151" s="106">
        <f t="shared" si="97"/>
        <v>1.2888817267211947E-2</v>
      </c>
      <c r="T151" s="106">
        <f t="shared" si="98"/>
        <v>1.0810810810810811E-2</v>
      </c>
      <c r="U151" s="106">
        <f t="shared" si="99"/>
        <v>-1.0000000000000286E-4</v>
      </c>
      <c r="V151" s="107">
        <f t="shared" si="100"/>
        <v>-2.0000000000000573E-4</v>
      </c>
      <c r="X151" s="29"/>
    </row>
    <row r="152" spans="1:24" ht="15.6">
      <c r="A152" s="131">
        <v>135</v>
      </c>
      <c r="B152" s="101" t="s">
        <v>200</v>
      </c>
      <c r="C152" s="145" t="s">
        <v>46</v>
      </c>
      <c r="D152" s="108">
        <v>29870166154.169998</v>
      </c>
      <c r="E152" s="109">
        <f t="shared" si="107"/>
        <v>1.6503140193831735E-2</v>
      </c>
      <c r="F152" s="108">
        <v>1478.00378</v>
      </c>
      <c r="G152" s="108">
        <v>1491.4401780000001</v>
      </c>
      <c r="H152" s="110">
        <v>601</v>
      </c>
      <c r="I152" s="111">
        <v>6.0000000000000001E-3</v>
      </c>
      <c r="J152" s="111">
        <v>6.7400000000000002E-2</v>
      </c>
      <c r="K152" s="108">
        <v>30458432455.200001</v>
      </c>
      <c r="L152" s="109">
        <f t="shared" si="108"/>
        <v>1.6504038160501583E-2</v>
      </c>
      <c r="M152" s="108">
        <f>1.11*W140</f>
        <v>1507.862961</v>
      </c>
      <c r="N152" s="108">
        <f>1.11*W140</f>
        <v>1507.862961</v>
      </c>
      <c r="O152" s="110">
        <v>604</v>
      </c>
      <c r="P152" s="111">
        <v>-8.0000000000000004E-4</v>
      </c>
      <c r="Q152" s="111">
        <v>6.6500000000000004E-2</v>
      </c>
      <c r="R152" s="106">
        <f t="shared" si="96"/>
        <v>1.9694108763699602E-2</v>
      </c>
      <c r="S152" s="106">
        <f t="shared" si="97"/>
        <v>1.1011358847810241E-2</v>
      </c>
      <c r="T152" s="106">
        <f t="shared" si="98"/>
        <v>4.9916805324459234E-3</v>
      </c>
      <c r="U152" s="106">
        <f t="shared" si="99"/>
        <v>-6.8000000000000005E-3</v>
      </c>
      <c r="V152" s="107">
        <f t="shared" si="100"/>
        <v>-8.9999999999999802E-4</v>
      </c>
      <c r="X152" s="29"/>
    </row>
    <row r="153" spans="1:24">
      <c r="A153" s="131">
        <v>136</v>
      </c>
      <c r="B153" s="100" t="s">
        <v>201</v>
      </c>
      <c r="C153" s="101" t="s">
        <v>104</v>
      </c>
      <c r="D153" s="116">
        <v>421480899.84000003</v>
      </c>
      <c r="E153" s="109">
        <f t="shared" si="107"/>
        <v>2.3286641069155282E-4</v>
      </c>
      <c r="F153" s="108">
        <v>1693.692</v>
      </c>
      <c r="G153" s="108">
        <v>1693.692</v>
      </c>
      <c r="H153" s="110">
        <v>2</v>
      </c>
      <c r="I153" s="111">
        <v>5.9999999999999995E-4</v>
      </c>
      <c r="J153" s="111">
        <v>-0.17660000000000001</v>
      </c>
      <c r="K153" s="116">
        <f>314095.53*1372</f>
        <v>430939067.16000003</v>
      </c>
      <c r="L153" s="109">
        <f t="shared" si="108"/>
        <v>2.3350626529190812E-4</v>
      </c>
      <c r="M153" s="108">
        <f>1.26*1372</f>
        <v>1728.72</v>
      </c>
      <c r="N153" s="108">
        <f>1.26*1372</f>
        <v>1728.72</v>
      </c>
      <c r="O153" s="110">
        <v>2</v>
      </c>
      <c r="P153" s="111">
        <v>8.0000000000000004E-4</v>
      </c>
      <c r="Q153" s="111">
        <v>-0.16089999999999999</v>
      </c>
      <c r="R153" s="106">
        <f t="shared" si="96"/>
        <v>2.244032250000046E-2</v>
      </c>
      <c r="S153" s="106">
        <f t="shared" si="97"/>
        <v>2.068144621336112E-2</v>
      </c>
      <c r="T153" s="106">
        <f t="shared" si="98"/>
        <v>0</v>
      </c>
      <c r="U153" s="106">
        <f t="shared" ref="U153" si="109">P153-I153</f>
        <v>2.0000000000000009E-4</v>
      </c>
      <c r="V153" s="107">
        <f t="shared" ref="V153" si="110">Q153-J153</f>
        <v>1.5700000000000019E-2</v>
      </c>
    </row>
    <row r="154" spans="1:24">
      <c r="A154" s="131">
        <v>137</v>
      </c>
      <c r="B154" s="100" t="s">
        <v>202</v>
      </c>
      <c r="C154" s="101" t="s">
        <v>109</v>
      </c>
      <c r="D154" s="116">
        <v>751199331.17681801</v>
      </c>
      <c r="E154" s="109">
        <f t="shared" si="107"/>
        <v>4.1503444647538287E-4</v>
      </c>
      <c r="F154" s="108">
        <v>1457.9835469799998</v>
      </c>
      <c r="G154" s="108">
        <v>1457.9835469799998</v>
      </c>
      <c r="H154" s="110">
        <v>13</v>
      </c>
      <c r="I154" s="111">
        <v>3.3E-3</v>
      </c>
      <c r="J154" s="111">
        <v>5.3499999999999999E-2</v>
      </c>
      <c r="K154" s="116">
        <f>559882.49*W140</f>
        <v>760564026.291399</v>
      </c>
      <c r="L154" s="109">
        <f t="shared" si="108"/>
        <v>4.1211502699230277E-4</v>
      </c>
      <c r="M154" s="108">
        <f>1.0839*W140</f>
        <v>1472.4078048900001</v>
      </c>
      <c r="N154" s="108">
        <f>1.0839*W140</f>
        <v>1472.4078048900001</v>
      </c>
      <c r="O154" s="110">
        <v>13</v>
      </c>
      <c r="P154" s="111">
        <v>-5.0000000000000001E-4</v>
      </c>
      <c r="Q154" s="111">
        <v>5.2999999999999999E-2</v>
      </c>
      <c r="R154" s="106">
        <f t="shared" ref="R154" si="111">((K154-D154)/D154)</f>
        <v>1.2466325149558364E-2</v>
      </c>
      <c r="S154" s="106">
        <f t="shared" ref="S154" si="112">((N154-G154)/G154)</f>
        <v>9.8932926505775898E-3</v>
      </c>
      <c r="T154" s="106">
        <f t="shared" si="98"/>
        <v>0</v>
      </c>
      <c r="U154" s="106">
        <f t="shared" si="99"/>
        <v>-3.8E-3</v>
      </c>
      <c r="V154" s="107">
        <f t="shared" si="100"/>
        <v>-5.0000000000000044E-4</v>
      </c>
    </row>
    <row r="155" spans="1:24">
      <c r="A155" s="131">
        <v>138</v>
      </c>
      <c r="B155" s="100" t="s">
        <v>203</v>
      </c>
      <c r="C155" s="101" t="s">
        <v>48</v>
      </c>
      <c r="D155" s="116">
        <v>875267306288.40002</v>
      </c>
      <c r="E155" s="109">
        <f t="shared" si="107"/>
        <v>0.48358147685557457</v>
      </c>
      <c r="F155" s="108">
        <v>2273.7399999999998</v>
      </c>
      <c r="G155" s="108">
        <v>2273.7399999999998</v>
      </c>
      <c r="H155" s="110">
        <v>13477</v>
      </c>
      <c r="I155" s="111">
        <v>6.9999999999999999E-4</v>
      </c>
      <c r="J155" s="111">
        <v>1.04E-2</v>
      </c>
      <c r="K155" s="116">
        <v>881420647917.97998</v>
      </c>
      <c r="L155" s="109">
        <f t="shared" si="108"/>
        <v>0.47760172917923238</v>
      </c>
      <c r="M155" s="108">
        <v>2298.5100000000002</v>
      </c>
      <c r="N155" s="108">
        <v>2298.5100000000002</v>
      </c>
      <c r="O155" s="110">
        <v>13508</v>
      </c>
      <c r="P155" s="111">
        <v>8.0000000000000004E-4</v>
      </c>
      <c r="Q155" s="111">
        <v>1.12E-2</v>
      </c>
      <c r="R155" s="106">
        <f t="shared" si="96"/>
        <v>7.0302427445546947E-3</v>
      </c>
      <c r="S155" s="106">
        <f t="shared" si="97"/>
        <v>1.089394565781507E-2</v>
      </c>
      <c r="T155" s="106">
        <f t="shared" si="98"/>
        <v>2.3002151814201974E-3</v>
      </c>
      <c r="U155" s="106">
        <f t="shared" si="99"/>
        <v>1.0000000000000005E-4</v>
      </c>
      <c r="V155" s="107">
        <f t="shared" si="100"/>
        <v>8.0000000000000036E-4</v>
      </c>
    </row>
    <row r="156" spans="1:24">
      <c r="A156" s="131">
        <v>139</v>
      </c>
      <c r="B156" s="100" t="s">
        <v>204</v>
      </c>
      <c r="C156" s="100" t="s">
        <v>114</v>
      </c>
      <c r="D156" s="116">
        <v>549110423.20643401</v>
      </c>
      <c r="E156" s="109">
        <f t="shared" si="107"/>
        <v>3.0338118138673146E-4</v>
      </c>
      <c r="F156" s="108">
        <v>155727.85282</v>
      </c>
      <c r="G156" s="108">
        <v>155727.85282</v>
      </c>
      <c r="H156" s="110">
        <v>32</v>
      </c>
      <c r="I156" s="111">
        <v>1.5E-3</v>
      </c>
      <c r="J156" s="111">
        <v>1.9300000000000001E-2</v>
      </c>
      <c r="K156" s="116">
        <f>409267.14*W140</f>
        <v>555962848.25261402</v>
      </c>
      <c r="L156" s="109">
        <f t="shared" si="108"/>
        <v>3.0125096151544688E-4</v>
      </c>
      <c r="M156" s="108">
        <f>116.07*W140</f>
        <v>157673.56205699997</v>
      </c>
      <c r="N156" s="108">
        <f>116.07*W140</f>
        <v>157673.56205699997</v>
      </c>
      <c r="O156" s="110">
        <v>32</v>
      </c>
      <c r="P156" s="111">
        <v>1.5E-3</v>
      </c>
      <c r="Q156" s="111">
        <v>2.0799999999999999E-2</v>
      </c>
      <c r="R156" s="106">
        <f t="shared" ref="R156" si="113">((K156-D156)/D156)</f>
        <v>1.2479138542237964E-2</v>
      </c>
      <c r="S156" s="106">
        <f t="shared" ref="S156" si="114">((N156-G156)/G156)</f>
        <v>1.2494291815921627E-2</v>
      </c>
      <c r="T156" s="106">
        <f t="shared" ref="T156" si="115">((O156-H156)/H156)</f>
        <v>0</v>
      </c>
      <c r="U156" s="106">
        <f t="shared" ref="U156" si="116">P156-I156</f>
        <v>0</v>
      </c>
      <c r="V156" s="107">
        <f t="shared" ref="V156" si="117">Q156-J156</f>
        <v>1.4999999999999979E-3</v>
      </c>
    </row>
    <row r="157" spans="1:24" ht="16.5" customHeight="1">
      <c r="A157" s="131">
        <v>140</v>
      </c>
      <c r="B157" s="100" t="s">
        <v>205</v>
      </c>
      <c r="C157" s="101" t="s">
        <v>51</v>
      </c>
      <c r="D157" s="116">
        <v>180622107287.89249</v>
      </c>
      <c r="E157" s="109">
        <f t="shared" si="107"/>
        <v>9.9792948699793882E-2</v>
      </c>
      <c r="F157" s="108">
        <v>1707.1895125000001</v>
      </c>
      <c r="G157" s="108">
        <v>1707.1895125000001</v>
      </c>
      <c r="H157" s="110">
        <v>1016</v>
      </c>
      <c r="I157" s="111">
        <v>1.1000000000000001E-3</v>
      </c>
      <c r="J157" s="111">
        <v>5.8700000000000002E-2</v>
      </c>
      <c r="K157" s="116">
        <f>134321475.03*1358.86</f>
        <v>182524079559.26578</v>
      </c>
      <c r="L157" s="109">
        <f t="shared" si="108"/>
        <v>9.890149070170752E-2</v>
      </c>
      <c r="M157" s="108">
        <f>1.27026*1358.86</f>
        <v>1726.1055035999998</v>
      </c>
      <c r="N157" s="108">
        <f>1.27026*1358.86</f>
        <v>1726.1055035999998</v>
      </c>
      <c r="O157" s="110">
        <v>997</v>
      </c>
      <c r="P157" s="111">
        <v>8.9999999999999998E-4</v>
      </c>
      <c r="Q157" s="111">
        <v>5.8200000000000002E-2</v>
      </c>
      <c r="R157" s="106">
        <f t="shared" si="96"/>
        <v>1.0530118931354006E-2</v>
      </c>
      <c r="S157" s="106">
        <f t="shared" si="97"/>
        <v>1.1080194062520461E-2</v>
      </c>
      <c r="T157" s="106">
        <f t="shared" si="98"/>
        <v>-1.8700787401574805E-2</v>
      </c>
      <c r="U157" s="106">
        <f t="shared" si="99"/>
        <v>-2.0000000000000009E-4</v>
      </c>
      <c r="V157" s="107">
        <f t="shared" si="100"/>
        <v>-5.0000000000000044E-4</v>
      </c>
    </row>
    <row r="158" spans="1:24" ht="16.5" customHeight="1">
      <c r="A158" s="131">
        <v>141</v>
      </c>
      <c r="B158" s="100" t="s">
        <v>206</v>
      </c>
      <c r="C158" s="101" t="s">
        <v>111</v>
      </c>
      <c r="D158" s="108">
        <v>2401382752.8908167</v>
      </c>
      <c r="E158" s="109">
        <f t="shared" si="107"/>
        <v>1.3267537925788931E-3</v>
      </c>
      <c r="F158" s="108">
        <v>154572.32259200001</v>
      </c>
      <c r="G158" s="108">
        <v>154572.32259200001</v>
      </c>
      <c r="H158" s="110">
        <v>33</v>
      </c>
      <c r="I158" s="111">
        <v>2.8E-3</v>
      </c>
      <c r="J158" s="111">
        <v>2.9000000000000001E-2</v>
      </c>
      <c r="K158" s="108">
        <f>1491998.07560724*W140</f>
        <v>2026782555.0373285</v>
      </c>
      <c r="L158" s="109">
        <f t="shared" si="108"/>
        <v>1.0982212128143917E-3</v>
      </c>
      <c r="M158" s="108">
        <f>115.67*W140</f>
        <v>157130.18801699998</v>
      </c>
      <c r="N158" s="108">
        <f>115.67*W140</f>
        <v>157130.18801699998</v>
      </c>
      <c r="O158" s="110">
        <v>33</v>
      </c>
      <c r="P158" s="111">
        <v>5.4000000000000003E-3</v>
      </c>
      <c r="Q158" s="111">
        <v>3.4599999999999999E-2</v>
      </c>
      <c r="R158" s="106">
        <f t="shared" si="96"/>
        <v>-0.1559935405559732</v>
      </c>
      <c r="S158" s="106">
        <f t="shared" si="97"/>
        <v>1.6548017019525275E-2</v>
      </c>
      <c r="T158" s="106">
        <f t="shared" si="98"/>
        <v>0</v>
      </c>
      <c r="U158" s="106">
        <f t="shared" si="99"/>
        <v>2.6000000000000003E-3</v>
      </c>
      <c r="V158" s="107">
        <f t="shared" si="100"/>
        <v>5.5999999999999973E-3</v>
      </c>
    </row>
    <row r="159" spans="1:24" ht="16.5" customHeight="1">
      <c r="A159" s="131">
        <v>142</v>
      </c>
      <c r="B159" s="100" t="s">
        <v>207</v>
      </c>
      <c r="C159" s="101" t="s">
        <v>121</v>
      </c>
      <c r="D159" s="108">
        <v>5874262348.5198784</v>
      </c>
      <c r="E159" s="109">
        <f t="shared" si="107"/>
        <v>3.2455050491721838E-3</v>
      </c>
      <c r="F159" s="108">
        <v>1572.0585659999997</v>
      </c>
      <c r="G159" s="108">
        <v>1572.0585659999997</v>
      </c>
      <c r="H159" s="110">
        <v>56</v>
      </c>
      <c r="I159" s="111">
        <v>1.12E-2</v>
      </c>
      <c r="J159" s="111">
        <v>1.43E-2</v>
      </c>
      <c r="K159" s="108">
        <f>4335318.51*W140</f>
        <v>5889248833.6637001</v>
      </c>
      <c r="L159" s="109">
        <f t="shared" si="108"/>
        <v>3.1911158799927458E-3</v>
      </c>
      <c r="M159" s="108">
        <f>1.18*W140</f>
        <v>1602.9534179999998</v>
      </c>
      <c r="N159" s="108">
        <f>1.18*W140</f>
        <v>1602.9534179999998</v>
      </c>
      <c r="O159" s="110">
        <v>56</v>
      </c>
      <c r="P159" s="111">
        <v>1.5299999999999999E-2</v>
      </c>
      <c r="Q159" s="111">
        <v>1.8200000000000001E-2</v>
      </c>
      <c r="R159" s="106">
        <f t="shared" ref="R159" si="118">((K159-D159)/D159)</f>
        <v>2.5512114125440482E-3</v>
      </c>
      <c r="S159" s="106">
        <f t="shared" ref="S159" si="119">((N159-G159)/G159)</f>
        <v>1.9652481573005299E-2</v>
      </c>
      <c r="T159" s="106">
        <f t="shared" si="98"/>
        <v>0</v>
      </c>
      <c r="U159" s="106">
        <f t="shared" si="99"/>
        <v>4.0999999999999995E-3</v>
      </c>
      <c r="V159" s="107">
        <f t="shared" si="100"/>
        <v>3.9000000000000007E-3</v>
      </c>
    </row>
    <row r="160" spans="1:24">
      <c r="A160" s="131">
        <v>143</v>
      </c>
      <c r="B160" s="100" t="s">
        <v>208</v>
      </c>
      <c r="C160" s="101" t="s">
        <v>123</v>
      </c>
      <c r="D160" s="108">
        <v>1879292689.7523801</v>
      </c>
      <c r="E160" s="109">
        <f t="shared" si="107"/>
        <v>1.0383012456024433E-3</v>
      </c>
      <c r="F160" s="108">
        <v>2055.7688939999998</v>
      </c>
      <c r="G160" s="108">
        <v>2055.7688939999998</v>
      </c>
      <c r="H160" s="110">
        <v>142</v>
      </c>
      <c r="I160" s="111">
        <v>6.6E-3</v>
      </c>
      <c r="J160" s="111">
        <v>2.69E-2</v>
      </c>
      <c r="K160" s="108">
        <f>1436853.74*W140</f>
        <v>1951872553.9822738</v>
      </c>
      <c r="L160" s="109">
        <f t="shared" si="108"/>
        <v>1.0576308929470023E-3</v>
      </c>
      <c r="M160" s="108">
        <f>1.53*W140</f>
        <v>2078.4057029999999</v>
      </c>
      <c r="N160" s="108">
        <f>1.53*W140</f>
        <v>2078.4057029999999</v>
      </c>
      <c r="O160" s="110">
        <v>143</v>
      </c>
      <c r="P160" s="111">
        <v>1.9E-3</v>
      </c>
      <c r="Q160" s="111">
        <v>2.9100000000000001E-2</v>
      </c>
      <c r="R160" s="106">
        <f t="shared" si="96"/>
        <v>3.8620841035388147E-2</v>
      </c>
      <c r="S160" s="106">
        <f t="shared" si="97"/>
        <v>1.1011358847810297E-2</v>
      </c>
      <c r="T160" s="106">
        <f t="shared" si="98"/>
        <v>7.0422535211267607E-3</v>
      </c>
      <c r="U160" s="106">
        <f t="shared" si="99"/>
        <v>-4.7000000000000002E-3</v>
      </c>
      <c r="V160" s="107">
        <f t="shared" si="100"/>
        <v>2.2000000000000006E-3</v>
      </c>
    </row>
    <row r="161" spans="1:25">
      <c r="A161" s="121"/>
      <c r="B161" s="122"/>
      <c r="C161" s="153" t="s">
        <v>54</v>
      </c>
      <c r="D161" s="141">
        <f>SUM(D121:D160)</f>
        <v>1809968636474.0674</v>
      </c>
      <c r="E161" s="125">
        <f>(D161/$D$238)</f>
        <v>0.20847046665994917</v>
      </c>
      <c r="F161" s="126"/>
      <c r="G161" s="134"/>
      <c r="H161" s="128">
        <f>SUM(H121:H160)</f>
        <v>31248</v>
      </c>
      <c r="I161" s="154"/>
      <c r="J161" s="154"/>
      <c r="K161" s="141">
        <f>SUM(K121:K160)</f>
        <v>1845513937800.6819</v>
      </c>
      <c r="L161" s="125">
        <f>(K161/$K$238)</f>
        <v>0.21046099030001103</v>
      </c>
      <c r="M161" s="126"/>
      <c r="N161" s="134"/>
      <c r="O161" s="128">
        <f>SUM(O121:O160)</f>
        <v>31351</v>
      </c>
      <c r="P161" s="154"/>
      <c r="Q161" s="154"/>
      <c r="R161" s="106">
        <f t="shared" si="96"/>
        <v>1.9638628322233793E-2</v>
      </c>
      <c r="S161" s="106" t="e">
        <f t="shared" si="97"/>
        <v>#DIV/0!</v>
      </c>
      <c r="T161" s="106">
        <f t="shared" si="98"/>
        <v>3.29621095750128E-3</v>
      </c>
      <c r="U161" s="106">
        <f t="shared" si="99"/>
        <v>0</v>
      </c>
      <c r="V161" s="107">
        <f t="shared" si="100"/>
        <v>0</v>
      </c>
    </row>
    <row r="162" spans="1:25" ht="6" customHeight="1">
      <c r="A162" s="121"/>
      <c r="B162" s="130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  <c r="Q162" s="130"/>
      <c r="R162" s="130"/>
      <c r="S162" s="130"/>
      <c r="T162" s="130"/>
      <c r="U162" s="130"/>
      <c r="V162" s="130"/>
    </row>
    <row r="163" spans="1:25">
      <c r="A163" s="155" t="s">
        <v>209</v>
      </c>
      <c r="B163" s="155"/>
      <c r="C163" s="155"/>
      <c r="D163" s="155"/>
      <c r="E163" s="155"/>
      <c r="F163" s="155"/>
      <c r="G163" s="155"/>
      <c r="H163" s="155"/>
      <c r="I163" s="155"/>
      <c r="J163" s="155"/>
      <c r="K163" s="155"/>
      <c r="L163" s="155"/>
      <c r="M163" s="155"/>
      <c r="N163" s="155"/>
      <c r="O163" s="155"/>
      <c r="P163" s="155"/>
      <c r="Q163" s="155"/>
      <c r="R163" s="155"/>
      <c r="S163" s="155"/>
      <c r="T163" s="155"/>
      <c r="U163" s="155"/>
      <c r="V163" s="155"/>
    </row>
    <row r="164" spans="1:25">
      <c r="A164" s="131">
        <v>144</v>
      </c>
      <c r="B164" s="100" t="s">
        <v>210</v>
      </c>
      <c r="C164" s="101" t="s">
        <v>211</v>
      </c>
      <c r="D164" s="156">
        <v>2395570241.3685398</v>
      </c>
      <c r="E164" s="109">
        <f>(D164/$D$170)</f>
        <v>4.7431341429709185E-3</v>
      </c>
      <c r="F164" s="143">
        <v>112.8920943152</v>
      </c>
      <c r="G164" s="143">
        <v>112.8920943152</v>
      </c>
      <c r="H164" s="110">
        <v>8</v>
      </c>
      <c r="I164" s="111">
        <v>3.8E-3</v>
      </c>
      <c r="J164" s="111">
        <v>7.3899999999999993E-2</v>
      </c>
      <c r="K164" s="156">
        <v>2404673408.2857399</v>
      </c>
      <c r="L164" s="109">
        <f>(K164/$K$170)</f>
        <v>4.7557222689416801E-3</v>
      </c>
      <c r="M164" s="143">
        <v>113.32</v>
      </c>
      <c r="N164" s="143">
        <v>113.32</v>
      </c>
      <c r="O164" s="110">
        <v>8</v>
      </c>
      <c r="P164" s="111">
        <v>3.8E-3</v>
      </c>
      <c r="Q164" s="111">
        <v>7.7899999999999997E-2</v>
      </c>
      <c r="R164" s="106">
        <f t="shared" ref="R164:R170" si="120">((K164-D164)/D164)</f>
        <v>3.7999999999998486E-3</v>
      </c>
      <c r="S164" s="106">
        <f t="shared" ref="S164:T170" si="121">((N164-G164)/G164)</f>
        <v>3.7903954869086113E-3</v>
      </c>
      <c r="T164" s="106">
        <f t="shared" si="121"/>
        <v>0</v>
      </c>
      <c r="U164" s="106">
        <f t="shared" ref="U164:V170" si="122">P164-I164</f>
        <v>0</v>
      </c>
      <c r="V164" s="107">
        <f t="shared" si="122"/>
        <v>4.0000000000000036E-3</v>
      </c>
    </row>
    <row r="165" spans="1:25">
      <c r="A165" s="131">
        <v>145</v>
      </c>
      <c r="B165" s="100" t="s">
        <v>212</v>
      </c>
      <c r="C165" s="101" t="s">
        <v>23</v>
      </c>
      <c r="D165" s="156">
        <v>260910738308</v>
      </c>
      <c r="E165" s="109">
        <v>0</v>
      </c>
      <c r="F165" s="143">
        <v>104.3643</v>
      </c>
      <c r="G165" s="143">
        <v>104.3643</v>
      </c>
      <c r="H165" s="110">
        <v>45</v>
      </c>
      <c r="I165" s="111">
        <v>7.9500000000000001E-2</v>
      </c>
      <c r="J165" s="111">
        <v>0.11219999999999999</v>
      </c>
      <c r="K165" s="156">
        <v>261430599356.5</v>
      </c>
      <c r="L165" s="109">
        <f t="shared" ref="L165:L169" si="123">(K165/$K$170)</f>
        <v>0.51703126040255243</v>
      </c>
      <c r="M165" s="143">
        <v>104.5722</v>
      </c>
      <c r="N165" s="143">
        <v>104.5722</v>
      </c>
      <c r="O165" s="110">
        <v>45</v>
      </c>
      <c r="P165" s="111">
        <v>0.10390000000000001</v>
      </c>
      <c r="Q165" s="111">
        <v>0.1119</v>
      </c>
      <c r="R165" s="106">
        <f t="shared" ref="R165" si="124">((K165-D165)/D165)</f>
        <v>1.9924862114579366E-3</v>
      </c>
      <c r="S165" s="106">
        <f t="shared" ref="S165" si="125">((N165-G165)/G165)</f>
        <v>1.9920605034479712E-3</v>
      </c>
      <c r="T165" s="106">
        <f t="shared" ref="T165" si="126">((O165-H165)/H165)</f>
        <v>0</v>
      </c>
      <c r="U165" s="106">
        <f t="shared" ref="U165" si="127">P165-I165</f>
        <v>2.4400000000000005E-2</v>
      </c>
      <c r="V165" s="107">
        <f t="shared" ref="V165" si="128">Q165-J165</f>
        <v>-2.9999999999999472E-4</v>
      </c>
    </row>
    <row r="166" spans="1:25">
      <c r="A166" s="131">
        <v>146</v>
      </c>
      <c r="B166" s="100" t="s">
        <v>213</v>
      </c>
      <c r="C166" s="101" t="s">
        <v>46</v>
      </c>
      <c r="D166" s="116">
        <v>170647847866</v>
      </c>
      <c r="E166" s="109">
        <f>(D166/$D$170)</f>
        <v>0.33787597610802461</v>
      </c>
      <c r="F166" s="143">
        <v>103</v>
      </c>
      <c r="G166" s="143">
        <v>103</v>
      </c>
      <c r="H166" s="110">
        <v>851</v>
      </c>
      <c r="I166" s="111">
        <v>9.4E-2</v>
      </c>
      <c r="J166" s="111">
        <v>9.4E-2</v>
      </c>
      <c r="K166" s="116">
        <v>170647847866</v>
      </c>
      <c r="L166" s="109">
        <f t="shared" si="123"/>
        <v>0.33749022526175571</v>
      </c>
      <c r="M166" s="143">
        <v>103</v>
      </c>
      <c r="N166" s="143">
        <v>103</v>
      </c>
      <c r="O166" s="110">
        <v>851</v>
      </c>
      <c r="P166" s="111">
        <v>9.4E-2</v>
      </c>
      <c r="Q166" s="111">
        <v>9.4E-2</v>
      </c>
      <c r="R166" s="106">
        <f t="shared" si="120"/>
        <v>0</v>
      </c>
      <c r="S166" s="106">
        <f t="shared" si="121"/>
        <v>0</v>
      </c>
      <c r="T166" s="106">
        <f t="shared" si="121"/>
        <v>0</v>
      </c>
      <c r="U166" s="106">
        <f t="shared" si="122"/>
        <v>0</v>
      </c>
      <c r="V166" s="107">
        <f t="shared" si="122"/>
        <v>0</v>
      </c>
    </row>
    <row r="167" spans="1:25" ht="15.75" customHeight="1">
      <c r="A167" s="131">
        <v>147</v>
      </c>
      <c r="B167" s="100" t="s">
        <v>215</v>
      </c>
      <c r="C167" s="101" t="s">
        <v>159</v>
      </c>
      <c r="D167" s="116">
        <v>6598120877.4436398</v>
      </c>
      <c r="E167" s="109">
        <f>(D167/$D$170)</f>
        <v>1.3064017857966683E-2</v>
      </c>
      <c r="F167" s="143">
        <v>418.75</v>
      </c>
      <c r="G167" s="143">
        <v>418.75</v>
      </c>
      <c r="H167" s="110">
        <v>5533</v>
      </c>
      <c r="I167" s="111">
        <v>3.5499999999999997E-2</v>
      </c>
      <c r="J167" s="111">
        <v>7.0699999999999999E-2</v>
      </c>
      <c r="K167" s="116">
        <v>6614373539.1047802</v>
      </c>
      <c r="L167" s="109">
        <f t="shared" si="123"/>
        <v>1.3081245638859481E-2</v>
      </c>
      <c r="M167" s="143">
        <v>418.75</v>
      </c>
      <c r="N167" s="143">
        <v>418.75</v>
      </c>
      <c r="O167" s="110">
        <v>5533</v>
      </c>
      <c r="P167" s="111">
        <v>0.16880000000000001</v>
      </c>
      <c r="Q167" s="111">
        <v>6.83E-2</v>
      </c>
      <c r="R167" s="106">
        <f t="shared" si="120"/>
        <v>2.4632258127767637E-3</v>
      </c>
      <c r="S167" s="106">
        <f t="shared" si="121"/>
        <v>0</v>
      </c>
      <c r="T167" s="106">
        <f t="shared" si="121"/>
        <v>0</v>
      </c>
      <c r="U167" s="106">
        <f t="shared" si="122"/>
        <v>0.1333</v>
      </c>
      <c r="V167" s="107">
        <f t="shared" si="122"/>
        <v>-2.3999999999999994E-3</v>
      </c>
    </row>
    <row r="168" spans="1:25">
      <c r="A168" s="131">
        <v>148</v>
      </c>
      <c r="B168" s="100" t="s">
        <v>214</v>
      </c>
      <c r="C168" s="101" t="s">
        <v>159</v>
      </c>
      <c r="D168" s="116">
        <v>28278132774.150002</v>
      </c>
      <c r="E168" s="109">
        <f>(D168/$D$170)</f>
        <v>5.5989582248238245E-2</v>
      </c>
      <c r="F168" s="143">
        <v>72.5</v>
      </c>
      <c r="G168" s="143">
        <v>72.5</v>
      </c>
      <c r="H168" s="110">
        <v>8119</v>
      </c>
      <c r="I168" s="111">
        <v>6.7000000000000002E-3</v>
      </c>
      <c r="J168" s="111">
        <v>6.8500000000000005E-2</v>
      </c>
      <c r="K168" s="116">
        <v>28310199458.459999</v>
      </c>
      <c r="L168" s="109">
        <f t="shared" si="123"/>
        <v>5.5989077576550722E-2</v>
      </c>
      <c r="M168" s="143">
        <v>72.5</v>
      </c>
      <c r="N168" s="143">
        <v>72.5</v>
      </c>
      <c r="O168" s="110">
        <v>8119</v>
      </c>
      <c r="P168" s="111">
        <v>5.7099999999999998E-2</v>
      </c>
      <c r="Q168" s="111">
        <v>6.8500000000000005E-2</v>
      </c>
      <c r="R168" s="106">
        <f t="shared" si="120"/>
        <v>1.1339746003070897E-3</v>
      </c>
      <c r="S168" s="106">
        <f t="shared" si="121"/>
        <v>0</v>
      </c>
      <c r="T168" s="106">
        <f t="shared" si="121"/>
        <v>0</v>
      </c>
      <c r="U168" s="106">
        <f t="shared" si="122"/>
        <v>5.04E-2</v>
      </c>
      <c r="V168" s="107">
        <f t="shared" si="122"/>
        <v>0</v>
      </c>
    </row>
    <row r="169" spans="1:25">
      <c r="A169" s="131">
        <v>149</v>
      </c>
      <c r="B169" s="100" t="s">
        <v>322</v>
      </c>
      <c r="C169" s="101" t="s">
        <v>159</v>
      </c>
      <c r="D169" s="116">
        <v>36230203687.4795</v>
      </c>
      <c r="E169" s="109">
        <f>(D169/$D$170)</f>
        <v>7.1734367521072373E-2</v>
      </c>
      <c r="F169" s="143">
        <v>8</v>
      </c>
      <c r="G169" s="143">
        <v>8</v>
      </c>
      <c r="H169" s="110">
        <v>215231</v>
      </c>
      <c r="I169" s="111">
        <v>0</v>
      </c>
      <c r="J169" s="111">
        <v>0</v>
      </c>
      <c r="K169" s="116">
        <v>36230203687.4795</v>
      </c>
      <c r="L169" s="109">
        <f t="shared" si="123"/>
        <v>7.1652468851339871E-2</v>
      </c>
      <c r="M169" s="143">
        <v>7.5</v>
      </c>
      <c r="N169" s="143">
        <v>7.5</v>
      </c>
      <c r="O169" s="110">
        <v>215231</v>
      </c>
      <c r="P169" s="111">
        <v>0</v>
      </c>
      <c r="Q169" s="111">
        <v>0</v>
      </c>
      <c r="R169" s="106">
        <f t="shared" si="120"/>
        <v>0</v>
      </c>
      <c r="S169" s="106">
        <f t="shared" si="121"/>
        <v>-6.25E-2</v>
      </c>
      <c r="T169" s="106">
        <f t="shared" si="121"/>
        <v>0</v>
      </c>
      <c r="U169" s="106">
        <f t="shared" si="122"/>
        <v>0</v>
      </c>
      <c r="V169" s="107">
        <f t="shared" si="122"/>
        <v>0</v>
      </c>
    </row>
    <row r="170" spans="1:25">
      <c r="A170" s="121"/>
      <c r="B170" s="157"/>
      <c r="C170" s="123" t="s">
        <v>54</v>
      </c>
      <c r="D170" s="124">
        <f>SUM(D164:D169)</f>
        <v>505060613754.44171</v>
      </c>
      <c r="E170" s="125">
        <f>(D170/$D$238)</f>
        <v>5.8172401288710048E-2</v>
      </c>
      <c r="F170" s="126"/>
      <c r="G170" s="158"/>
      <c r="H170" s="128">
        <f>SUM(H164:H169)</f>
        <v>229787</v>
      </c>
      <c r="I170" s="159"/>
      <c r="J170" s="159"/>
      <c r="K170" s="124">
        <f>SUM(K164:K169)</f>
        <v>505637897315.83008</v>
      </c>
      <c r="L170" s="125">
        <f>(K170/$K$238)</f>
        <v>5.7662556983516036E-2</v>
      </c>
      <c r="M170" s="126"/>
      <c r="N170" s="158"/>
      <c r="O170" s="128">
        <f>SUM(O164:O169)</f>
        <v>229787</v>
      </c>
      <c r="P170" s="159"/>
      <c r="Q170" s="159"/>
      <c r="R170" s="106">
        <f t="shared" si="120"/>
        <v>1.1429985741652773E-3</v>
      </c>
      <c r="S170" s="106" t="e">
        <f t="shared" si="121"/>
        <v>#DIV/0!</v>
      </c>
      <c r="T170" s="106">
        <f t="shared" si="121"/>
        <v>0</v>
      </c>
      <c r="U170" s="106">
        <f t="shared" si="122"/>
        <v>0</v>
      </c>
      <c r="V170" s="107">
        <f t="shared" si="122"/>
        <v>0</v>
      </c>
    </row>
    <row r="171" spans="1:25" ht="5.25" customHeight="1">
      <c r="A171" s="121"/>
      <c r="B171" s="130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  <c r="O171" s="130"/>
      <c r="P171" s="130"/>
      <c r="Q171" s="130"/>
      <c r="R171" s="130"/>
      <c r="S171" s="130"/>
      <c r="T171" s="130"/>
      <c r="U171" s="130"/>
      <c r="V171" s="130"/>
    </row>
    <row r="172" spans="1:25" ht="15" customHeight="1">
      <c r="A172" s="155" t="s">
        <v>216</v>
      </c>
      <c r="B172" s="155"/>
      <c r="C172" s="155"/>
      <c r="D172" s="155"/>
      <c r="E172" s="155"/>
      <c r="F172" s="155"/>
      <c r="G172" s="155"/>
      <c r="H172" s="155"/>
      <c r="I172" s="155"/>
      <c r="J172" s="155"/>
      <c r="K172" s="155"/>
      <c r="L172" s="155"/>
      <c r="M172" s="155"/>
      <c r="N172" s="155"/>
      <c r="O172" s="155"/>
      <c r="P172" s="155"/>
      <c r="Q172" s="155"/>
      <c r="R172" s="155"/>
      <c r="S172" s="155"/>
      <c r="T172" s="155"/>
      <c r="U172" s="155"/>
      <c r="V172" s="155"/>
    </row>
    <row r="173" spans="1:25">
      <c r="A173" s="160">
        <v>150</v>
      </c>
      <c r="B173" s="100" t="s">
        <v>217</v>
      </c>
      <c r="C173" s="101" t="s">
        <v>58</v>
      </c>
      <c r="D173" s="108">
        <v>877370339.37</v>
      </c>
      <c r="E173" s="109">
        <f t="shared" ref="E173:E192" si="129">(D173/$D$203)</f>
        <v>6.7013896946912718E-3</v>
      </c>
      <c r="F173" s="108">
        <v>9.25</v>
      </c>
      <c r="G173" s="108">
        <v>9.39</v>
      </c>
      <c r="H173" s="104">
        <v>11972</v>
      </c>
      <c r="I173" s="105">
        <v>3.2120999999999997E-2</v>
      </c>
      <c r="J173" s="105">
        <v>0.17911099999999999</v>
      </c>
      <c r="K173" s="108">
        <v>898817396.57000005</v>
      </c>
      <c r="L173" s="139">
        <f t="shared" ref="L173:L202" si="130">(K173/$K$203)</f>
        <v>6.5584952709498373E-3</v>
      </c>
      <c r="M173" s="108">
        <v>9.4600000000000009</v>
      </c>
      <c r="N173" s="108">
        <v>9.6199999999999992</v>
      </c>
      <c r="O173" s="104">
        <v>11972</v>
      </c>
      <c r="P173" s="105">
        <v>2.716E-2</v>
      </c>
      <c r="Q173" s="105">
        <v>0.20627100000000001</v>
      </c>
      <c r="R173" s="106">
        <f>((K173-D173)/D173)</f>
        <v>2.4444702809762419E-2</v>
      </c>
      <c r="S173" s="106">
        <f>((N173-G173)/G173)</f>
        <v>2.4494142705005179E-2</v>
      </c>
      <c r="T173" s="106">
        <f>((O173-H173)/H173)</f>
        <v>0</v>
      </c>
      <c r="U173" s="106">
        <f>P173-I173</f>
        <v>-4.9609999999999967E-3</v>
      </c>
      <c r="V173" s="107">
        <f>Q173-J173</f>
        <v>2.7160000000000017E-2</v>
      </c>
      <c r="X173" s="41"/>
    </row>
    <row r="174" spans="1:25">
      <c r="A174" s="160">
        <v>151</v>
      </c>
      <c r="B174" s="100" t="s">
        <v>218</v>
      </c>
      <c r="C174" s="100" t="s">
        <v>219</v>
      </c>
      <c r="D174" s="108">
        <v>2928243212.8552999</v>
      </c>
      <c r="E174" s="109">
        <f t="shared" si="129"/>
        <v>2.2366038615197287E-2</v>
      </c>
      <c r="F174" s="108">
        <v>2857.7279252729099</v>
      </c>
      <c r="G174" s="108">
        <v>2880.6190103201602</v>
      </c>
      <c r="H174" s="104">
        <v>223</v>
      </c>
      <c r="I174" s="105">
        <v>2.7799999999999998E-2</v>
      </c>
      <c r="J174" s="105">
        <v>0.30170000000000002</v>
      </c>
      <c r="K174" s="108">
        <v>3035533341.48</v>
      </c>
      <c r="L174" s="139">
        <f t="shared" si="130"/>
        <v>2.2149694855574213E-2</v>
      </c>
      <c r="M174" s="108">
        <v>2996.65</v>
      </c>
      <c r="N174" s="108">
        <v>3021.86</v>
      </c>
      <c r="O174" s="104">
        <v>222</v>
      </c>
      <c r="P174" s="105">
        <v>7.8100000000000003E-2</v>
      </c>
      <c r="Q174" s="105">
        <v>0.36530000000000001</v>
      </c>
      <c r="R174" s="106">
        <f>((K174-D174)/D174)</f>
        <v>3.6639760028704227E-2</v>
      </c>
      <c r="S174" s="106">
        <f>((N174-G174)/G174)</f>
        <v>4.9031471768334257E-2</v>
      </c>
      <c r="T174" s="106">
        <f>((O174-H174)/H174)</f>
        <v>-4.4843049327354259E-3</v>
      </c>
      <c r="U174" s="106">
        <f>P174-I174</f>
        <v>5.0300000000000004E-2</v>
      </c>
      <c r="V174" s="107">
        <f>Q174-J174</f>
        <v>6.359999999999999E-2</v>
      </c>
      <c r="Y174" s="52"/>
    </row>
    <row r="175" spans="1:25">
      <c r="A175" s="160">
        <v>152</v>
      </c>
      <c r="B175" s="100" t="s">
        <v>220</v>
      </c>
      <c r="C175" s="101" t="s">
        <v>23</v>
      </c>
      <c r="D175" s="108">
        <v>13833694413.83</v>
      </c>
      <c r="E175" s="109">
        <f t="shared" si="129"/>
        <v>0.10566231045708227</v>
      </c>
      <c r="F175" s="108">
        <v>1308.9789000000001</v>
      </c>
      <c r="G175" s="108">
        <v>1348.4456</v>
      </c>
      <c r="H175" s="104">
        <v>22744</v>
      </c>
      <c r="I175" s="105">
        <v>3.39E-2</v>
      </c>
      <c r="J175" s="105">
        <v>0.24060000000000001</v>
      </c>
      <c r="K175" s="108">
        <v>14336339960.870001</v>
      </c>
      <c r="L175" s="139">
        <f t="shared" si="130"/>
        <v>0.10460947706943098</v>
      </c>
      <c r="M175" s="108">
        <v>1337.9318000000001</v>
      </c>
      <c r="N175" s="108">
        <v>1378.2715000000001</v>
      </c>
      <c r="O175" s="104">
        <v>22815</v>
      </c>
      <c r="P175" s="105">
        <v>2.2118726925283487E-2</v>
      </c>
      <c r="Q175" s="105">
        <v>0.26806918650524941</v>
      </c>
      <c r="R175" s="106">
        <f t="shared" ref="R175:R202" si="131">((K175-D175)/D175)</f>
        <v>3.6334874257269237E-2</v>
      </c>
      <c r="S175" s="106">
        <f t="shared" ref="S175:T202" si="132">((N175-G175)/G175)</f>
        <v>2.2118726925283487E-2</v>
      </c>
      <c r="T175" s="106">
        <f t="shared" si="132"/>
        <v>3.1217024270137179E-3</v>
      </c>
      <c r="U175" s="106">
        <f t="shared" ref="U175:V202" si="133">P175-I175</f>
        <v>-1.1781273074716513E-2</v>
      </c>
      <c r="V175" s="107">
        <f t="shared" si="133"/>
        <v>2.7469186505249404E-2</v>
      </c>
      <c r="X175" s="41"/>
      <c r="Y175" s="41"/>
    </row>
    <row r="176" spans="1:25">
      <c r="A176" s="160">
        <v>153</v>
      </c>
      <c r="B176" s="100" t="s">
        <v>221</v>
      </c>
      <c r="C176" s="101" t="s">
        <v>125</v>
      </c>
      <c r="D176" s="108">
        <v>7629334006.0699997</v>
      </c>
      <c r="E176" s="109">
        <f t="shared" si="129"/>
        <v>5.8273157857544236E-2</v>
      </c>
      <c r="F176" s="108">
        <v>44.292000000000002</v>
      </c>
      <c r="G176" s="108">
        <v>44.875100000000003</v>
      </c>
      <c r="H176" s="110">
        <v>6284</v>
      </c>
      <c r="I176" s="111">
        <v>3.6600000000000001E-2</v>
      </c>
      <c r="J176" s="111">
        <v>0.30609999999999998</v>
      </c>
      <c r="K176" s="108">
        <v>7782345370.1899996</v>
      </c>
      <c r="L176" s="139">
        <f t="shared" si="130"/>
        <v>5.6786256587896863E-2</v>
      </c>
      <c r="M176" s="108">
        <v>45.044400000000003</v>
      </c>
      <c r="N176" s="108">
        <v>45.611800000000002</v>
      </c>
      <c r="O176" s="110">
        <v>6296</v>
      </c>
      <c r="P176" s="111">
        <v>2.3400000000000001E-2</v>
      </c>
      <c r="Q176" s="111">
        <v>0.32790000000000002</v>
      </c>
      <c r="R176" s="106">
        <f t="shared" si="131"/>
        <v>2.0055664622660643E-2</v>
      </c>
      <c r="S176" s="106">
        <f t="shared" si="132"/>
        <v>1.6416676508798845E-2</v>
      </c>
      <c r="T176" s="106">
        <f t="shared" si="132"/>
        <v>1.9096117122851686E-3</v>
      </c>
      <c r="U176" s="106">
        <f t="shared" si="133"/>
        <v>-1.32E-2</v>
      </c>
      <c r="V176" s="107">
        <f t="shared" si="133"/>
        <v>2.1800000000000042E-2</v>
      </c>
    </row>
    <row r="177" spans="1:27">
      <c r="A177" s="160">
        <v>154</v>
      </c>
      <c r="B177" s="100" t="s">
        <v>222</v>
      </c>
      <c r="C177" s="101" t="s">
        <v>133</v>
      </c>
      <c r="D177" s="116">
        <v>3372429441.6199999</v>
      </c>
      <c r="E177" s="109">
        <f t="shared" si="129"/>
        <v>2.5758750771508552E-2</v>
      </c>
      <c r="F177" s="108">
        <v>7.9966999999999997</v>
      </c>
      <c r="G177" s="108">
        <v>8.2035999999999998</v>
      </c>
      <c r="H177" s="110">
        <v>2737</v>
      </c>
      <c r="I177" s="111">
        <v>1.7399999999999999E-2</v>
      </c>
      <c r="J177" s="111">
        <v>0.3352</v>
      </c>
      <c r="K177" s="116">
        <v>3540492177.8299999</v>
      </c>
      <c r="L177" s="139">
        <f t="shared" si="130"/>
        <v>2.5834281016082383E-2</v>
      </c>
      <c r="M177" s="108">
        <v>8.3922000000000008</v>
      </c>
      <c r="N177" s="108">
        <v>8.6156000000000006</v>
      </c>
      <c r="O177" s="110">
        <v>2737</v>
      </c>
      <c r="P177" s="111">
        <v>5.0221853820274123E-2</v>
      </c>
      <c r="Q177" s="111">
        <v>0.40221017853945934</v>
      </c>
      <c r="R177" s="106">
        <f t="shared" si="131"/>
        <v>4.9834322443012606E-2</v>
      </c>
      <c r="S177" s="106">
        <f t="shared" si="132"/>
        <v>5.0221853820274123E-2</v>
      </c>
      <c r="T177" s="106">
        <f t="shared" si="132"/>
        <v>0</v>
      </c>
      <c r="U177" s="106">
        <f t="shared" si="133"/>
        <v>3.2821853820274124E-2</v>
      </c>
      <c r="V177" s="107">
        <f t="shared" si="133"/>
        <v>6.7010178539459342E-2</v>
      </c>
      <c r="W177" s="41"/>
      <c r="X177" s="41"/>
      <c r="Y177" s="41"/>
      <c r="AA177" s="52"/>
    </row>
    <row r="178" spans="1:27">
      <c r="A178" s="160">
        <v>155</v>
      </c>
      <c r="B178" s="100" t="s">
        <v>223</v>
      </c>
      <c r="C178" s="101" t="s">
        <v>27</v>
      </c>
      <c r="D178" s="116">
        <v>2319305730.4400001</v>
      </c>
      <c r="E178" s="109">
        <f t="shared" si="129"/>
        <v>1.7714949803260327E-2</v>
      </c>
      <c r="F178" s="108">
        <v>1.6727000000000001</v>
      </c>
      <c r="G178" s="108">
        <v>1.6871</v>
      </c>
      <c r="H178" s="110">
        <v>469</v>
      </c>
      <c r="I178" s="111">
        <v>4.5699999999999998E-2</v>
      </c>
      <c r="J178" s="111">
        <v>0.34560000000000002</v>
      </c>
      <c r="K178" s="116">
        <v>2600325141</v>
      </c>
      <c r="L178" s="139">
        <f t="shared" si="130"/>
        <v>1.897406548344693E-2</v>
      </c>
      <c r="M178" s="108">
        <v>1.7318</v>
      </c>
      <c r="N178" s="108">
        <v>1.7458</v>
      </c>
      <c r="O178" s="110">
        <v>496</v>
      </c>
      <c r="P178" s="111">
        <v>3.5099999999999999E-2</v>
      </c>
      <c r="Q178" s="111">
        <v>0.39279999999999998</v>
      </c>
      <c r="R178" s="106">
        <f t="shared" ref="R178" si="134">((K178-D178)/D178)</f>
        <v>0.12116531549580882</v>
      </c>
      <c r="S178" s="106">
        <f t="shared" ref="S178" si="135">((N178-G178)/G178)</f>
        <v>3.4793432517337429E-2</v>
      </c>
      <c r="T178" s="106">
        <f t="shared" ref="T178" si="136">((O178-H178)/H178)</f>
        <v>5.7569296375266525E-2</v>
      </c>
      <c r="U178" s="106">
        <f t="shared" ref="U178" si="137">P178-I178</f>
        <v>-1.0599999999999998E-2</v>
      </c>
      <c r="V178" s="107">
        <f t="shared" ref="V178" si="138">Q178-J178</f>
        <v>4.7199999999999964E-2</v>
      </c>
    </row>
    <row r="179" spans="1:27">
      <c r="A179" s="160">
        <v>156</v>
      </c>
      <c r="B179" s="100" t="s">
        <v>224</v>
      </c>
      <c r="C179" s="101" t="s">
        <v>69</v>
      </c>
      <c r="D179" s="108">
        <v>9474428617.8283806</v>
      </c>
      <c r="E179" s="109">
        <f t="shared" si="129"/>
        <v>7.2366064196099672E-2</v>
      </c>
      <c r="F179" s="108">
        <v>14006.884992269501</v>
      </c>
      <c r="G179" s="108">
        <v>14114.487975592099</v>
      </c>
      <c r="H179" s="110">
        <v>1600</v>
      </c>
      <c r="I179" s="111">
        <v>3.1699999999999999E-2</v>
      </c>
      <c r="J179" s="111">
        <v>0.25419999999999998</v>
      </c>
      <c r="K179" s="108">
        <v>9897227057.3223495</v>
      </c>
      <c r="L179" s="139">
        <f t="shared" si="130"/>
        <v>7.2218135851256998E-2</v>
      </c>
      <c r="M179" s="108">
        <v>14306.711204241399</v>
      </c>
      <c r="N179" s="108">
        <v>14417.0499613794</v>
      </c>
      <c r="O179" s="110">
        <v>1617</v>
      </c>
      <c r="P179" s="111">
        <v>2.1405631026268482E-2</v>
      </c>
      <c r="Q179" s="111">
        <v>0.28102441080295976</v>
      </c>
      <c r="R179" s="106">
        <f t="shared" si="131"/>
        <v>4.4625217683140657E-2</v>
      </c>
      <c r="S179" s="106">
        <f t="shared" si="132"/>
        <v>2.1436270753180355E-2</v>
      </c>
      <c r="T179" s="106">
        <f t="shared" si="132"/>
        <v>1.0625000000000001E-2</v>
      </c>
      <c r="U179" s="106">
        <f t="shared" si="133"/>
        <v>-1.0294368973731517E-2</v>
      </c>
      <c r="V179" s="107">
        <f t="shared" si="133"/>
        <v>2.6824410802959775E-2</v>
      </c>
      <c r="X179" s="41"/>
      <c r="Y179" s="41"/>
      <c r="AA179" s="52"/>
    </row>
    <row r="180" spans="1:27">
      <c r="A180" s="160">
        <v>157</v>
      </c>
      <c r="B180" s="100" t="s">
        <v>225</v>
      </c>
      <c r="C180" s="101" t="s">
        <v>71</v>
      </c>
      <c r="D180" s="108">
        <v>1942001674.1099999</v>
      </c>
      <c r="E180" s="109">
        <f t="shared" si="129"/>
        <v>1.4833086351310662E-2</v>
      </c>
      <c r="F180" s="108">
        <v>294.82</v>
      </c>
      <c r="G180" s="108">
        <v>297.13</v>
      </c>
      <c r="H180" s="110">
        <v>508</v>
      </c>
      <c r="I180" s="111">
        <v>2.7099999999999999E-2</v>
      </c>
      <c r="J180" s="111">
        <v>0.27679999999999999</v>
      </c>
      <c r="K180" s="108">
        <v>2014256805.79</v>
      </c>
      <c r="L180" s="139">
        <f t="shared" si="130"/>
        <v>1.4697639126328819E-2</v>
      </c>
      <c r="M180" s="108">
        <v>302.86</v>
      </c>
      <c r="N180" s="108">
        <v>305.27</v>
      </c>
      <c r="O180" s="110">
        <v>508</v>
      </c>
      <c r="P180" s="111">
        <v>2.7300000000000001E-2</v>
      </c>
      <c r="Q180" s="111">
        <v>0.31169999999999998</v>
      </c>
      <c r="R180" s="106">
        <f t="shared" si="131"/>
        <v>3.7206523888870427E-2</v>
      </c>
      <c r="S180" s="106">
        <f t="shared" si="132"/>
        <v>2.7395416147814041E-2</v>
      </c>
      <c r="T180" s="106">
        <f t="shared" si="132"/>
        <v>0</v>
      </c>
      <c r="U180" s="106">
        <f t="shared" si="133"/>
        <v>2.0000000000000226E-4</v>
      </c>
      <c r="V180" s="107">
        <f t="shared" si="133"/>
        <v>3.4899999999999987E-2</v>
      </c>
    </row>
    <row r="181" spans="1:27">
      <c r="A181" s="160">
        <v>158</v>
      </c>
      <c r="B181" s="100" t="s">
        <v>226</v>
      </c>
      <c r="C181" s="101" t="s">
        <v>227</v>
      </c>
      <c r="D181" s="108">
        <v>4865373287.1999998</v>
      </c>
      <c r="E181" s="109">
        <f t="shared" si="129"/>
        <v>3.7161915492926606E-2</v>
      </c>
      <c r="F181" s="108">
        <v>2.5409999999999999</v>
      </c>
      <c r="G181" s="108">
        <v>2.5884</v>
      </c>
      <c r="H181" s="110">
        <v>4693</v>
      </c>
      <c r="I181" s="111">
        <v>3.3300000000000003E-2</v>
      </c>
      <c r="J181" s="111">
        <v>0.29499999999999998</v>
      </c>
      <c r="K181" s="108">
        <v>5136316242.7299995</v>
      </c>
      <c r="L181" s="139">
        <f t="shared" si="130"/>
        <v>3.7478698027652191E-2</v>
      </c>
      <c r="M181" s="108">
        <v>2.6053999999999999</v>
      </c>
      <c r="N181" s="108">
        <v>2.6537999999999999</v>
      </c>
      <c r="O181" s="110">
        <v>4797</v>
      </c>
      <c r="P181" s="111">
        <v>2.53E-2</v>
      </c>
      <c r="Q181" s="111">
        <v>0.32529999999999998</v>
      </c>
      <c r="R181" s="106">
        <f t="shared" si="131"/>
        <v>5.5688009847632093E-2</v>
      </c>
      <c r="S181" s="106">
        <f t="shared" si="132"/>
        <v>2.5266573945294354E-2</v>
      </c>
      <c r="T181" s="106">
        <f t="shared" si="132"/>
        <v>2.2160664819944598E-2</v>
      </c>
      <c r="U181" s="106">
        <f t="shared" si="133"/>
        <v>-8.0000000000000036E-3</v>
      </c>
      <c r="V181" s="107">
        <f t="shared" si="133"/>
        <v>3.0299999999999994E-2</v>
      </c>
    </row>
    <row r="182" spans="1:27">
      <c r="A182" s="160">
        <v>159</v>
      </c>
      <c r="B182" s="100" t="s">
        <v>228</v>
      </c>
      <c r="C182" s="101" t="s">
        <v>29</v>
      </c>
      <c r="D182" s="132">
        <v>1082836270.25</v>
      </c>
      <c r="E182" s="109">
        <f t="shared" si="129"/>
        <v>8.2707466811584411E-3</v>
      </c>
      <c r="F182" s="108">
        <v>269.29239999999999</v>
      </c>
      <c r="G182" s="108">
        <v>270.79480000000001</v>
      </c>
      <c r="H182" s="110">
        <v>190</v>
      </c>
      <c r="I182" s="111">
        <v>7.123E-3</v>
      </c>
      <c r="J182" s="111">
        <v>0.27589999999999998</v>
      </c>
      <c r="K182" s="132">
        <v>1122576850.48</v>
      </c>
      <c r="L182" s="139">
        <f t="shared" si="130"/>
        <v>8.191224372432868E-3</v>
      </c>
      <c r="M182" s="108">
        <v>277.0129</v>
      </c>
      <c r="N182" s="108">
        <v>278.6148</v>
      </c>
      <c r="O182" s="110">
        <v>193</v>
      </c>
      <c r="P182" s="111">
        <v>5.6270000000000001E-3</v>
      </c>
      <c r="Q182" s="111">
        <v>0.3125</v>
      </c>
      <c r="R182" s="106">
        <f t="shared" si="131"/>
        <v>3.6700451695088593E-2</v>
      </c>
      <c r="S182" s="106">
        <f t="shared" si="132"/>
        <v>2.8877954820402729E-2</v>
      </c>
      <c r="T182" s="106">
        <f t="shared" si="132"/>
        <v>1.5789473684210527E-2</v>
      </c>
      <c r="U182" s="106">
        <f t="shared" si="133"/>
        <v>-1.4959999999999999E-3</v>
      </c>
      <c r="V182" s="107">
        <f t="shared" si="133"/>
        <v>3.6600000000000021E-2</v>
      </c>
    </row>
    <row r="183" spans="1:27">
      <c r="A183" s="160">
        <v>160</v>
      </c>
      <c r="B183" s="100" t="s">
        <v>229</v>
      </c>
      <c r="C183" s="101" t="s">
        <v>77</v>
      </c>
      <c r="D183" s="132">
        <v>1725930636.4200001</v>
      </c>
      <c r="E183" s="109">
        <f t="shared" si="129"/>
        <v>1.318272713545577E-2</v>
      </c>
      <c r="F183" s="108">
        <v>201.97</v>
      </c>
      <c r="G183" s="108">
        <v>202.78</v>
      </c>
      <c r="H183" s="110">
        <v>111</v>
      </c>
      <c r="I183" s="111">
        <v>4.6100000000000002E-2</v>
      </c>
      <c r="J183" s="111">
        <v>0.1913</v>
      </c>
      <c r="K183" s="132">
        <v>1822642907.8599999</v>
      </c>
      <c r="L183" s="139">
        <f t="shared" si="130"/>
        <v>1.3299469878361555E-2</v>
      </c>
      <c r="M183" s="108">
        <v>207.8</v>
      </c>
      <c r="N183" s="108">
        <v>208.68</v>
      </c>
      <c r="O183" s="110">
        <v>137</v>
      </c>
      <c r="P183" s="111">
        <v>3.4500000000000003E-2</v>
      </c>
      <c r="Q183" s="111">
        <v>0.2258</v>
      </c>
      <c r="R183" s="106">
        <f t="shared" si="131"/>
        <v>5.603485412403629E-2</v>
      </c>
      <c r="S183" s="106">
        <f t="shared" si="132"/>
        <v>2.9095571555380242E-2</v>
      </c>
      <c r="T183" s="106">
        <f t="shared" si="132"/>
        <v>0.23423423423423423</v>
      </c>
      <c r="U183" s="106">
        <f t="shared" si="133"/>
        <v>-1.1599999999999999E-2</v>
      </c>
      <c r="V183" s="107">
        <f t="shared" si="133"/>
        <v>3.4500000000000003E-2</v>
      </c>
    </row>
    <row r="184" spans="1:27" ht="15.75" customHeight="1">
      <c r="A184" s="160">
        <v>161</v>
      </c>
      <c r="B184" s="100" t="s">
        <v>230</v>
      </c>
      <c r="C184" s="101" t="s">
        <v>80</v>
      </c>
      <c r="D184" s="116">
        <v>836232071.11000001</v>
      </c>
      <c r="E184" s="109">
        <f t="shared" si="129"/>
        <v>6.3871739586396463E-3</v>
      </c>
      <c r="F184" s="108">
        <v>2.36</v>
      </c>
      <c r="G184" s="108">
        <v>2.39</v>
      </c>
      <c r="H184" s="110">
        <v>162</v>
      </c>
      <c r="I184" s="111">
        <v>2.3900000000000001E-2</v>
      </c>
      <c r="J184" s="111">
        <v>0.30259999999999998</v>
      </c>
      <c r="K184" s="116">
        <v>1078919401.1199999</v>
      </c>
      <c r="L184" s="139">
        <f t="shared" si="130"/>
        <v>7.8726644777735583E-3</v>
      </c>
      <c r="M184" s="108">
        <v>2.57</v>
      </c>
      <c r="N184" s="108">
        <v>2.6</v>
      </c>
      <c r="O184" s="110">
        <v>167</v>
      </c>
      <c r="P184" s="111">
        <v>0</v>
      </c>
      <c r="Q184" s="111">
        <v>0.41439999999999999</v>
      </c>
      <c r="R184" s="106">
        <f t="shared" si="131"/>
        <v>0.29021528639515215</v>
      </c>
      <c r="S184" s="106">
        <f t="shared" si="132"/>
        <v>8.7866108786610858E-2</v>
      </c>
      <c r="T184" s="106">
        <f t="shared" si="132"/>
        <v>3.0864197530864196E-2</v>
      </c>
      <c r="U184" s="106">
        <f t="shared" si="133"/>
        <v>-2.3900000000000001E-2</v>
      </c>
      <c r="V184" s="107">
        <f t="shared" si="133"/>
        <v>0.11180000000000001</v>
      </c>
      <c r="X184" s="41"/>
    </row>
    <row r="185" spans="1:27">
      <c r="A185" s="160">
        <v>162</v>
      </c>
      <c r="B185" s="100" t="s">
        <v>231</v>
      </c>
      <c r="C185" s="101" t="s">
        <v>82</v>
      </c>
      <c r="D185" s="108">
        <v>18769014005.470001</v>
      </c>
      <c r="E185" s="109">
        <f t="shared" si="129"/>
        <v>0.14335847861700984</v>
      </c>
      <c r="F185" s="108">
        <v>558.74</v>
      </c>
      <c r="G185" s="108">
        <v>564.46</v>
      </c>
      <c r="H185" s="110">
        <v>5611</v>
      </c>
      <c r="I185" s="111">
        <v>3.4799999999999998E-2</v>
      </c>
      <c r="J185" s="111">
        <v>0.30449999999999999</v>
      </c>
      <c r="K185" s="108">
        <v>19229552289.849998</v>
      </c>
      <c r="L185" s="139">
        <f t="shared" si="130"/>
        <v>0.14031429324436959</v>
      </c>
      <c r="M185" s="108">
        <v>575.37</v>
      </c>
      <c r="N185" s="108">
        <v>581.36</v>
      </c>
      <c r="O185" s="110">
        <v>5612</v>
      </c>
      <c r="P185" s="111">
        <v>2.98E-2</v>
      </c>
      <c r="Q185" s="111">
        <v>0.34329999999999999</v>
      </c>
      <c r="R185" s="106">
        <f t="shared" si="131"/>
        <v>2.4537159184056176E-2</v>
      </c>
      <c r="S185" s="106">
        <f t="shared" si="132"/>
        <v>2.9940119760479E-2</v>
      </c>
      <c r="T185" s="106">
        <f t="shared" si="132"/>
        <v>1.7822135091783995E-4</v>
      </c>
      <c r="U185" s="106">
        <f t="shared" si="133"/>
        <v>-4.9999999999999975E-3</v>
      </c>
      <c r="V185" s="107">
        <f t="shared" si="133"/>
        <v>3.8800000000000001E-2</v>
      </c>
    </row>
    <row r="186" spans="1:27">
      <c r="A186" s="160">
        <v>163</v>
      </c>
      <c r="B186" s="100" t="s">
        <v>232</v>
      </c>
      <c r="C186" s="101" t="s">
        <v>90</v>
      </c>
      <c r="D186" s="108">
        <v>6176544418.8999996</v>
      </c>
      <c r="E186" s="109">
        <f t="shared" si="129"/>
        <v>4.7176692965641698E-2</v>
      </c>
      <c r="F186" s="108">
        <v>3.7551999999999999</v>
      </c>
      <c r="G186" s="108">
        <v>3.8228</v>
      </c>
      <c r="H186" s="110">
        <v>10200</v>
      </c>
      <c r="I186" s="111">
        <v>2.5899999999999999E-2</v>
      </c>
      <c r="J186" s="111">
        <v>0.22589999999999999</v>
      </c>
      <c r="K186" s="108">
        <v>6315045227.9300003</v>
      </c>
      <c r="L186" s="139">
        <f t="shared" si="130"/>
        <v>4.6079653577318878E-2</v>
      </c>
      <c r="M186" s="108">
        <v>3.8285</v>
      </c>
      <c r="N186" s="108">
        <v>3.9007000000000001</v>
      </c>
      <c r="O186" s="110">
        <v>10201</v>
      </c>
      <c r="P186" s="111">
        <v>1.95E-2</v>
      </c>
      <c r="Q186" s="111">
        <v>0.25040000000000001</v>
      </c>
      <c r="R186" s="106">
        <f t="shared" si="131"/>
        <v>2.2423672467438798E-2</v>
      </c>
      <c r="S186" s="106">
        <f t="shared" si="132"/>
        <v>2.0377733598409564E-2</v>
      </c>
      <c r="T186" s="106">
        <f t="shared" si="132"/>
        <v>9.8039215686274506E-5</v>
      </c>
      <c r="U186" s="106">
        <f t="shared" si="133"/>
        <v>-6.3999999999999994E-3</v>
      </c>
      <c r="V186" s="107">
        <f t="shared" si="133"/>
        <v>2.4500000000000022E-2</v>
      </c>
    </row>
    <row r="187" spans="1:27">
      <c r="A187" s="160">
        <v>164</v>
      </c>
      <c r="B187" s="100" t="s">
        <v>233</v>
      </c>
      <c r="C187" s="101" t="s">
        <v>92</v>
      </c>
      <c r="D187" s="108">
        <v>355608846.01999998</v>
      </c>
      <c r="E187" s="109">
        <f t="shared" si="129"/>
        <v>2.7161545690850006E-3</v>
      </c>
      <c r="F187" s="108">
        <v>402.20774562000003</v>
      </c>
      <c r="G187" s="108">
        <v>402.20774562000003</v>
      </c>
      <c r="H187" s="110">
        <v>32</v>
      </c>
      <c r="I187" s="111">
        <v>5.2400000000000002E-2</v>
      </c>
      <c r="J187" s="111">
        <v>0.15709999999999999</v>
      </c>
      <c r="K187" s="108">
        <v>378675404.49000001</v>
      </c>
      <c r="L187" s="139">
        <f t="shared" si="130"/>
        <v>2.7631205838362554E-3</v>
      </c>
      <c r="M187" s="108">
        <v>428.31763374000002</v>
      </c>
      <c r="N187" s="108">
        <v>428.31763374000002</v>
      </c>
      <c r="O187" s="110">
        <v>32</v>
      </c>
      <c r="P187" s="111">
        <v>6.4600000000000005E-2</v>
      </c>
      <c r="Q187" s="111">
        <v>0.92900000000000005</v>
      </c>
      <c r="R187" s="106">
        <f t="shared" si="131"/>
        <v>6.4864973771498163E-2</v>
      </c>
      <c r="S187" s="106">
        <f t="shared" si="132"/>
        <v>6.4916422929030895E-2</v>
      </c>
      <c r="T187" s="106">
        <f t="shared" si="132"/>
        <v>0</v>
      </c>
      <c r="U187" s="106">
        <f t="shared" si="133"/>
        <v>1.2200000000000003E-2</v>
      </c>
      <c r="V187" s="107">
        <f t="shared" si="133"/>
        <v>0.77190000000000003</v>
      </c>
    </row>
    <row r="188" spans="1:27">
      <c r="A188" s="160">
        <v>165</v>
      </c>
      <c r="B188" s="100" t="s">
        <v>234</v>
      </c>
      <c r="C188" s="100" t="s">
        <v>94</v>
      </c>
      <c r="D188" s="138">
        <v>84095554.780000001</v>
      </c>
      <c r="E188" s="109">
        <f t="shared" si="129"/>
        <v>6.4232520622557428E-4</v>
      </c>
      <c r="F188" s="108">
        <v>1.64828606</v>
      </c>
      <c r="G188" s="108">
        <v>1.64828606</v>
      </c>
      <c r="H188" s="110">
        <v>29</v>
      </c>
      <c r="I188" s="111">
        <v>8.5000000000000006E-3</v>
      </c>
      <c r="J188" s="111">
        <v>0.14799999999999999</v>
      </c>
      <c r="K188" s="138">
        <v>88840817.969999999</v>
      </c>
      <c r="L188" s="139">
        <f t="shared" si="130"/>
        <v>6.4825412452748676E-4</v>
      </c>
      <c r="M188" s="108">
        <v>1.7420109800000001</v>
      </c>
      <c r="N188" s="108">
        <v>1.7420109800000001</v>
      </c>
      <c r="O188" s="110">
        <v>30</v>
      </c>
      <c r="P188" s="111">
        <v>5.6500000000000002E-2</v>
      </c>
      <c r="Q188" s="111">
        <v>0.2132</v>
      </c>
      <c r="R188" s="106">
        <f t="shared" si="131"/>
        <v>5.6427039484000623E-2</v>
      </c>
      <c r="S188" s="106">
        <f t="shared" si="132"/>
        <v>5.6862047356027567E-2</v>
      </c>
      <c r="T188" s="106">
        <f t="shared" si="132"/>
        <v>3.4482758620689655E-2</v>
      </c>
      <c r="U188" s="106">
        <f t="shared" si="133"/>
        <v>4.8000000000000001E-2</v>
      </c>
      <c r="V188" s="107">
        <f t="shared" si="133"/>
        <v>6.5200000000000008E-2</v>
      </c>
    </row>
    <row r="189" spans="1:27" ht="13.5" customHeight="1">
      <c r="A189" s="160">
        <v>166</v>
      </c>
      <c r="B189" s="100" t="s">
        <v>235</v>
      </c>
      <c r="C189" s="101" t="s">
        <v>36</v>
      </c>
      <c r="D189" s="116">
        <v>11720805753.16</v>
      </c>
      <c r="E189" s="109">
        <f t="shared" si="129"/>
        <v>8.9523982477119873E-2</v>
      </c>
      <c r="F189" s="108">
        <v>7.7214720000000003</v>
      </c>
      <c r="G189" s="108">
        <v>7.829161</v>
      </c>
      <c r="H189" s="110">
        <v>9024</v>
      </c>
      <c r="I189" s="111">
        <v>3.4000000000000002E-2</v>
      </c>
      <c r="J189" s="111">
        <v>0.24340000000000001</v>
      </c>
      <c r="K189" s="116">
        <v>12618085455.42</v>
      </c>
      <c r="L189" s="139">
        <f t="shared" si="130"/>
        <v>9.2071709007434596E-2</v>
      </c>
      <c r="M189" s="108">
        <v>7.9613569999999996</v>
      </c>
      <c r="N189" s="108">
        <v>8.0682939999999999</v>
      </c>
      <c r="O189" s="110">
        <v>9557</v>
      </c>
      <c r="P189" s="111">
        <v>3.1099999999999999E-2</v>
      </c>
      <c r="Q189" s="111">
        <v>0.28210000000000002</v>
      </c>
      <c r="R189" s="106">
        <f t="shared" si="131"/>
        <v>7.6554438419738177E-2</v>
      </c>
      <c r="S189" s="106">
        <f t="shared" si="132"/>
        <v>3.0543885864653928E-2</v>
      </c>
      <c r="T189" s="106">
        <f t="shared" si="132"/>
        <v>5.9064716312056738E-2</v>
      </c>
      <c r="U189" s="106">
        <f t="shared" si="133"/>
        <v>-2.9000000000000033E-3</v>
      </c>
      <c r="V189" s="107">
        <f t="shared" si="133"/>
        <v>3.8700000000000012E-2</v>
      </c>
      <c r="X189" s="41"/>
    </row>
    <row r="190" spans="1:27" ht="13.5" customHeight="1">
      <c r="A190" s="160">
        <v>167</v>
      </c>
      <c r="B190" s="100" t="s">
        <v>236</v>
      </c>
      <c r="C190" s="101" t="s">
        <v>237</v>
      </c>
      <c r="D190" s="116">
        <v>149693125.84999999</v>
      </c>
      <c r="E190" s="109">
        <f t="shared" si="129"/>
        <v>1.1433620740560156E-3</v>
      </c>
      <c r="F190" s="108">
        <v>3.1103999999999998</v>
      </c>
      <c r="G190" s="108">
        <v>3.1305999999999998</v>
      </c>
      <c r="H190" s="110">
        <v>119</v>
      </c>
      <c r="I190" s="111">
        <v>2.7300000000000001E-2</v>
      </c>
      <c r="J190" s="111">
        <v>0.11650000000000001</v>
      </c>
      <c r="K190" s="116">
        <v>158136945.33000001</v>
      </c>
      <c r="L190" s="139">
        <f t="shared" si="130"/>
        <v>1.1538944529412936E-3</v>
      </c>
      <c r="M190" s="108">
        <v>3.1928000000000001</v>
      </c>
      <c r="N190" s="108">
        <v>3.2141999999999999</v>
      </c>
      <c r="O190" s="110">
        <v>121</v>
      </c>
      <c r="P190" s="111">
        <v>2.6599999999999999E-2</v>
      </c>
      <c r="Q190" s="111">
        <v>0.1462</v>
      </c>
      <c r="R190" s="106">
        <f t="shared" si="131"/>
        <v>5.6407529952051033E-2</v>
      </c>
      <c r="S190" s="106">
        <f t="shared" si="132"/>
        <v>2.6704146170063284E-2</v>
      </c>
      <c r="T190" s="106">
        <f t="shared" si="132"/>
        <v>1.680672268907563E-2</v>
      </c>
      <c r="U190" s="106">
        <f>P190-I190</f>
        <v>-7.000000000000027E-4</v>
      </c>
      <c r="V190" s="107">
        <f>Q190-J190</f>
        <v>2.969999999999999E-2</v>
      </c>
    </row>
    <row r="191" spans="1:27">
      <c r="A191" s="160">
        <v>168</v>
      </c>
      <c r="B191" s="100" t="s">
        <v>238</v>
      </c>
      <c r="C191" s="101" t="s">
        <v>149</v>
      </c>
      <c r="D191" s="116">
        <v>1807853027.72</v>
      </c>
      <c r="E191" s="109">
        <f t="shared" si="129"/>
        <v>1.3808453632223935E-2</v>
      </c>
      <c r="F191" s="108">
        <v>451</v>
      </c>
      <c r="G191" s="108">
        <v>455.61</v>
      </c>
      <c r="H191" s="110">
        <v>158</v>
      </c>
      <c r="I191" s="111">
        <v>1.37E-2</v>
      </c>
      <c r="J191" s="111">
        <v>0.26729999999999998</v>
      </c>
      <c r="K191" s="116">
        <v>1883439284.29</v>
      </c>
      <c r="L191" s="139">
        <f t="shared" si="130"/>
        <v>1.3743089181713556E-2</v>
      </c>
      <c r="M191" s="108">
        <v>467.64</v>
      </c>
      <c r="N191" s="108">
        <v>472.58</v>
      </c>
      <c r="O191" s="110">
        <v>158</v>
      </c>
      <c r="P191" s="111">
        <v>1.37E-2</v>
      </c>
      <c r="Q191" s="111">
        <v>0.31409999999999999</v>
      </c>
      <c r="R191" s="106">
        <f t="shared" si="131"/>
        <v>4.1809956567833741E-2</v>
      </c>
      <c r="S191" s="106">
        <f t="shared" si="132"/>
        <v>3.724676806918191E-2</v>
      </c>
      <c r="T191" s="106">
        <f t="shared" si="132"/>
        <v>0</v>
      </c>
      <c r="U191" s="106">
        <f t="shared" si="133"/>
        <v>0</v>
      </c>
      <c r="V191" s="107">
        <f t="shared" si="133"/>
        <v>4.6800000000000008E-2</v>
      </c>
    </row>
    <row r="192" spans="1:27">
      <c r="A192" s="160">
        <v>169</v>
      </c>
      <c r="B192" s="100" t="s">
        <v>337</v>
      </c>
      <c r="C192" s="101" t="s">
        <v>335</v>
      </c>
      <c r="D192" s="108">
        <v>49923249.560000002</v>
      </c>
      <c r="E192" s="109">
        <f t="shared" si="129"/>
        <v>3.8131577409730255E-4</v>
      </c>
      <c r="F192" s="108">
        <v>0.998</v>
      </c>
      <c r="G192" s="108">
        <v>1.0009999999999999</v>
      </c>
      <c r="H192" s="110">
        <v>1</v>
      </c>
      <c r="I192" s="111">
        <v>0</v>
      </c>
      <c r="J192" s="111">
        <v>0</v>
      </c>
      <c r="K192" s="108">
        <v>50007828.859999999</v>
      </c>
      <c r="L192" s="139">
        <f t="shared" si="130"/>
        <v>3.6489737552964236E-4</v>
      </c>
      <c r="M192" s="108">
        <v>1.000157</v>
      </c>
      <c r="N192" s="108">
        <v>1.0090410000000001</v>
      </c>
      <c r="O192" s="110">
        <v>1</v>
      </c>
      <c r="P192" s="111">
        <v>1.6942000000000001E-3</v>
      </c>
      <c r="Q192" s="111">
        <v>0</v>
      </c>
      <c r="R192" s="106">
        <f t="shared" ref="R192" si="139">((K192-D192)/D192)</f>
        <v>1.6941865913264683E-3</v>
      </c>
      <c r="S192" s="106">
        <f t="shared" ref="S192" si="140">((N192-G192)/G192)</f>
        <v>8.0329670329672212E-3</v>
      </c>
      <c r="T192" s="106">
        <f t="shared" ref="T192" si="141">((O192-H192)/H192)</f>
        <v>0</v>
      </c>
      <c r="U192" s="106">
        <f t="shared" ref="U192" si="142">P192-I192</f>
        <v>1.6942000000000001E-3</v>
      </c>
      <c r="V192" s="107">
        <f t="shared" ref="V192" si="143">Q192-J192</f>
        <v>0</v>
      </c>
    </row>
    <row r="193" spans="1:22">
      <c r="A193" s="160">
        <v>170</v>
      </c>
      <c r="B193" s="100" t="s">
        <v>239</v>
      </c>
      <c r="C193" s="101" t="s">
        <v>32</v>
      </c>
      <c r="D193" s="116">
        <v>2994594342.0900002</v>
      </c>
      <c r="E193" s="109">
        <f t="shared" ref="E193:E202" si="144">(D193/$D$203)</f>
        <v>2.2872831190387174E-2</v>
      </c>
      <c r="F193" s="108">
        <v>552.22</v>
      </c>
      <c r="G193" s="108">
        <v>552.22</v>
      </c>
      <c r="H193" s="110">
        <v>823</v>
      </c>
      <c r="I193" s="111">
        <v>0.10159</v>
      </c>
      <c r="J193" s="111">
        <v>0.39001999999999998</v>
      </c>
      <c r="K193" s="116">
        <v>3003984729.4400001</v>
      </c>
      <c r="L193" s="139">
        <f t="shared" si="130"/>
        <v>2.1919490785582942E-2</v>
      </c>
      <c r="M193" s="108">
        <v>552.22</v>
      </c>
      <c r="N193" s="108">
        <v>552.22</v>
      </c>
      <c r="O193" s="110">
        <v>823</v>
      </c>
      <c r="P193" s="111">
        <v>3.14E-3</v>
      </c>
      <c r="Q193" s="111">
        <v>0.39439999999999997</v>
      </c>
      <c r="R193" s="106">
        <f t="shared" si="131"/>
        <v>3.1357794336331129E-3</v>
      </c>
      <c r="S193" s="106">
        <f t="shared" si="132"/>
        <v>0</v>
      </c>
      <c r="T193" s="106">
        <f t="shared" si="132"/>
        <v>0</v>
      </c>
      <c r="U193" s="106">
        <f t="shared" si="133"/>
        <v>-9.8449999999999996E-2</v>
      </c>
      <c r="V193" s="107">
        <f t="shared" si="133"/>
        <v>4.379999999999995E-3</v>
      </c>
    </row>
    <row r="194" spans="1:22">
      <c r="A194" s="160">
        <v>171</v>
      </c>
      <c r="B194" s="100" t="s">
        <v>240</v>
      </c>
      <c r="C194" s="101" t="s">
        <v>104</v>
      </c>
      <c r="D194" s="108">
        <v>54603290.359999999</v>
      </c>
      <c r="E194" s="109">
        <f t="shared" si="144"/>
        <v>4.1706211265072897E-4</v>
      </c>
      <c r="F194" s="108">
        <v>3.27</v>
      </c>
      <c r="G194" s="108">
        <v>3.27</v>
      </c>
      <c r="H194" s="110">
        <v>8</v>
      </c>
      <c r="I194" s="111">
        <v>1.9800000000000002E-2</v>
      </c>
      <c r="J194" s="111">
        <v>0.24399999999999999</v>
      </c>
      <c r="K194" s="108">
        <v>57806573.490000002</v>
      </c>
      <c r="L194" s="139">
        <f t="shared" si="130"/>
        <v>4.2180329431847281E-4</v>
      </c>
      <c r="M194" s="108">
        <v>3.33</v>
      </c>
      <c r="N194" s="108">
        <v>3.33</v>
      </c>
      <c r="O194" s="110">
        <v>8</v>
      </c>
      <c r="P194" s="111">
        <v>6.54E-2</v>
      </c>
      <c r="Q194" s="111">
        <v>0.26929999999999998</v>
      </c>
      <c r="R194" s="106">
        <f t="shared" si="131"/>
        <v>5.8664653885887229E-2</v>
      </c>
      <c r="S194" s="106">
        <f t="shared" si="132"/>
        <v>1.8348623853211024E-2</v>
      </c>
      <c r="T194" s="106">
        <f t="shared" si="132"/>
        <v>0</v>
      </c>
      <c r="U194" s="106">
        <f t="shared" si="133"/>
        <v>4.5600000000000002E-2</v>
      </c>
      <c r="V194" s="107">
        <f t="shared" si="133"/>
        <v>2.5299999999999989E-2</v>
      </c>
    </row>
    <row r="195" spans="1:22">
      <c r="A195" s="160">
        <v>172</v>
      </c>
      <c r="B195" s="100" t="s">
        <v>241</v>
      </c>
      <c r="C195" s="101" t="s">
        <v>44</v>
      </c>
      <c r="D195" s="108">
        <v>594275047.46000004</v>
      </c>
      <c r="E195" s="109">
        <f t="shared" si="144"/>
        <v>4.5390965481238417E-3</v>
      </c>
      <c r="F195" s="108">
        <v>4.47</v>
      </c>
      <c r="G195" s="108">
        <v>4.53</v>
      </c>
      <c r="H195" s="110">
        <v>141</v>
      </c>
      <c r="I195" s="111">
        <v>6.1800000000000001E-2</v>
      </c>
      <c r="J195" s="111">
        <v>0.26640000000000003</v>
      </c>
      <c r="K195" s="108">
        <v>671065597.41999996</v>
      </c>
      <c r="L195" s="139">
        <f t="shared" si="130"/>
        <v>4.8966348047686367E-3</v>
      </c>
      <c r="M195" s="108">
        <v>4.72</v>
      </c>
      <c r="N195" s="108">
        <v>4.66</v>
      </c>
      <c r="O195" s="110">
        <v>141</v>
      </c>
      <c r="P195" s="111">
        <v>5.3100000000000001E-2</v>
      </c>
      <c r="Q195" s="111">
        <v>0.31950000000000001</v>
      </c>
      <c r="R195" s="106">
        <f t="shared" si="131"/>
        <v>0.12921718703858015</v>
      </c>
      <c r="S195" s="106">
        <f t="shared" si="132"/>
        <v>2.8697571743929336E-2</v>
      </c>
      <c r="T195" s="106">
        <f t="shared" si="132"/>
        <v>0</v>
      </c>
      <c r="U195" s="106">
        <f t="shared" si="133"/>
        <v>-8.6999999999999994E-3</v>
      </c>
      <c r="V195" s="107">
        <f t="shared" si="133"/>
        <v>5.3099999999999981E-2</v>
      </c>
    </row>
    <row r="196" spans="1:22">
      <c r="A196" s="160">
        <v>173</v>
      </c>
      <c r="B196" s="100" t="s">
        <v>323</v>
      </c>
      <c r="C196" s="101" t="s">
        <v>324</v>
      </c>
      <c r="D196" s="108">
        <v>204833197.79023701</v>
      </c>
      <c r="E196" s="109">
        <f t="shared" si="144"/>
        <v>1.5645241458559034E-3</v>
      </c>
      <c r="F196" s="108">
        <v>135.08000000000001</v>
      </c>
      <c r="G196" s="108">
        <v>136.01</v>
      </c>
      <c r="H196" s="110">
        <v>113</v>
      </c>
      <c r="I196" s="111">
        <v>9.6500000000000002E-2</v>
      </c>
      <c r="J196" s="111">
        <v>0.1724</v>
      </c>
      <c r="K196" s="108">
        <v>243159748.45988899</v>
      </c>
      <c r="L196" s="109">
        <f t="shared" si="130"/>
        <v>1.7742892677037026E-3</v>
      </c>
      <c r="M196" s="108">
        <v>143.37836606553</v>
      </c>
      <c r="N196" s="108">
        <v>144.41150949772799</v>
      </c>
      <c r="O196" s="110">
        <v>114</v>
      </c>
      <c r="P196" s="111">
        <v>6.1600000000000002E-2</v>
      </c>
      <c r="Q196" s="111">
        <v>0.24379999999999999</v>
      </c>
      <c r="R196" s="106">
        <f t="shared" ref="R196" si="145">((K196-D196)/D196)</f>
        <v>0.18711103025839079</v>
      </c>
      <c r="S196" s="106">
        <f t="shared" ref="S196" si="146">((N196-G196)/G196)</f>
        <v>6.1771263125711351E-2</v>
      </c>
      <c r="T196" s="106">
        <f t="shared" ref="T196" si="147">((O196-H196)/H196)</f>
        <v>8.8495575221238937E-3</v>
      </c>
      <c r="U196" s="106">
        <f t="shared" ref="U196" si="148">P196-I196</f>
        <v>-3.49E-2</v>
      </c>
      <c r="V196" s="107">
        <f t="shared" ref="V196" si="149">Q196-J196</f>
        <v>7.1399999999999991E-2</v>
      </c>
    </row>
    <row r="197" spans="1:22">
      <c r="A197" s="160">
        <v>174</v>
      </c>
      <c r="B197" s="100" t="s">
        <v>242</v>
      </c>
      <c r="C197" s="101" t="s">
        <v>48</v>
      </c>
      <c r="D197" s="116">
        <v>11579962840.030001</v>
      </c>
      <c r="E197" s="109">
        <f t="shared" si="144"/>
        <v>8.8448218681300872E-2</v>
      </c>
      <c r="F197" s="108">
        <v>12701.44</v>
      </c>
      <c r="G197" s="108">
        <v>12822.44</v>
      </c>
      <c r="H197" s="110">
        <v>6428</v>
      </c>
      <c r="I197" s="111">
        <v>5.1999999999999998E-2</v>
      </c>
      <c r="J197" s="111">
        <v>0.31759999999999999</v>
      </c>
      <c r="K197" s="116">
        <v>12393660982.74</v>
      </c>
      <c r="L197" s="109">
        <f t="shared" si="130"/>
        <v>9.0434127393667338E-2</v>
      </c>
      <c r="M197" s="108">
        <v>13189.36</v>
      </c>
      <c r="N197" s="108">
        <v>13315.3</v>
      </c>
      <c r="O197" s="110">
        <v>6677</v>
      </c>
      <c r="P197" s="111">
        <v>3.8399999999999997E-2</v>
      </c>
      <c r="Q197" s="111">
        <v>0.36830000000000002</v>
      </c>
      <c r="R197" s="106">
        <f t="shared" si="131"/>
        <v>7.0267768036109776E-2</v>
      </c>
      <c r="S197" s="106">
        <f t="shared" si="132"/>
        <v>3.8437302104747516E-2</v>
      </c>
      <c r="T197" s="106">
        <f t="shared" si="132"/>
        <v>3.8736776602364652E-2</v>
      </c>
      <c r="U197" s="106">
        <f t="shared" si="133"/>
        <v>-1.3600000000000001E-2</v>
      </c>
      <c r="V197" s="107">
        <f t="shared" si="133"/>
        <v>5.0700000000000023E-2</v>
      </c>
    </row>
    <row r="198" spans="1:22">
      <c r="A198" s="160">
        <v>175</v>
      </c>
      <c r="B198" s="100" t="s">
        <v>243</v>
      </c>
      <c r="C198" s="100" t="s">
        <v>114</v>
      </c>
      <c r="D198" s="116">
        <v>207347535.66999999</v>
      </c>
      <c r="E198" s="109">
        <f t="shared" si="144"/>
        <v>1.5837287590053681E-3</v>
      </c>
      <c r="F198" s="108">
        <v>1748.6288999999999</v>
      </c>
      <c r="G198" s="108">
        <v>1778.6113</v>
      </c>
      <c r="H198" s="110">
        <v>84</v>
      </c>
      <c r="I198" s="111">
        <v>3.4299999999999997E-2</v>
      </c>
      <c r="J198" s="111">
        <v>0.21179999999999999</v>
      </c>
      <c r="K198" s="116">
        <v>219642177.12</v>
      </c>
      <c r="L198" s="109">
        <f t="shared" si="130"/>
        <v>1.6026861356265019E-3</v>
      </c>
      <c r="M198" s="108">
        <v>1799.7727</v>
      </c>
      <c r="N198" s="108">
        <v>1830.3135</v>
      </c>
      <c r="O198" s="110">
        <v>98</v>
      </c>
      <c r="P198" s="111">
        <v>2.92E-2</v>
      </c>
      <c r="Q198" s="111">
        <v>0.248</v>
      </c>
      <c r="R198" s="106">
        <f t="shared" si="131"/>
        <v>5.9294852047662237E-2</v>
      </c>
      <c r="S198" s="106">
        <f t="shared" si="132"/>
        <v>2.9068858384066237E-2</v>
      </c>
      <c r="T198" s="106">
        <f t="shared" si="132"/>
        <v>0.16666666666666666</v>
      </c>
      <c r="U198" s="106">
        <f t="shared" si="133"/>
        <v>-5.0999999999999969E-3</v>
      </c>
      <c r="V198" s="107">
        <f t="shared" si="133"/>
        <v>3.620000000000001E-2</v>
      </c>
    </row>
    <row r="199" spans="1:22">
      <c r="A199" s="160">
        <v>176</v>
      </c>
      <c r="B199" s="100" t="s">
        <v>244</v>
      </c>
      <c r="C199" s="100" t="s">
        <v>94</v>
      </c>
      <c r="D199" s="116">
        <v>839156419.99000001</v>
      </c>
      <c r="E199" s="109">
        <f t="shared" si="144"/>
        <v>6.4095102521849528E-3</v>
      </c>
      <c r="F199" s="108">
        <v>1.5959612400000001</v>
      </c>
      <c r="G199" s="108">
        <v>1.5959612400000001</v>
      </c>
      <c r="H199" s="110">
        <v>47</v>
      </c>
      <c r="I199" s="111">
        <v>1.8E-3</v>
      </c>
      <c r="J199" s="111">
        <v>4.41E-2</v>
      </c>
      <c r="K199" s="116">
        <v>841713052.53999996</v>
      </c>
      <c r="L199" s="109">
        <f t="shared" si="130"/>
        <v>6.1418160080643413E-3</v>
      </c>
      <c r="M199" s="108">
        <v>1.6005192100000001</v>
      </c>
      <c r="N199" s="108">
        <v>1.6005192100000001</v>
      </c>
      <c r="O199" s="110">
        <v>47</v>
      </c>
      <c r="P199" s="111">
        <v>2E-3</v>
      </c>
      <c r="Q199" s="111">
        <v>4.7100000000000003E-2</v>
      </c>
      <c r="R199" s="106">
        <f t="shared" si="131"/>
        <v>3.0466698330573684E-3</v>
      </c>
      <c r="S199" s="106">
        <f t="shared" si="132"/>
        <v>2.8559402858681091E-3</v>
      </c>
      <c r="T199" s="106">
        <f t="shared" si="132"/>
        <v>0</v>
      </c>
      <c r="U199" s="106">
        <f t="shared" si="133"/>
        <v>2.0000000000000009E-4</v>
      </c>
      <c r="V199" s="107">
        <f t="shared" si="133"/>
        <v>3.0000000000000027E-3</v>
      </c>
    </row>
    <row r="200" spans="1:22">
      <c r="A200" s="160">
        <v>177</v>
      </c>
      <c r="B200" s="100" t="s">
        <v>245</v>
      </c>
      <c r="C200" s="101" t="s">
        <v>51</v>
      </c>
      <c r="D200" s="108">
        <v>6914940259.1000004</v>
      </c>
      <c r="E200" s="109">
        <f t="shared" si="144"/>
        <v>5.2816589884965778E-2</v>
      </c>
      <c r="F200" s="108">
        <v>2.8572000000000002</v>
      </c>
      <c r="G200" s="108">
        <v>2.875</v>
      </c>
      <c r="H200" s="110">
        <v>3355</v>
      </c>
      <c r="I200" s="111">
        <v>3.0300000000000001E-2</v>
      </c>
      <c r="J200" s="111">
        <v>0.28639999999999999</v>
      </c>
      <c r="K200" s="108">
        <v>7336216494.6000004</v>
      </c>
      <c r="L200" s="139">
        <f t="shared" si="130"/>
        <v>5.3530941179053076E-2</v>
      </c>
      <c r="M200" s="108">
        <v>2.9345400000000001</v>
      </c>
      <c r="N200" s="108">
        <v>2.95275</v>
      </c>
      <c r="O200" s="110">
        <v>3383</v>
      </c>
      <c r="P200" s="111">
        <v>2.7099999999999999E-2</v>
      </c>
      <c r="Q200" s="111">
        <v>0.32119999999999999</v>
      </c>
      <c r="R200" s="106">
        <f t="shared" si="131"/>
        <v>6.0922613893244298E-2</v>
      </c>
      <c r="S200" s="106">
        <f t="shared" si="132"/>
        <v>2.7043478260869561E-2</v>
      </c>
      <c r="T200" s="106">
        <f t="shared" si="132"/>
        <v>8.34575260804769E-3</v>
      </c>
      <c r="U200" s="106">
        <f t="shared" si="133"/>
        <v>-3.2000000000000015E-3</v>
      </c>
      <c r="V200" s="107">
        <f t="shared" si="133"/>
        <v>3.4799999999999998E-2</v>
      </c>
    </row>
    <row r="201" spans="1:22">
      <c r="A201" s="160">
        <v>178</v>
      </c>
      <c r="B201" s="100" t="s">
        <v>246</v>
      </c>
      <c r="C201" s="101" t="s">
        <v>51</v>
      </c>
      <c r="D201" s="108">
        <v>3981368833.21</v>
      </c>
      <c r="E201" s="109">
        <f t="shared" si="144"/>
        <v>3.0409854165798122E-2</v>
      </c>
      <c r="F201" s="108">
        <v>2.3323999999999998</v>
      </c>
      <c r="G201" s="108">
        <v>2.3498999999999999</v>
      </c>
      <c r="H201" s="110">
        <v>1822</v>
      </c>
      <c r="I201" s="111">
        <v>3.2500000000000001E-2</v>
      </c>
      <c r="J201" s="111">
        <v>0.30480000000000002</v>
      </c>
      <c r="K201" s="108">
        <v>4301242034.4099998</v>
      </c>
      <c r="L201" s="139">
        <f t="shared" si="130"/>
        <v>3.1385324371268626E-2</v>
      </c>
      <c r="M201" s="108">
        <v>2.4150299999999998</v>
      </c>
      <c r="N201" s="108">
        <v>2.43283</v>
      </c>
      <c r="O201" s="110">
        <v>1893</v>
      </c>
      <c r="P201" s="111">
        <v>3.5400000000000001E-2</v>
      </c>
      <c r="Q201" s="111">
        <v>0.35099999999999998</v>
      </c>
      <c r="R201" s="106">
        <f t="shared" si="131"/>
        <v>8.0342519018038405E-2</v>
      </c>
      <c r="S201" s="106">
        <f t="shared" si="132"/>
        <v>3.5290863440997564E-2</v>
      </c>
      <c r="T201" s="106">
        <f t="shared" si="132"/>
        <v>3.8968166849615807E-2</v>
      </c>
      <c r="U201" s="106">
        <f t="shared" si="133"/>
        <v>2.8999999999999998E-3</v>
      </c>
      <c r="V201" s="107">
        <f t="shared" si="133"/>
        <v>4.6199999999999963E-2</v>
      </c>
    </row>
    <row r="202" spans="1:22">
      <c r="A202" s="160">
        <v>179</v>
      </c>
      <c r="B202" s="100" t="s">
        <v>247</v>
      </c>
      <c r="C202" s="101" t="s">
        <v>119</v>
      </c>
      <c r="D202" s="144">
        <v>13551841668.299999</v>
      </c>
      <c r="E202" s="109">
        <f t="shared" si="144"/>
        <v>0.10350950792939316</v>
      </c>
      <c r="F202" s="108">
        <v>857.32</v>
      </c>
      <c r="G202" s="108">
        <v>867</v>
      </c>
      <c r="H202" s="110">
        <v>41</v>
      </c>
      <c r="I202" s="111">
        <v>2.98E-2</v>
      </c>
      <c r="J202" s="111">
        <v>0.24690000000000001</v>
      </c>
      <c r="K202" s="144">
        <v>13990215338.48</v>
      </c>
      <c r="L202" s="139">
        <f t="shared" si="130"/>
        <v>0.10208387319508794</v>
      </c>
      <c r="M202" s="108">
        <v>884.94</v>
      </c>
      <c r="N202" s="108">
        <v>895.1</v>
      </c>
      <c r="O202" s="110">
        <v>41</v>
      </c>
      <c r="P202" s="111">
        <v>3.2300000000000002E-2</v>
      </c>
      <c r="Q202" s="111">
        <v>0.2873</v>
      </c>
      <c r="R202" s="106">
        <f t="shared" si="131"/>
        <v>3.2347903769081726E-2</v>
      </c>
      <c r="S202" s="106">
        <f t="shared" si="132"/>
        <v>3.2410611303344897E-2</v>
      </c>
      <c r="T202" s="106">
        <f t="shared" si="132"/>
        <v>0</v>
      </c>
      <c r="U202" s="106">
        <f t="shared" si="133"/>
        <v>2.5000000000000022E-3</v>
      </c>
      <c r="V202" s="107">
        <f t="shared" si="133"/>
        <v>4.0399999999999991E-2</v>
      </c>
    </row>
    <row r="203" spans="1:22">
      <c r="A203" s="121"/>
      <c r="B203" s="122"/>
      <c r="C203" s="123" t="s">
        <v>54</v>
      </c>
      <c r="D203" s="161">
        <f>SUM(D173:D202)</f>
        <v>130923641116.56393</v>
      </c>
      <c r="E203" s="125">
        <f>(D203/$D$238)</f>
        <v>1.507966050370887E-2</v>
      </c>
      <c r="F203" s="126"/>
      <c r="G203" s="162"/>
      <c r="H203" s="128">
        <f>SUM(H173:H202)</f>
        <v>89729</v>
      </c>
      <c r="I203" s="163"/>
      <c r="J203" s="163"/>
      <c r="K203" s="161">
        <f>SUM(K173:K202)</f>
        <v>137046282636.08223</v>
      </c>
      <c r="L203" s="125">
        <f>(K203/$K$238)</f>
        <v>1.5628652685710655E-2</v>
      </c>
      <c r="M203" s="126"/>
      <c r="N203" s="162"/>
      <c r="O203" s="128">
        <f>SUM(O173:O202)</f>
        <v>90894</v>
      </c>
      <c r="P203" s="163"/>
      <c r="Q203" s="163"/>
      <c r="R203" s="106">
        <f t="shared" ref="R203" si="150">((K203-D203)/D203)</f>
        <v>4.6764980467257133E-2</v>
      </c>
      <c r="S203" s="106" t="e">
        <f t="shared" ref="S203" si="151">((N203-G203)/G203)</f>
        <v>#DIV/0!</v>
      </c>
      <c r="T203" s="106">
        <f t="shared" ref="T203" si="152">((O203-H203)/H203)</f>
        <v>1.2983539323964382E-2</v>
      </c>
      <c r="U203" s="106">
        <f t="shared" ref="U203" si="153">P203-I203</f>
        <v>0</v>
      </c>
      <c r="V203" s="107">
        <f t="shared" ref="V203" si="154">Q203-J203</f>
        <v>0</v>
      </c>
    </row>
    <row r="204" spans="1:22" ht="5.25" customHeight="1">
      <c r="A204" s="121"/>
      <c r="B204" s="130"/>
      <c r="C204" s="130"/>
      <c r="D204" s="130"/>
      <c r="E204" s="130"/>
      <c r="F204" s="130"/>
      <c r="G204" s="130"/>
      <c r="H204" s="130"/>
      <c r="I204" s="130"/>
      <c r="J204" s="130"/>
      <c r="K204" s="130"/>
      <c r="L204" s="130"/>
      <c r="M204" s="130"/>
      <c r="N204" s="130"/>
      <c r="O204" s="130"/>
      <c r="P204" s="130"/>
      <c r="Q204" s="130"/>
      <c r="R204" s="130"/>
      <c r="S204" s="130"/>
      <c r="T204" s="130"/>
      <c r="U204" s="130"/>
      <c r="V204" s="130"/>
    </row>
    <row r="205" spans="1:22" ht="15" customHeight="1">
      <c r="A205" s="155" t="s">
        <v>248</v>
      </c>
      <c r="B205" s="155"/>
      <c r="C205" s="155"/>
      <c r="D205" s="155"/>
      <c r="E205" s="155"/>
      <c r="F205" s="155"/>
      <c r="G205" s="155"/>
      <c r="H205" s="155"/>
      <c r="I205" s="155"/>
      <c r="J205" s="155"/>
      <c r="K205" s="155"/>
      <c r="L205" s="155"/>
      <c r="M205" s="155"/>
      <c r="N205" s="155"/>
      <c r="O205" s="155"/>
      <c r="P205" s="155"/>
      <c r="Q205" s="155"/>
      <c r="R205" s="155"/>
      <c r="S205" s="155"/>
      <c r="T205" s="155"/>
      <c r="U205" s="155"/>
      <c r="V205" s="155"/>
    </row>
    <row r="206" spans="1:22" ht="15" customHeight="1">
      <c r="A206" s="131">
        <v>180</v>
      </c>
      <c r="B206" s="100" t="s">
        <v>328</v>
      </c>
      <c r="C206" s="101" t="s">
        <v>135</v>
      </c>
      <c r="D206" s="164">
        <v>596940718.73000002</v>
      </c>
      <c r="E206" s="109">
        <v>0</v>
      </c>
      <c r="F206" s="165">
        <v>1034.06</v>
      </c>
      <c r="G206" s="165">
        <v>1034.06</v>
      </c>
      <c r="H206" s="110">
        <v>33</v>
      </c>
      <c r="I206" s="111">
        <v>1.7899999999999999E-3</v>
      </c>
      <c r="J206" s="111">
        <v>3.295E-2</v>
      </c>
      <c r="K206" s="164">
        <v>598495072.46000004</v>
      </c>
      <c r="L206" s="139">
        <f>(K206/$K$209)</f>
        <v>3.317465603682649E-2</v>
      </c>
      <c r="M206" s="165">
        <v>1036.76</v>
      </c>
      <c r="N206" s="165">
        <v>1036.76</v>
      </c>
      <c r="O206" s="110">
        <v>33</v>
      </c>
      <c r="P206" s="111">
        <v>1.83E-3</v>
      </c>
      <c r="Q206" s="111">
        <v>3.5639999999999998E-2</v>
      </c>
      <c r="R206" s="106">
        <f>((K206-D206)/D206)</f>
        <v>2.603866148228134E-3</v>
      </c>
      <c r="S206" s="106">
        <f t="shared" ref="S206" si="155">((N206-G206)/G206)</f>
        <v>2.6110670560702915E-3</v>
      </c>
      <c r="T206" s="106">
        <f t="shared" ref="T206" si="156">((O206-H206)/H206)</f>
        <v>0</v>
      </c>
      <c r="U206" s="106">
        <f t="shared" ref="U206" si="157">P206-I206</f>
        <v>4.0000000000000105E-5</v>
      </c>
      <c r="V206" s="107">
        <f t="shared" ref="V206" si="158">Q206-J206</f>
        <v>2.6899999999999979E-3</v>
      </c>
    </row>
    <row r="207" spans="1:22">
      <c r="A207" s="131">
        <v>181</v>
      </c>
      <c r="B207" s="100" t="s">
        <v>249</v>
      </c>
      <c r="C207" s="101" t="s">
        <v>250</v>
      </c>
      <c r="D207" s="164">
        <v>1841039517.4100001</v>
      </c>
      <c r="E207" s="109">
        <f>(D207/$D$209)</f>
        <v>0.11015162749235091</v>
      </c>
      <c r="F207" s="165">
        <v>51.130600000000001</v>
      </c>
      <c r="G207" s="165">
        <v>51.6768</v>
      </c>
      <c r="H207" s="110">
        <v>1335</v>
      </c>
      <c r="I207" s="111">
        <v>2.46E-2</v>
      </c>
      <c r="J207" s="111">
        <v>0.27939999999999998</v>
      </c>
      <c r="K207" s="164">
        <v>1913876373.03</v>
      </c>
      <c r="L207" s="139">
        <f>(K207/$K$209)</f>
        <v>0.10608640454015221</v>
      </c>
      <c r="M207" s="165">
        <v>52.196899999999999</v>
      </c>
      <c r="N207" s="165">
        <v>52.765700000000002</v>
      </c>
      <c r="O207" s="110">
        <v>1337</v>
      </c>
      <c r="P207" s="111">
        <v>2.64E-2</v>
      </c>
      <c r="Q207" s="111">
        <v>0.30620000000000003</v>
      </c>
      <c r="R207" s="106">
        <f>((K207-D207)/D207)</f>
        <v>3.9562896358937359E-2</v>
      </c>
      <c r="S207" s="106">
        <f t="shared" ref="S207:T209" si="159">((N207-G207)/G207)</f>
        <v>2.1071351167254986E-2</v>
      </c>
      <c r="T207" s="106">
        <f t="shared" si="159"/>
        <v>1.4981273408239701E-3</v>
      </c>
      <c r="U207" s="106">
        <f t="shared" ref="U207:V209" si="160">P207-I207</f>
        <v>1.7999999999999995E-3</v>
      </c>
      <c r="V207" s="107">
        <f t="shared" si="160"/>
        <v>2.6800000000000046E-2</v>
      </c>
    </row>
    <row r="208" spans="1:22">
      <c r="A208" s="131">
        <v>182</v>
      </c>
      <c r="B208" s="100" t="s">
        <v>251</v>
      </c>
      <c r="C208" s="101" t="s">
        <v>48</v>
      </c>
      <c r="D208" s="132">
        <v>14275703976.450001</v>
      </c>
      <c r="E208" s="109">
        <f>(D208/$D$209)</f>
        <v>0.85413268522187769</v>
      </c>
      <c r="F208" s="165">
        <v>6.53</v>
      </c>
      <c r="G208" s="165">
        <v>6.62</v>
      </c>
      <c r="H208" s="110">
        <v>14574</v>
      </c>
      <c r="I208" s="111">
        <v>7.2900000000000006E-2</v>
      </c>
      <c r="J208" s="111">
        <v>0.46139999999999998</v>
      </c>
      <c r="K208" s="132">
        <v>15528360364.83</v>
      </c>
      <c r="L208" s="139">
        <f>(K208/$K$209)</f>
        <v>0.86073893942302127</v>
      </c>
      <c r="M208" s="165">
        <v>6.81</v>
      </c>
      <c r="N208" s="165">
        <v>6.91</v>
      </c>
      <c r="O208" s="110">
        <v>14887</v>
      </c>
      <c r="P208" s="111">
        <v>4.3799999999999999E-2</v>
      </c>
      <c r="Q208" s="111">
        <v>0.52539999999999998</v>
      </c>
      <c r="R208" s="106">
        <f>((K208-D208)/D208)</f>
        <v>8.7747433713002962E-2</v>
      </c>
      <c r="S208" s="106">
        <f t="shared" si="159"/>
        <v>4.3806646525679761E-2</v>
      </c>
      <c r="T208" s="106">
        <f t="shared" si="159"/>
        <v>2.1476602168244818E-2</v>
      </c>
      <c r="U208" s="106">
        <f t="shared" si="160"/>
        <v>-2.9100000000000008E-2</v>
      </c>
      <c r="V208" s="107">
        <f t="shared" si="160"/>
        <v>6.4000000000000001E-2</v>
      </c>
    </row>
    <row r="209" spans="1:24">
      <c r="A209" s="121"/>
      <c r="B209" s="122"/>
      <c r="C209" s="153" t="s">
        <v>54</v>
      </c>
      <c r="D209" s="161">
        <f>SUM(D206:D208)</f>
        <v>16713684212.59</v>
      </c>
      <c r="E209" s="125">
        <f>(D209/$D$238)</f>
        <v>1.9250662565033813E-3</v>
      </c>
      <c r="F209" s="126"/>
      <c r="G209" s="162"/>
      <c r="H209" s="128">
        <f>SUM(H206:H208)</f>
        <v>15942</v>
      </c>
      <c r="I209" s="163"/>
      <c r="J209" s="163"/>
      <c r="K209" s="161">
        <f>SUM(K206:K208)</f>
        <v>18040731810.32</v>
      </c>
      <c r="L209" s="125">
        <f>(K209/$K$238)</f>
        <v>2.0573511826530162E-3</v>
      </c>
      <c r="M209" s="126"/>
      <c r="N209" s="162"/>
      <c r="O209" s="128">
        <f>SUM(O206:O208)</f>
        <v>16257</v>
      </c>
      <c r="P209" s="163"/>
      <c r="Q209" s="163"/>
      <c r="R209" s="106">
        <f>((K209-D209)/D209)</f>
        <v>7.9398867469948231E-2</v>
      </c>
      <c r="S209" s="106" t="e">
        <f t="shared" si="159"/>
        <v>#DIV/0!</v>
      </c>
      <c r="T209" s="106">
        <f t="shared" si="159"/>
        <v>1.9759126834776063E-2</v>
      </c>
      <c r="U209" s="106">
        <f t="shared" si="160"/>
        <v>0</v>
      </c>
      <c r="V209" s="107">
        <f t="shared" si="160"/>
        <v>0</v>
      </c>
    </row>
    <row r="210" spans="1:24" ht="6" customHeight="1">
      <c r="A210" s="121"/>
      <c r="B210" s="130"/>
      <c r="C210" s="130"/>
      <c r="D210" s="130"/>
      <c r="E210" s="130"/>
      <c r="F210" s="130"/>
      <c r="G210" s="130"/>
      <c r="H210" s="130"/>
      <c r="I210" s="130"/>
      <c r="J210" s="130"/>
      <c r="K210" s="130"/>
      <c r="L210" s="130"/>
      <c r="M210" s="130"/>
      <c r="N210" s="130"/>
      <c r="O210" s="130"/>
      <c r="P210" s="130"/>
      <c r="Q210" s="130"/>
      <c r="R210" s="130"/>
      <c r="S210" s="130"/>
      <c r="T210" s="130"/>
      <c r="U210" s="130"/>
      <c r="V210" s="130"/>
    </row>
    <row r="211" spans="1:24" ht="15" customHeight="1">
      <c r="A211" s="166" t="s">
        <v>252</v>
      </c>
      <c r="B211" s="166"/>
      <c r="C211" s="166"/>
      <c r="D211" s="166"/>
      <c r="E211" s="166"/>
      <c r="F211" s="166"/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/>
      <c r="U211" s="166"/>
      <c r="V211" s="166"/>
    </row>
    <row r="212" spans="1:24">
      <c r="A212" s="167" t="s">
        <v>253</v>
      </c>
      <c r="B212" s="167"/>
      <c r="C212" s="167"/>
      <c r="D212" s="167"/>
      <c r="E212" s="167"/>
      <c r="F212" s="167"/>
      <c r="G212" s="167"/>
      <c r="H212" s="167"/>
      <c r="I212" s="167"/>
      <c r="J212" s="167"/>
      <c r="K212" s="167"/>
      <c r="L212" s="167"/>
      <c r="M212" s="167"/>
      <c r="N212" s="167"/>
      <c r="O212" s="167"/>
      <c r="P212" s="167"/>
      <c r="Q212" s="167"/>
      <c r="R212" s="167"/>
      <c r="S212" s="167"/>
      <c r="T212" s="167"/>
      <c r="U212" s="167"/>
      <c r="V212" s="167"/>
    </row>
    <row r="213" spans="1:24">
      <c r="A213" s="131">
        <v>183</v>
      </c>
      <c r="B213" s="100" t="s">
        <v>254</v>
      </c>
      <c r="C213" s="101" t="s">
        <v>255</v>
      </c>
      <c r="D213" s="135">
        <v>14725574843.99</v>
      </c>
      <c r="E213" s="109">
        <f>(D213/$D$237)</f>
        <v>0.12213774779442006</v>
      </c>
      <c r="F213" s="168">
        <v>3.85</v>
      </c>
      <c r="G213" s="168">
        <v>3.92</v>
      </c>
      <c r="H213" s="136">
        <v>16241</v>
      </c>
      <c r="I213" s="137">
        <v>4.6199999999999998E-2</v>
      </c>
      <c r="J213" s="137">
        <v>0.30609999999999998</v>
      </c>
      <c r="K213" s="135">
        <v>15307674633.15</v>
      </c>
      <c r="L213" s="109">
        <f>(K213/$K$237)</f>
        <v>0.12154245911313505</v>
      </c>
      <c r="M213" s="168">
        <v>3.97</v>
      </c>
      <c r="N213" s="168">
        <v>4.04</v>
      </c>
      <c r="O213" s="136">
        <v>16241</v>
      </c>
      <c r="P213" s="137">
        <v>3.1300000000000001E-2</v>
      </c>
      <c r="Q213" s="137">
        <v>0.34699999999999998</v>
      </c>
      <c r="R213" s="112">
        <f>((K213-D213)/D213)</f>
        <v>3.9529851657884467E-2</v>
      </c>
      <c r="S213" s="112">
        <f>((N213-G213)/G213)</f>
        <v>3.0612244897959211E-2</v>
      </c>
      <c r="T213" s="112">
        <f>((O213-H213)/H213)</f>
        <v>0</v>
      </c>
      <c r="U213" s="112">
        <f>P213-I213</f>
        <v>-1.4899999999999997E-2</v>
      </c>
      <c r="V213" s="133">
        <f>Q213-J213</f>
        <v>4.0899999999999992E-2</v>
      </c>
    </row>
    <row r="214" spans="1:24">
      <c r="A214" s="131">
        <v>184</v>
      </c>
      <c r="B214" s="100" t="s">
        <v>256</v>
      </c>
      <c r="C214" s="101" t="s">
        <v>48</v>
      </c>
      <c r="D214" s="135">
        <v>24772842395.169998</v>
      </c>
      <c r="E214" s="109">
        <f>(D214/$D$237)</f>
        <v>0.20547239810112264</v>
      </c>
      <c r="F214" s="168">
        <v>1338.65</v>
      </c>
      <c r="G214" s="168">
        <v>1356.07</v>
      </c>
      <c r="H214" s="136">
        <v>6045</v>
      </c>
      <c r="I214" s="137">
        <v>5.9200000000000003E-2</v>
      </c>
      <c r="J214" s="137">
        <v>0.42620000000000002</v>
      </c>
      <c r="K214" s="135">
        <v>28960561634.91</v>
      </c>
      <c r="L214" s="109">
        <f>(K214/$K$237)</f>
        <v>0.22994595604885459</v>
      </c>
      <c r="M214" s="168">
        <v>1431.56</v>
      </c>
      <c r="N214" s="168">
        <v>1450.23</v>
      </c>
      <c r="O214" s="136">
        <v>6427</v>
      </c>
      <c r="P214" s="137">
        <v>6.9400000000000003E-2</v>
      </c>
      <c r="Q214" s="137">
        <v>0.52529999999999999</v>
      </c>
      <c r="R214" s="112">
        <f>((K214-D214)/D214)</f>
        <v>0.16904476171682617</v>
      </c>
      <c r="S214" s="112">
        <f>((N214-G214)/G214)</f>
        <v>6.9435943572234538E-2</v>
      </c>
      <c r="T214" s="112">
        <f>((O214-H214)/H214)</f>
        <v>6.3192721257237391E-2</v>
      </c>
      <c r="U214" s="112">
        <f>P214-I214</f>
        <v>1.0200000000000001E-2</v>
      </c>
      <c r="V214" s="133">
        <f>Q214-J214</f>
        <v>9.9099999999999966E-2</v>
      </c>
    </row>
    <row r="215" spans="1:24" ht="6" customHeight="1">
      <c r="A215" s="152"/>
      <c r="B215" s="130"/>
      <c r="C215" s="130"/>
      <c r="D215" s="130"/>
      <c r="E215" s="130"/>
      <c r="F215" s="130"/>
      <c r="G215" s="130"/>
      <c r="H215" s="130"/>
      <c r="I215" s="130"/>
      <c r="J215" s="130"/>
      <c r="K215" s="130"/>
      <c r="L215" s="130"/>
      <c r="M215" s="130"/>
      <c r="N215" s="130"/>
      <c r="O215" s="130"/>
      <c r="P215" s="130"/>
      <c r="Q215" s="130"/>
      <c r="R215" s="130"/>
      <c r="S215" s="130"/>
      <c r="T215" s="130"/>
      <c r="U215" s="130"/>
      <c r="V215" s="130"/>
    </row>
    <row r="216" spans="1:24" ht="15" customHeight="1">
      <c r="A216" s="167" t="s">
        <v>190</v>
      </c>
      <c r="B216" s="167"/>
      <c r="C216" s="167"/>
      <c r="D216" s="167"/>
      <c r="E216" s="167"/>
      <c r="F216" s="167"/>
      <c r="G216" s="167"/>
      <c r="H216" s="167"/>
      <c r="I216" s="167"/>
      <c r="J216" s="167"/>
      <c r="K216" s="167"/>
      <c r="L216" s="167"/>
      <c r="M216" s="167"/>
      <c r="N216" s="167"/>
      <c r="O216" s="167"/>
      <c r="P216" s="167"/>
      <c r="Q216" s="167"/>
      <c r="R216" s="167"/>
      <c r="S216" s="167"/>
      <c r="T216" s="167"/>
      <c r="U216" s="167"/>
      <c r="V216" s="167"/>
    </row>
    <row r="217" spans="1:24">
      <c r="A217" s="131">
        <v>185</v>
      </c>
      <c r="B217" s="100" t="s">
        <v>257</v>
      </c>
      <c r="C217" s="101" t="s">
        <v>23</v>
      </c>
      <c r="D217" s="116">
        <v>1524266429.22</v>
      </c>
      <c r="E217" s="109">
        <f>(D217/$D$237)</f>
        <v>1.2642662216990192E-2</v>
      </c>
      <c r="F217" s="165">
        <v>1.1789000000000001</v>
      </c>
      <c r="G217" s="165">
        <v>1.1789000000000001</v>
      </c>
      <c r="H217" s="110">
        <v>904</v>
      </c>
      <c r="I217" s="111">
        <v>0.13750000000000001</v>
      </c>
      <c r="J217" s="111">
        <v>0.13289999999999999</v>
      </c>
      <c r="K217" s="116">
        <v>1486333391.53</v>
      </c>
      <c r="L217" s="109">
        <f t="shared" ref="L217:L230" si="161">(K217/$K$237)</f>
        <v>1.1801440767319721E-2</v>
      </c>
      <c r="M217" s="165">
        <v>1.1733</v>
      </c>
      <c r="N217" s="165">
        <v>1.1733</v>
      </c>
      <c r="O217" s="110">
        <v>903</v>
      </c>
      <c r="P217" s="111">
        <v>-0.2477</v>
      </c>
      <c r="Q217" s="111">
        <v>0.1089</v>
      </c>
      <c r="R217" s="106">
        <f>((K217-D217)/D217)</f>
        <v>-2.4886094033712471E-2</v>
      </c>
      <c r="S217" s="106">
        <f>((N217-G217)/G217)</f>
        <v>-4.7501908558826439E-3</v>
      </c>
      <c r="T217" s="106">
        <f>((O217-H217)/H217)</f>
        <v>-1.1061946902654867E-3</v>
      </c>
      <c r="U217" s="106">
        <f>P217-I217</f>
        <v>-0.38519999999999999</v>
      </c>
      <c r="V217" s="107">
        <f>Q217-J217</f>
        <v>-2.3999999999999994E-2</v>
      </c>
      <c r="X217" s="31"/>
    </row>
    <row r="218" spans="1:24">
      <c r="A218" s="131">
        <v>186</v>
      </c>
      <c r="B218" s="100" t="s">
        <v>258</v>
      </c>
      <c r="C218" s="101" t="s">
        <v>259</v>
      </c>
      <c r="D218" s="116">
        <v>372114583.73000002</v>
      </c>
      <c r="E218" s="109">
        <f>(D218/$D$237)</f>
        <v>3.086415142346019E-3</v>
      </c>
      <c r="F218" s="165">
        <v>1136.8599999999999</v>
      </c>
      <c r="G218" s="165">
        <v>1136.8599999999999</v>
      </c>
      <c r="H218" s="110">
        <v>19</v>
      </c>
      <c r="I218" s="111">
        <v>2.3999999999999998E-3</v>
      </c>
      <c r="J218" s="111">
        <v>3.4799999999999998E-2</v>
      </c>
      <c r="K218" s="116">
        <v>372840342.11000001</v>
      </c>
      <c r="L218" s="109">
        <f t="shared" si="161"/>
        <v>2.9603406867883555E-3</v>
      </c>
      <c r="M218" s="165">
        <v>1139.08</v>
      </c>
      <c r="N218" s="165">
        <v>1139.08</v>
      </c>
      <c r="O218" s="110">
        <v>19</v>
      </c>
      <c r="P218" s="111">
        <v>2.3999999999999998E-3</v>
      </c>
      <c r="Q218" s="111">
        <v>3.7199999999999997E-2</v>
      </c>
      <c r="R218" s="106">
        <f>((K218-D218)/D218)</f>
        <v>1.9503626348775223E-3</v>
      </c>
      <c r="S218" s="106">
        <f>((N218-G218)/G218)</f>
        <v>1.9527470400929115E-3</v>
      </c>
      <c r="T218" s="106">
        <f>((O218-H218)/H218)</f>
        <v>0</v>
      </c>
      <c r="U218" s="106">
        <f>P218-I218</f>
        <v>0</v>
      </c>
      <c r="V218" s="107">
        <f>Q218-J218</f>
        <v>2.3999999999999994E-3</v>
      </c>
      <c r="X218" s="31"/>
    </row>
    <row r="219" spans="1:24">
      <c r="A219" s="131">
        <v>187</v>
      </c>
      <c r="B219" s="100" t="s">
        <v>260</v>
      </c>
      <c r="C219" s="101" t="s">
        <v>71</v>
      </c>
      <c r="D219" s="116">
        <v>338180547.04000002</v>
      </c>
      <c r="E219" s="109">
        <f>(D219/$D$237)</f>
        <v>2.804957415988981E-3</v>
      </c>
      <c r="F219" s="165">
        <v>127.83</v>
      </c>
      <c r="G219" s="165">
        <v>127.83</v>
      </c>
      <c r="H219" s="110">
        <v>82</v>
      </c>
      <c r="I219" s="111">
        <v>2.7000000000000001E-3</v>
      </c>
      <c r="J219" s="111">
        <v>0.1482</v>
      </c>
      <c r="K219" s="116">
        <v>337866662.44</v>
      </c>
      <c r="L219" s="109">
        <f t="shared" si="161"/>
        <v>2.6826507611009205E-3</v>
      </c>
      <c r="M219" s="165">
        <v>128.16999999999999</v>
      </c>
      <c r="N219" s="165">
        <v>128.16999999999999</v>
      </c>
      <c r="O219" s="110">
        <v>81</v>
      </c>
      <c r="P219" s="111">
        <v>2.7000000000000001E-3</v>
      </c>
      <c r="Q219" s="111">
        <v>0.1482</v>
      </c>
      <c r="R219" s="106">
        <f t="shared" ref="R219:R238" si="162">((K219-D219)/D219)</f>
        <v>-9.2815687580899658E-4</v>
      </c>
      <c r="S219" s="106">
        <f t="shared" ref="S219:S237" si="163">((N219-G219)/G219)</f>
        <v>2.659782523664157E-3</v>
      </c>
      <c r="T219" s="106">
        <f t="shared" ref="T219:T237" si="164">((O219-H219)/H219)</f>
        <v>-1.2195121951219513E-2</v>
      </c>
      <c r="U219" s="106">
        <f t="shared" ref="U219:U237" si="165">P219-I219</f>
        <v>0</v>
      </c>
      <c r="V219" s="107">
        <f t="shared" ref="V219:V237" si="166">Q219-J219</f>
        <v>0</v>
      </c>
    </row>
    <row r="220" spans="1:24">
      <c r="A220" s="131">
        <v>188</v>
      </c>
      <c r="B220" s="169" t="s">
        <v>261</v>
      </c>
      <c r="C220" s="101" t="s">
        <v>262</v>
      </c>
      <c r="D220" s="116">
        <v>53591033.887712002</v>
      </c>
      <c r="E220" s="109">
        <v>0</v>
      </c>
      <c r="F220" s="165">
        <v>104.795660983508</v>
      </c>
      <c r="G220" s="165">
        <v>104.795660983508</v>
      </c>
      <c r="H220" s="110">
        <v>14</v>
      </c>
      <c r="I220" s="111">
        <v>6.1000000000000004E-3</v>
      </c>
      <c r="J220" s="111">
        <v>4.8000000000000001E-2</v>
      </c>
      <c r="K220" s="116">
        <v>53834668.946750097</v>
      </c>
      <c r="L220" s="109">
        <f t="shared" si="161"/>
        <v>4.2744559223644027E-4</v>
      </c>
      <c r="M220" s="165">
        <v>105.27208204125699</v>
      </c>
      <c r="N220" s="165">
        <v>105.27208204125699</v>
      </c>
      <c r="O220" s="110">
        <v>14</v>
      </c>
      <c r="P220" s="111">
        <v>4.7000000000000002E-3</v>
      </c>
      <c r="Q220" s="111">
        <v>5.2699999999999997E-2</v>
      </c>
      <c r="R220" s="106">
        <f t="shared" si="162"/>
        <v>4.5461906845943268E-3</v>
      </c>
      <c r="S220" s="106">
        <f t="shared" si="163"/>
        <v>4.5461906845930301E-3</v>
      </c>
      <c r="T220" s="106">
        <f t="shared" si="164"/>
        <v>0</v>
      </c>
      <c r="U220" s="106">
        <f t="shared" si="165"/>
        <v>-1.4000000000000002E-3</v>
      </c>
      <c r="V220" s="107">
        <f t="shared" si="166"/>
        <v>4.6999999999999958E-3</v>
      </c>
    </row>
    <row r="221" spans="1:24">
      <c r="A221" s="131">
        <v>189</v>
      </c>
      <c r="B221" s="169" t="s">
        <v>263</v>
      </c>
      <c r="C221" s="101" t="s">
        <v>77</v>
      </c>
      <c r="D221" s="132">
        <v>77328971.379999995</v>
      </c>
      <c r="E221" s="109">
        <f>(D221/$D$237)</f>
        <v>6.4138660145190193E-4</v>
      </c>
      <c r="F221" s="165">
        <v>108.97</v>
      </c>
      <c r="G221" s="165">
        <v>108.97</v>
      </c>
      <c r="H221" s="110">
        <v>17</v>
      </c>
      <c r="I221" s="111">
        <v>1.32E-2</v>
      </c>
      <c r="J221" s="111">
        <v>0.1042</v>
      </c>
      <c r="K221" s="132">
        <v>82697702.370000005</v>
      </c>
      <c r="L221" s="109">
        <f t="shared" si="161"/>
        <v>6.5661717732679514E-4</v>
      </c>
      <c r="M221" s="165">
        <v>110.8</v>
      </c>
      <c r="N221" s="165">
        <v>110.8</v>
      </c>
      <c r="O221" s="110">
        <v>20</v>
      </c>
      <c r="P221" s="111">
        <v>1.8599999999999998E-2</v>
      </c>
      <c r="Q221" s="111">
        <v>0.12280000000000001</v>
      </c>
      <c r="R221" s="106">
        <f t="shared" si="162"/>
        <v>6.942716156946778E-2</v>
      </c>
      <c r="S221" s="106">
        <f t="shared" si="163"/>
        <v>1.6793612920987411E-2</v>
      </c>
      <c r="T221" s="106">
        <f t="shared" si="164"/>
        <v>0.17647058823529413</v>
      </c>
      <c r="U221" s="106">
        <f t="shared" si="165"/>
        <v>5.3999999999999986E-3</v>
      </c>
      <c r="V221" s="107">
        <f t="shared" si="166"/>
        <v>1.8600000000000005E-2</v>
      </c>
    </row>
    <row r="222" spans="1:24">
      <c r="A222" s="131">
        <v>190</v>
      </c>
      <c r="B222" s="100" t="s">
        <v>264</v>
      </c>
      <c r="C222" s="101" t="s">
        <v>80</v>
      </c>
      <c r="D222" s="132">
        <v>324423216.91000003</v>
      </c>
      <c r="E222" s="109">
        <v>0</v>
      </c>
      <c r="F222" s="165">
        <v>1.2104999999999999</v>
      </c>
      <c r="G222" s="165">
        <v>1.2104999999999999</v>
      </c>
      <c r="H222" s="110">
        <v>63</v>
      </c>
      <c r="I222" s="111">
        <v>1.21E-2</v>
      </c>
      <c r="J222" s="111">
        <v>0.13969999999999999</v>
      </c>
      <c r="K222" s="132">
        <v>331717302.37</v>
      </c>
      <c r="L222" s="109">
        <f t="shared" si="161"/>
        <v>2.6338250339547906E-3</v>
      </c>
      <c r="M222" s="165">
        <v>1.22</v>
      </c>
      <c r="N222" s="165">
        <v>1.22</v>
      </c>
      <c r="O222" s="110">
        <v>58</v>
      </c>
      <c r="P222" s="111">
        <v>0</v>
      </c>
      <c r="Q222" s="111">
        <v>0.13969999999999999</v>
      </c>
      <c r="R222" s="106">
        <f t="shared" ref="R222:R223" si="167">((K222-D222)/D222)</f>
        <v>2.2483241271920036E-2</v>
      </c>
      <c r="S222" s="106">
        <f t="shared" ref="S222:S223" si="168">((N222-G222)/G222)</f>
        <v>7.8479966955803913E-3</v>
      </c>
      <c r="T222" s="106">
        <f t="shared" ref="T222" si="169">((O222-H222)/H222)</f>
        <v>-7.9365079365079361E-2</v>
      </c>
      <c r="U222" s="106">
        <f t="shared" ref="U222" si="170">P222-I222</f>
        <v>-1.21E-2</v>
      </c>
      <c r="V222" s="107">
        <f t="shared" ref="V222" si="171">Q222-J222</f>
        <v>0</v>
      </c>
    </row>
    <row r="223" spans="1:24">
      <c r="A223" s="131">
        <v>191</v>
      </c>
      <c r="B223" s="100" t="s">
        <v>265</v>
      </c>
      <c r="C223" s="101" t="s">
        <v>82</v>
      </c>
      <c r="D223" s="116">
        <v>5935934525.4300003</v>
      </c>
      <c r="E223" s="109">
        <f t="shared" ref="E223:E230" si="172">(D223/$D$237)</f>
        <v>4.9234184856766894E-2</v>
      </c>
      <c r="F223" s="165">
        <v>147.99</v>
      </c>
      <c r="G223" s="165">
        <v>147.99</v>
      </c>
      <c r="H223" s="110">
        <v>806</v>
      </c>
      <c r="I223" s="111">
        <v>2.5000000000000001E-3</v>
      </c>
      <c r="J223" s="111">
        <v>4.0099999999999997E-2</v>
      </c>
      <c r="K223" s="116">
        <v>5918158661.7600002</v>
      </c>
      <c r="L223" s="109">
        <f t="shared" si="161"/>
        <v>4.6989995176294937E-2</v>
      </c>
      <c r="M223" s="165">
        <v>148.38</v>
      </c>
      <c r="N223" s="165">
        <v>148.38</v>
      </c>
      <c r="O223" s="110">
        <v>808</v>
      </c>
      <c r="P223" s="111">
        <v>2.5999999999999999E-3</v>
      </c>
      <c r="Q223" s="111">
        <v>4.2799999999999998E-2</v>
      </c>
      <c r="R223" s="106">
        <f t="shared" si="167"/>
        <v>-2.9946192286735827E-3</v>
      </c>
      <c r="S223" s="106">
        <f t="shared" si="168"/>
        <v>2.6353131968375318E-3</v>
      </c>
      <c r="T223" s="106">
        <f t="shared" si="164"/>
        <v>2.4813895781637717E-3</v>
      </c>
      <c r="U223" s="106">
        <f t="shared" si="165"/>
        <v>9.9999999999999829E-5</v>
      </c>
      <c r="V223" s="107">
        <f t="shared" si="166"/>
        <v>2.700000000000001E-3</v>
      </c>
    </row>
    <row r="224" spans="1:24">
      <c r="A224" s="131">
        <v>192</v>
      </c>
      <c r="B224" s="100" t="s">
        <v>266</v>
      </c>
      <c r="C224" s="101" t="s">
        <v>69</v>
      </c>
      <c r="D224" s="116">
        <v>987768380.937204</v>
      </c>
      <c r="E224" s="109">
        <f t="shared" si="172"/>
        <v>8.1928078644379464E-3</v>
      </c>
      <c r="F224" s="115">
        <v>1370.59185523416</v>
      </c>
      <c r="G224" s="115">
        <v>1370.59185523416</v>
      </c>
      <c r="H224" s="110">
        <v>354</v>
      </c>
      <c r="I224" s="111">
        <v>0.1179</v>
      </c>
      <c r="J224" s="111">
        <v>0.1178</v>
      </c>
      <c r="K224" s="116">
        <v>998935233.041574</v>
      </c>
      <c r="L224" s="109">
        <f t="shared" si="161"/>
        <v>7.9315145917522849E-3</v>
      </c>
      <c r="M224" s="115">
        <v>1373.80247777819</v>
      </c>
      <c r="N224" s="115">
        <v>1373.80247777819</v>
      </c>
      <c r="O224" s="110">
        <v>351</v>
      </c>
      <c r="P224" s="111">
        <v>0.1221</v>
      </c>
      <c r="Q224" s="111">
        <v>0.1183</v>
      </c>
      <c r="R224" s="106">
        <f t="shared" si="162"/>
        <v>1.1305132174584068E-2</v>
      </c>
      <c r="S224" s="106">
        <f t="shared" si="163"/>
        <v>2.3425081155771794E-3</v>
      </c>
      <c r="T224" s="106">
        <f t="shared" si="164"/>
        <v>-8.4745762711864406E-3</v>
      </c>
      <c r="U224" s="106">
        <f t="shared" si="165"/>
        <v>4.1999999999999954E-3</v>
      </c>
      <c r="V224" s="107">
        <f t="shared" si="166"/>
        <v>5.0000000000000044E-4</v>
      </c>
    </row>
    <row r="225" spans="1:26">
      <c r="A225" s="131">
        <v>193</v>
      </c>
      <c r="B225" s="100" t="s">
        <v>267</v>
      </c>
      <c r="C225" s="101" t="s">
        <v>255</v>
      </c>
      <c r="D225" s="116">
        <v>45580733776.050003</v>
      </c>
      <c r="E225" s="109">
        <f t="shared" si="172"/>
        <v>0.37805846122848852</v>
      </c>
      <c r="F225" s="115">
        <v>1278.31</v>
      </c>
      <c r="G225" s="115">
        <v>1278.31</v>
      </c>
      <c r="H225" s="110">
        <v>13004</v>
      </c>
      <c r="I225" s="111">
        <v>-2.6599999999999999E-2</v>
      </c>
      <c r="J225" s="111">
        <v>4.4499999999999998E-2</v>
      </c>
      <c r="K225" s="116">
        <v>45320497371.629997</v>
      </c>
      <c r="L225" s="109">
        <f t="shared" si="161"/>
        <v>0.35984333550240721</v>
      </c>
      <c r="M225" s="115">
        <v>1282.93</v>
      </c>
      <c r="N225" s="115">
        <v>1282.93</v>
      </c>
      <c r="O225" s="110">
        <v>13004</v>
      </c>
      <c r="P225" s="111">
        <v>3.5999999999999999E-3</v>
      </c>
      <c r="Q225" s="111">
        <v>4.8099999999999997E-2</v>
      </c>
      <c r="R225" s="106">
        <f t="shared" si="162"/>
        <v>-5.7093509222254941E-3</v>
      </c>
      <c r="S225" s="106">
        <f t="shared" si="163"/>
        <v>3.6141468032011943E-3</v>
      </c>
      <c r="T225" s="106">
        <f t="shared" si="164"/>
        <v>0</v>
      </c>
      <c r="U225" s="106">
        <f t="shared" si="165"/>
        <v>3.0199999999999998E-2</v>
      </c>
      <c r="V225" s="107">
        <f t="shared" si="166"/>
        <v>3.599999999999999E-3</v>
      </c>
    </row>
    <row r="226" spans="1:26">
      <c r="A226" s="131">
        <v>194</v>
      </c>
      <c r="B226" s="100" t="s">
        <v>268</v>
      </c>
      <c r="C226" s="101" t="s">
        <v>269</v>
      </c>
      <c r="D226" s="116">
        <v>525384692.69999999</v>
      </c>
      <c r="E226" s="109">
        <f t="shared" si="172"/>
        <v>4.3576772908278773E-3</v>
      </c>
      <c r="F226" s="168">
        <v>135.82</v>
      </c>
      <c r="G226" s="168">
        <v>136.29</v>
      </c>
      <c r="H226" s="136">
        <v>140</v>
      </c>
      <c r="I226" s="111">
        <v>2.8999999999999998E-3</v>
      </c>
      <c r="J226" s="111">
        <v>0.1172</v>
      </c>
      <c r="K226" s="116">
        <v>532547424</v>
      </c>
      <c r="L226" s="109">
        <f t="shared" si="161"/>
        <v>4.2284099354420301E-3</v>
      </c>
      <c r="M226" s="168">
        <v>137.66</v>
      </c>
      <c r="N226" s="168">
        <v>138.16</v>
      </c>
      <c r="O226" s="136">
        <v>139</v>
      </c>
      <c r="P226" s="111">
        <v>1.37E-2</v>
      </c>
      <c r="Q226" s="111">
        <v>0.13250000000000001</v>
      </c>
      <c r="R226" s="106">
        <f>((K226-D226)/D226)</f>
        <v>1.3633307935162863E-2</v>
      </c>
      <c r="S226" s="106">
        <f t="shared" si="163"/>
        <v>1.372074253430189E-2</v>
      </c>
      <c r="T226" s="106">
        <f t="shared" si="164"/>
        <v>-7.1428571428571426E-3</v>
      </c>
      <c r="U226" s="106">
        <f t="shared" si="165"/>
        <v>1.0800000000000001E-2</v>
      </c>
      <c r="V226" s="107">
        <f t="shared" si="166"/>
        <v>1.5300000000000008E-2</v>
      </c>
    </row>
    <row r="227" spans="1:26">
      <c r="A227" s="131">
        <v>195</v>
      </c>
      <c r="B227" s="100" t="s">
        <v>270</v>
      </c>
      <c r="C227" s="101" t="s">
        <v>269</v>
      </c>
      <c r="D227" s="116">
        <v>938030186.65999997</v>
      </c>
      <c r="E227" s="109">
        <f t="shared" si="172"/>
        <v>7.7802663444810271E-3</v>
      </c>
      <c r="F227" s="168">
        <v>142.96</v>
      </c>
      <c r="G227" s="168">
        <v>142.96</v>
      </c>
      <c r="H227" s="136">
        <v>133</v>
      </c>
      <c r="I227" s="111">
        <v>-4.3E-3</v>
      </c>
      <c r="J227" s="111">
        <v>5.4199999999999998E-2</v>
      </c>
      <c r="K227" s="116">
        <v>932613267.39999998</v>
      </c>
      <c r="L227" s="109">
        <f t="shared" si="161"/>
        <v>7.4049202532603274E-3</v>
      </c>
      <c r="M227" s="168">
        <v>143.55000000000001</v>
      </c>
      <c r="N227" s="168">
        <v>143.55000000000001</v>
      </c>
      <c r="O227" s="136">
        <v>131</v>
      </c>
      <c r="P227" s="111">
        <v>4.1000000000000003E-3</v>
      </c>
      <c r="Q227" s="111">
        <v>5.8500000000000003E-2</v>
      </c>
      <c r="R227" s="106">
        <f t="shared" si="162"/>
        <v>-5.7747813844752274E-3</v>
      </c>
      <c r="S227" s="106">
        <f t="shared" si="163"/>
        <v>4.1270285394516184E-3</v>
      </c>
      <c r="T227" s="106">
        <f t="shared" si="164"/>
        <v>-1.5037593984962405E-2</v>
      </c>
      <c r="U227" s="106">
        <f t="shared" si="165"/>
        <v>8.4000000000000012E-3</v>
      </c>
      <c r="V227" s="107">
        <f t="shared" si="166"/>
        <v>4.3000000000000052E-3</v>
      </c>
    </row>
    <row r="228" spans="1:26" ht="13.5" customHeight="1">
      <c r="A228" s="131">
        <v>196</v>
      </c>
      <c r="B228" s="100" t="s">
        <v>271</v>
      </c>
      <c r="C228" s="101" t="s">
        <v>102</v>
      </c>
      <c r="D228" s="116">
        <v>3337672038</v>
      </c>
      <c r="E228" s="109">
        <f t="shared" si="172"/>
        <v>2.7683519992709144E-2</v>
      </c>
      <c r="F228" s="143">
        <v>105.22</v>
      </c>
      <c r="G228" s="143">
        <v>105.22</v>
      </c>
      <c r="H228" s="110">
        <v>871</v>
      </c>
      <c r="I228" s="111">
        <v>3.0999999999999999E-3</v>
      </c>
      <c r="J228" s="111">
        <v>0.17419999999999999</v>
      </c>
      <c r="K228" s="116">
        <v>3438972699</v>
      </c>
      <c r="L228" s="109">
        <f t="shared" si="161"/>
        <v>2.7305335962277594E-2</v>
      </c>
      <c r="M228" s="143">
        <v>105.58</v>
      </c>
      <c r="N228" s="143">
        <v>105.58</v>
      </c>
      <c r="O228" s="110">
        <v>880</v>
      </c>
      <c r="P228" s="111">
        <v>3.3999999999999998E-3</v>
      </c>
      <c r="Q228" s="111">
        <v>0.17449999999999999</v>
      </c>
      <c r="R228" s="106">
        <f t="shared" si="162"/>
        <v>3.0350693491353747E-2</v>
      </c>
      <c r="S228" s="106">
        <f t="shared" si="163"/>
        <v>3.4214027751378012E-3</v>
      </c>
      <c r="T228" s="106">
        <f t="shared" si="164"/>
        <v>1.0332950631458095E-2</v>
      </c>
      <c r="U228" s="106">
        <f t="shared" si="165"/>
        <v>2.9999999999999992E-4</v>
      </c>
      <c r="V228" s="107">
        <f t="shared" si="166"/>
        <v>2.9999999999999472E-4</v>
      </c>
    </row>
    <row r="229" spans="1:26" ht="15.75" customHeight="1">
      <c r="A229" s="131">
        <v>197</v>
      </c>
      <c r="B229" s="100" t="s">
        <v>272</v>
      </c>
      <c r="C229" s="101" t="s">
        <v>48</v>
      </c>
      <c r="D229" s="116">
        <v>2528009680.7199998</v>
      </c>
      <c r="E229" s="109">
        <f t="shared" si="172"/>
        <v>2.0967969812849055E-2</v>
      </c>
      <c r="F229" s="143">
        <v>152.84</v>
      </c>
      <c r="G229" s="143">
        <v>152.84</v>
      </c>
      <c r="H229" s="110">
        <v>2704</v>
      </c>
      <c r="I229" s="111">
        <v>2.3999999999999998E-3</v>
      </c>
      <c r="J229" s="111">
        <v>0.19350000000000001</v>
      </c>
      <c r="K229" s="116">
        <v>2551861428.79</v>
      </c>
      <c r="L229" s="109">
        <f t="shared" si="161"/>
        <v>2.0261700147416226E-2</v>
      </c>
      <c r="M229" s="143">
        <v>152.44</v>
      </c>
      <c r="N229" s="143">
        <v>152.44</v>
      </c>
      <c r="O229" s="110">
        <v>2756</v>
      </c>
      <c r="P229" s="111">
        <v>-2.5999999999999999E-3</v>
      </c>
      <c r="Q229" s="111">
        <v>0.17780000000000001</v>
      </c>
      <c r="R229" s="106">
        <f t="shared" si="162"/>
        <v>9.4349907960823085E-3</v>
      </c>
      <c r="S229" s="106">
        <f t="shared" si="163"/>
        <v>-2.6171159382361009E-3</v>
      </c>
      <c r="T229" s="106">
        <f t="shared" si="164"/>
        <v>1.9230769230769232E-2</v>
      </c>
      <c r="U229" s="106">
        <f t="shared" si="165"/>
        <v>-4.9999999999999992E-3</v>
      </c>
      <c r="V229" s="107">
        <f t="shared" si="166"/>
        <v>-1.5699999999999992E-2</v>
      </c>
    </row>
    <row r="230" spans="1:26">
      <c r="A230" s="131">
        <v>198</v>
      </c>
      <c r="B230" s="100" t="s">
        <v>273</v>
      </c>
      <c r="C230" s="101" t="s">
        <v>51</v>
      </c>
      <c r="D230" s="116">
        <v>4180343540.6399999</v>
      </c>
      <c r="E230" s="109">
        <f t="shared" si="172"/>
        <v>3.467285660967627E-2</v>
      </c>
      <c r="F230" s="143">
        <v>1.2613000000000001</v>
      </c>
      <c r="G230" s="143">
        <v>1.2613000000000001</v>
      </c>
      <c r="H230" s="110">
        <v>2194</v>
      </c>
      <c r="I230" s="111">
        <v>2E-3</v>
      </c>
      <c r="J230" s="111">
        <v>8.8400000000000006E-2</v>
      </c>
      <c r="K230" s="116">
        <v>4104162783.1599998</v>
      </c>
      <c r="L230" s="109">
        <f t="shared" si="161"/>
        <v>3.2586924482025395E-2</v>
      </c>
      <c r="M230" s="143">
        <v>1.2640400000000001</v>
      </c>
      <c r="N230" s="143">
        <v>1.2640400000000001</v>
      </c>
      <c r="O230" s="110">
        <v>2203</v>
      </c>
      <c r="P230" s="111">
        <v>2.2000000000000001E-3</v>
      </c>
      <c r="Q230" s="111">
        <v>9.0499999999999997E-2</v>
      </c>
      <c r="R230" s="106">
        <f t="shared" si="162"/>
        <v>-1.8223563862489862E-2</v>
      </c>
      <c r="S230" s="106">
        <f t="shared" si="163"/>
        <v>2.1723618488860416E-3</v>
      </c>
      <c r="T230" s="106">
        <f t="shared" si="164"/>
        <v>4.1020966271649957E-3</v>
      </c>
      <c r="U230" s="106">
        <f t="shared" si="165"/>
        <v>2.0000000000000009E-4</v>
      </c>
      <c r="V230" s="107">
        <f t="shared" si="166"/>
        <v>2.0999999999999908E-3</v>
      </c>
    </row>
    <row r="231" spans="1:26" ht="6" customHeight="1">
      <c r="A231" s="121"/>
      <c r="B231" s="130"/>
      <c r="C231" s="130"/>
      <c r="D231" s="130"/>
      <c r="E231" s="130"/>
      <c r="F231" s="130"/>
      <c r="G231" s="130"/>
      <c r="H231" s="130"/>
      <c r="I231" s="130"/>
      <c r="J231" s="130"/>
      <c r="K231" s="130"/>
      <c r="L231" s="130"/>
      <c r="M231" s="130"/>
      <c r="N231" s="130"/>
      <c r="O231" s="130"/>
      <c r="P231" s="130"/>
      <c r="Q231" s="130"/>
      <c r="R231" s="130"/>
      <c r="S231" s="130"/>
      <c r="T231" s="130"/>
      <c r="U231" s="130"/>
      <c r="V231" s="130"/>
    </row>
    <row r="232" spans="1:26">
      <c r="A232" s="167" t="s">
        <v>274</v>
      </c>
      <c r="B232" s="167"/>
      <c r="C232" s="167"/>
      <c r="D232" s="167"/>
      <c r="E232" s="167"/>
      <c r="F232" s="167"/>
      <c r="G232" s="167"/>
      <c r="H232" s="167"/>
      <c r="I232" s="167"/>
      <c r="J232" s="167"/>
      <c r="K232" s="167"/>
      <c r="L232" s="167"/>
      <c r="M232" s="167"/>
      <c r="N232" s="167"/>
      <c r="O232" s="167"/>
      <c r="P232" s="167"/>
      <c r="Q232" s="167"/>
      <c r="R232" s="167"/>
      <c r="S232" s="167"/>
      <c r="T232" s="167"/>
      <c r="U232" s="167"/>
      <c r="V232" s="167"/>
    </row>
    <row r="233" spans="1:26">
      <c r="A233" s="131">
        <v>199</v>
      </c>
      <c r="B233" s="100" t="s">
        <v>275</v>
      </c>
      <c r="C233" s="101" t="s">
        <v>19</v>
      </c>
      <c r="D233" s="164">
        <v>565310274.96000004</v>
      </c>
      <c r="E233" s="109">
        <f>(D233/$D$209)</f>
        <v>3.3823199467545639E-2</v>
      </c>
      <c r="F233" s="165">
        <v>116.1523</v>
      </c>
      <c r="G233" s="165">
        <v>116.1523</v>
      </c>
      <c r="H233" s="104">
        <v>110</v>
      </c>
      <c r="I233" s="105">
        <v>4.3E-3</v>
      </c>
      <c r="J233" s="105">
        <v>0.1075</v>
      </c>
      <c r="K233" s="164">
        <v>559482878.69000006</v>
      </c>
      <c r="L233" s="139">
        <f>(K233/K234)</f>
        <v>3.9777682723066775E-2</v>
      </c>
      <c r="M233" s="165">
        <v>116.5693</v>
      </c>
      <c r="N233" s="165">
        <v>116.5693</v>
      </c>
      <c r="O233" s="104">
        <v>110</v>
      </c>
      <c r="P233" s="105">
        <v>3.5999999999999999E-3</v>
      </c>
      <c r="Q233" s="105">
        <v>0.1115</v>
      </c>
      <c r="R233" s="106">
        <f>((K233-D233)/D233)</f>
        <v>-1.0308314792991005E-2</v>
      </c>
      <c r="S233" s="106">
        <f t="shared" ref="S233" si="173">((N233-G233)/G233)</f>
        <v>3.5901140141004666E-3</v>
      </c>
      <c r="T233" s="106">
        <f t="shared" ref="T233" si="174">((O233-H233)/H233)</f>
        <v>0</v>
      </c>
      <c r="U233" s="106">
        <f t="shared" ref="U233" si="175">P233-I233</f>
        <v>-7.000000000000001E-4</v>
      </c>
      <c r="V233" s="107">
        <f t="shared" ref="V233" si="176">Q233-J233</f>
        <v>4.0000000000000036E-3</v>
      </c>
    </row>
    <row r="234" spans="1:26">
      <c r="A234" s="131">
        <v>200</v>
      </c>
      <c r="B234" s="100" t="s">
        <v>276</v>
      </c>
      <c r="C234" s="101" t="s">
        <v>23</v>
      </c>
      <c r="D234" s="164">
        <v>13215436098.58</v>
      </c>
      <c r="E234" s="109">
        <f>(D234/$D$209)</f>
        <v>0.79069557199274731</v>
      </c>
      <c r="F234" s="165">
        <v>138.97710000000001</v>
      </c>
      <c r="G234" s="165">
        <v>143.16739999999999</v>
      </c>
      <c r="H234" s="104">
        <v>5985</v>
      </c>
      <c r="I234" s="105">
        <v>3.8399999999999997E-2</v>
      </c>
      <c r="J234" s="105">
        <v>0.33460000000000001</v>
      </c>
      <c r="K234" s="164">
        <v>14065245645.030001</v>
      </c>
      <c r="L234" s="139">
        <f>(K234/$K$209)</f>
        <v>0.77963830918345189</v>
      </c>
      <c r="M234" s="165">
        <v>143.01079999999999</v>
      </c>
      <c r="N234" s="165">
        <v>147.32259999999999</v>
      </c>
      <c r="O234" s="104">
        <v>6182</v>
      </c>
      <c r="P234" s="105">
        <v>2.9023367051437744E-2</v>
      </c>
      <c r="Q234" s="105">
        <v>0.37334534010485404</v>
      </c>
      <c r="R234" s="106">
        <f>((K234-D234)/D234)</f>
        <v>6.4304313539930241E-2</v>
      </c>
      <c r="S234" s="106">
        <f t="shared" ref="S234" si="177">((N234-G234)/G234)</f>
        <v>2.9023367051437744E-2</v>
      </c>
      <c r="T234" s="106">
        <f t="shared" ref="T234" si="178">((O234-H234)/H234)</f>
        <v>3.2915622389306599E-2</v>
      </c>
      <c r="U234" s="106">
        <f t="shared" ref="U234" si="179">P234-I234</f>
        <v>-9.3766329485622524E-3</v>
      </c>
      <c r="V234" s="107">
        <f t="shared" ref="V234" si="180">Q234-J234</f>
        <v>3.8745340104854031E-2</v>
      </c>
      <c r="X234" s="41"/>
      <c r="Y234" s="41"/>
      <c r="Z234" s="54"/>
    </row>
    <row r="235" spans="1:26">
      <c r="A235" s="131">
        <v>201</v>
      </c>
      <c r="B235" s="100" t="s">
        <v>277</v>
      </c>
      <c r="C235" s="101" t="s">
        <v>255</v>
      </c>
      <c r="D235" s="116">
        <v>391955302.94999999</v>
      </c>
      <c r="E235" s="109">
        <f t="shared" ref="E235" si="181">(D235/$D$237)</f>
        <v>3.250979228015061E-3</v>
      </c>
      <c r="F235" s="115">
        <v>1615.15</v>
      </c>
      <c r="G235" s="115">
        <v>1615.15</v>
      </c>
      <c r="H235" s="110">
        <v>146</v>
      </c>
      <c r="I235" s="111">
        <v>8.6999999999999994E-2</v>
      </c>
      <c r="J235" s="111">
        <v>0.29649999999999999</v>
      </c>
      <c r="K235" s="116">
        <v>397582138.56</v>
      </c>
      <c r="L235" s="109">
        <f t="shared" ref="L235" si="182">(K235/$K$237)</f>
        <v>3.1567897788599463E-3</v>
      </c>
      <c r="M235" s="115">
        <v>1638.27</v>
      </c>
      <c r="N235" s="115">
        <v>1638.27</v>
      </c>
      <c r="O235" s="110">
        <v>146</v>
      </c>
      <c r="P235" s="111">
        <v>1.24E-2</v>
      </c>
      <c r="Q235" s="111">
        <v>0.31269999999999998</v>
      </c>
      <c r="R235" s="106">
        <f t="shared" ref="R235" si="183">((K235-D235)/D235)</f>
        <v>1.4355809368186569E-2</v>
      </c>
      <c r="S235" s="106">
        <f t="shared" ref="S235" si="184">((N235-G235)/G235)</f>
        <v>1.4314459957279441E-2</v>
      </c>
      <c r="T235" s="106">
        <f t="shared" ref="T235" si="185">((O235-H235)/H235)</f>
        <v>0</v>
      </c>
      <c r="U235" s="106">
        <f t="shared" ref="U235" si="186">P235-I235</f>
        <v>-7.46E-2</v>
      </c>
      <c r="V235" s="107">
        <f t="shared" ref="V235" si="187">Q235-J235</f>
        <v>1.6199999999999992E-2</v>
      </c>
    </row>
    <row r="236" spans="1:26">
      <c r="A236" s="131">
        <v>202</v>
      </c>
      <c r="B236" s="100" t="s">
        <v>278</v>
      </c>
      <c r="C236" s="101" t="s">
        <v>279</v>
      </c>
      <c r="D236" s="116">
        <v>190404719.65000001</v>
      </c>
      <c r="E236" s="109">
        <f t="shared" ref="E236" si="188">(D236/$D$237)</f>
        <v>1.5792662679630703E-3</v>
      </c>
      <c r="F236" s="115">
        <v>124.92</v>
      </c>
      <c r="G236" s="115">
        <v>124.49</v>
      </c>
      <c r="H236" s="110">
        <v>307</v>
      </c>
      <c r="I236" s="111">
        <v>4.0000000000000001E-3</v>
      </c>
      <c r="J236" s="111">
        <v>0.14580000000000001</v>
      </c>
      <c r="K236" s="116">
        <v>191493281.61000001</v>
      </c>
      <c r="L236" s="109">
        <f t="shared" ref="L236" si="189">(K236/$K$237)</f>
        <v>1.5204506829613782E-3</v>
      </c>
      <c r="M236" s="115">
        <v>125.44</v>
      </c>
      <c r="N236" s="115">
        <v>128.02000000000001</v>
      </c>
      <c r="O236" s="110">
        <v>305</v>
      </c>
      <c r="P236" s="111">
        <v>4.1999999999999997E-3</v>
      </c>
      <c r="Q236" s="111">
        <v>0.1502</v>
      </c>
      <c r="R236" s="106">
        <f t="shared" ref="R236" si="190">((K236-D236)/D236)</f>
        <v>5.71709546906711E-3</v>
      </c>
      <c r="S236" s="106">
        <f t="shared" ref="S236" si="191">((N236-G236)/G236)</f>
        <v>2.8355691220178451E-2</v>
      </c>
      <c r="T236" s="106">
        <f t="shared" ref="T236" si="192">((O236-H236)/H236)</f>
        <v>-6.5146579804560263E-3</v>
      </c>
      <c r="U236" s="106">
        <f t="shared" ref="U236" si="193">P236-I236</f>
        <v>1.9999999999999966E-4</v>
      </c>
      <c r="V236" s="107">
        <f t="shared" ref="V236" si="194">Q236-J236</f>
        <v>4.3999999999999873E-3</v>
      </c>
    </row>
    <row r="237" spans="1:26">
      <c r="A237" s="121"/>
      <c r="B237" s="122"/>
      <c r="C237" s="153" t="s">
        <v>54</v>
      </c>
      <c r="D237" s="141">
        <f>SUM(D213:D236)</f>
        <v>120565305238.60492</v>
      </c>
      <c r="E237" s="125">
        <f>(D237/$D$238)</f>
        <v>1.3886597225825076E-2</v>
      </c>
      <c r="F237" s="126"/>
      <c r="G237" s="158"/>
      <c r="H237" s="170">
        <f>SUM(H213:H236)</f>
        <v>50139</v>
      </c>
      <c r="I237" s="159"/>
      <c r="J237" s="159"/>
      <c r="K237" s="141">
        <f>SUM(K213:K236)</f>
        <v>125945079150.49832</v>
      </c>
      <c r="L237" s="125">
        <f>(K237/$K$238)</f>
        <v>1.4362679976838998E-2</v>
      </c>
      <c r="M237" s="126"/>
      <c r="N237" s="158"/>
      <c r="O237" s="128">
        <f>SUM(O213:O236)</f>
        <v>50778</v>
      </c>
      <c r="P237" s="159"/>
      <c r="Q237" s="159"/>
      <c r="R237" s="106">
        <f t="shared" si="162"/>
        <v>4.4621244073878082E-2</v>
      </c>
      <c r="S237" s="106" t="e">
        <f t="shared" si="163"/>
        <v>#DIV/0!</v>
      </c>
      <c r="T237" s="106">
        <f t="shared" si="164"/>
        <v>1.2744570095135523E-2</v>
      </c>
      <c r="U237" s="106">
        <f t="shared" si="165"/>
        <v>0</v>
      </c>
      <c r="V237" s="107">
        <f t="shared" si="166"/>
        <v>0</v>
      </c>
    </row>
    <row r="238" spans="1:26">
      <c r="A238" s="171"/>
      <c r="B238" s="171"/>
      <c r="C238" s="172" t="s">
        <v>280</v>
      </c>
      <c r="D238" s="173">
        <f>SUM(D26,D76,D117,D161,D170,D203,D209,D237)</f>
        <v>8682134527124.3359</v>
      </c>
      <c r="E238" s="174"/>
      <c r="F238" s="174"/>
      <c r="G238" s="175"/>
      <c r="H238" s="173">
        <f>SUM(H26,H76,H117,H161,H170,H203,H209,H237)</f>
        <v>1302685</v>
      </c>
      <c r="I238" s="176"/>
      <c r="J238" s="176"/>
      <c r="K238" s="173">
        <f>SUM(K26,K76,K117,K161,K170,K203,K209,K237)</f>
        <v>8768912163579.1582</v>
      </c>
      <c r="L238" s="174"/>
      <c r="M238" s="174"/>
      <c r="N238" s="175"/>
      <c r="O238" s="173">
        <f>SUM(O26,O76,O117,O161,O170,O203,O209,O237)</f>
        <v>1313144</v>
      </c>
      <c r="P238" s="177"/>
      <c r="Q238" s="173"/>
      <c r="R238" s="178">
        <f t="shared" si="162"/>
        <v>9.9949656600822594E-3</v>
      </c>
      <c r="S238" s="178"/>
      <c r="T238" s="178"/>
      <c r="U238" s="178"/>
      <c r="V238" s="178"/>
    </row>
    <row r="239" spans="1:26" ht="6.75" customHeight="1">
      <c r="A239" s="121"/>
      <c r="B239" s="130"/>
      <c r="C239" s="130"/>
      <c r="D239" s="130"/>
      <c r="E239" s="130"/>
      <c r="F239" s="130"/>
      <c r="G239" s="130"/>
      <c r="H239" s="130"/>
      <c r="I239" s="130"/>
      <c r="J239" s="130"/>
      <c r="K239" s="130"/>
      <c r="L239" s="130"/>
      <c r="M239" s="130"/>
      <c r="N239" s="130"/>
      <c r="O239" s="130"/>
      <c r="P239" s="130"/>
      <c r="Q239" s="130"/>
      <c r="R239" s="130"/>
      <c r="S239" s="130"/>
      <c r="T239" s="130"/>
      <c r="U239" s="130"/>
      <c r="V239" s="122"/>
    </row>
    <row r="240" spans="1:26" ht="14.4" customHeight="1">
      <c r="A240" s="166" t="s">
        <v>281</v>
      </c>
      <c r="B240" s="166"/>
      <c r="C240" s="166"/>
      <c r="D240" s="166"/>
      <c r="E240" s="166"/>
      <c r="F240" s="166"/>
      <c r="G240" s="166"/>
      <c r="H240" s="166"/>
      <c r="I240" s="166"/>
      <c r="J240" s="166"/>
      <c r="K240" s="166"/>
      <c r="L240" s="166"/>
      <c r="M240" s="166"/>
      <c r="N240" s="166"/>
      <c r="O240" s="166"/>
      <c r="P240" s="166"/>
      <c r="Q240" s="166"/>
      <c r="R240" s="166"/>
      <c r="S240" s="166"/>
      <c r="T240" s="166"/>
      <c r="U240" s="166"/>
      <c r="V240" s="166"/>
    </row>
    <row r="241" spans="1:27" ht="14.4" customHeight="1">
      <c r="A241" s="131">
        <v>1</v>
      </c>
      <c r="B241" s="100" t="s">
        <v>282</v>
      </c>
      <c r="C241" s="101" t="s">
        <v>23</v>
      </c>
      <c r="D241" s="116">
        <v>2173040458.9769959</v>
      </c>
      <c r="E241" s="109">
        <f t="shared" ref="E241:E244" si="195">(D241/$D$237)</f>
        <v>1.8023762762234437E-2</v>
      </c>
      <c r="F241" s="115">
        <f>1.0521*FX_RATE</f>
        <v>1429.20956871</v>
      </c>
      <c r="G241" s="115">
        <f>1.0521*FX_RATE</f>
        <v>1429.20956871</v>
      </c>
      <c r="H241" s="110">
        <v>57</v>
      </c>
      <c r="I241" s="111">
        <v>9.9299999999999999E-2</v>
      </c>
      <c r="J241" s="111">
        <v>5.0999999999999997E-2</v>
      </c>
      <c r="K241" s="116">
        <f>1625042.34*FX_RATE</f>
        <v>2207514553.6421342</v>
      </c>
      <c r="L241" s="109">
        <f>(K241/$K$246)</f>
        <v>6.9785244914947156E-2</v>
      </c>
      <c r="M241" s="115">
        <f>1.0532*FX_RATE</f>
        <v>1430.7038473199998</v>
      </c>
      <c r="N241" s="115">
        <f>1.0532*FX_RATE</f>
        <v>1430.7038473199998</v>
      </c>
      <c r="O241" s="110">
        <v>57</v>
      </c>
      <c r="P241" s="111">
        <v>5.45E-2</v>
      </c>
      <c r="Q241" s="111">
        <v>5.1299999999999998E-2</v>
      </c>
      <c r="R241" s="106">
        <f t="shared" ref="R241" si="196">((K241-D241)/D241)</f>
        <v>1.5864451360177455E-2</v>
      </c>
      <c r="S241" s="106">
        <f t="shared" ref="S241" si="197">((N241-G241)/G241)</f>
        <v>1.0455279916356433E-3</v>
      </c>
      <c r="T241" s="106">
        <f t="shared" ref="T241" si="198">((O241-H241)/H241)</f>
        <v>0</v>
      </c>
      <c r="U241" s="106">
        <f t="shared" ref="U241" si="199">P241-I241</f>
        <v>-4.48E-2</v>
      </c>
      <c r="V241" s="107">
        <f t="shared" ref="V241" si="200">Q241-J241</f>
        <v>3.0000000000000165E-4</v>
      </c>
    </row>
    <row r="242" spans="1:27" ht="14.4" customHeight="1">
      <c r="A242" s="131">
        <v>2</v>
      </c>
      <c r="B242" s="100" t="s">
        <v>283</v>
      </c>
      <c r="C242" s="101" t="s">
        <v>211</v>
      </c>
      <c r="D242" s="116">
        <v>15464587969.42</v>
      </c>
      <c r="E242" s="109">
        <f t="shared" ref="E242" si="201">(D242/$D$237)</f>
        <v>0.12826731486985238</v>
      </c>
      <c r="F242" s="115">
        <v>123.2</v>
      </c>
      <c r="G242" s="115">
        <v>123.2</v>
      </c>
      <c r="H242" s="110">
        <v>9</v>
      </c>
      <c r="I242" s="111">
        <v>3.7000000000000002E-3</v>
      </c>
      <c r="J242" s="111">
        <v>0.75949999999999995</v>
      </c>
      <c r="K242" s="116">
        <v>15531664750.790001</v>
      </c>
      <c r="L242" s="109">
        <f>(K242/$K$246)</f>
        <v>0.49099609639377378</v>
      </c>
      <c r="M242" s="115">
        <v>123.2</v>
      </c>
      <c r="N242" s="115">
        <v>123.2</v>
      </c>
      <c r="O242" s="110">
        <v>9</v>
      </c>
      <c r="P242" s="111">
        <v>4.3E-3</v>
      </c>
      <c r="Q242" s="111">
        <v>2.7757999999999998</v>
      </c>
      <c r="R242" s="106">
        <f t="shared" ref="R242" si="202">((K242-D242)/D242)</f>
        <v>4.3374438105069383E-3</v>
      </c>
      <c r="S242" s="106">
        <f t="shared" ref="S242" si="203">((N242-G242)/G242)</f>
        <v>0</v>
      </c>
      <c r="T242" s="106">
        <f t="shared" ref="T242" si="204">((O242-H242)/H242)</f>
        <v>0</v>
      </c>
      <c r="U242" s="106">
        <f t="shared" ref="U242" si="205">P242-I242</f>
        <v>5.9999999999999984E-4</v>
      </c>
      <c r="V242" s="107">
        <f t="shared" ref="V242" si="206">Q242-J242</f>
        <v>2.0162999999999998</v>
      </c>
      <c r="X242" s="34"/>
      <c r="Y242" s="34"/>
      <c r="AA242" s="52"/>
    </row>
    <row r="243" spans="1:27" ht="14.4" customHeight="1">
      <c r="A243" s="131">
        <v>3</v>
      </c>
      <c r="B243" s="100" t="s">
        <v>284</v>
      </c>
      <c r="C243" s="101" t="s">
        <v>82</v>
      </c>
      <c r="D243" s="116">
        <v>1235137749.4925001</v>
      </c>
      <c r="E243" s="109">
        <f>(D243/$D$237)</f>
        <v>1.024455374660313E-2</v>
      </c>
      <c r="F243" s="115">
        <f>112.59*1345.25</f>
        <v>151461.69750000001</v>
      </c>
      <c r="G243" s="115">
        <f>112.59*1345.25</f>
        <v>151461.69750000001</v>
      </c>
      <c r="H243" s="110">
        <v>18</v>
      </c>
      <c r="I243" s="111">
        <v>5.8999999999999999E-3</v>
      </c>
      <c r="J243" s="111">
        <v>7.1999999999999998E-3</v>
      </c>
      <c r="K243" s="116">
        <f>917670.61*1358.86</f>
        <v>1246985885.1046</v>
      </c>
      <c r="L243" s="109">
        <f>(K243/$K$246)</f>
        <v>3.9420449235060349E-2</v>
      </c>
      <c r="M243" s="115">
        <f>112.54*1358.86</f>
        <v>152926.10440000001</v>
      </c>
      <c r="N243" s="115">
        <f>112.54*1358.86</f>
        <v>152926.10440000001</v>
      </c>
      <c r="O243" s="110">
        <v>18</v>
      </c>
      <c r="P243" s="111">
        <v>-4.0000000000000002E-4</v>
      </c>
      <c r="Q243" s="111">
        <v>6.7000000000000002E-3</v>
      </c>
      <c r="R243" s="106">
        <f t="shared" ref="R243:R244" si="207">((K243-D243)/D243)</f>
        <v>9.592562138893505E-3</v>
      </c>
      <c r="S243" s="106">
        <f t="shared" ref="S243:S244" si="208">((N243-G243)/G243)</f>
        <v>9.6684965517437275E-3</v>
      </c>
      <c r="T243" s="106">
        <f t="shared" ref="T243:T244" si="209">((O243-H243)/H243)</f>
        <v>0</v>
      </c>
      <c r="U243" s="106">
        <f t="shared" ref="U243:U244" si="210">P243-I243</f>
        <v>-6.3E-3</v>
      </c>
      <c r="V243" s="107">
        <f t="shared" ref="V243:V244" si="211">Q243-J243</f>
        <v>-4.9999999999999958E-4</v>
      </c>
    </row>
    <row r="244" spans="1:27" ht="14.4" customHeight="1">
      <c r="A244" s="131">
        <v>4</v>
      </c>
      <c r="B244" s="100" t="s">
        <v>285</v>
      </c>
      <c r="C244" s="101" t="s">
        <v>40</v>
      </c>
      <c r="D244" s="116">
        <v>12329283393.879999</v>
      </c>
      <c r="E244" s="109">
        <f t="shared" si="195"/>
        <v>0.10226228324541389</v>
      </c>
      <c r="F244" s="115">
        <v>1.18</v>
      </c>
      <c r="G244" s="115">
        <v>1.18</v>
      </c>
      <c r="H244" s="110">
        <v>16</v>
      </c>
      <c r="I244" s="111">
        <v>3.1199999999999999E-2</v>
      </c>
      <c r="J244" s="111">
        <v>-0.25779999999999997</v>
      </c>
      <c r="K244" s="116">
        <v>12338040145.1</v>
      </c>
      <c r="L244" s="109">
        <f>(K244/$K$246)</f>
        <v>0.39003736209833145</v>
      </c>
      <c r="M244" s="115">
        <v>1.18</v>
      </c>
      <c r="N244" s="115">
        <v>1.18</v>
      </c>
      <c r="O244" s="110">
        <v>16</v>
      </c>
      <c r="P244" s="111">
        <v>3.1899999999999998E-2</v>
      </c>
      <c r="Q244" s="111">
        <v>-0.2399</v>
      </c>
      <c r="R244" s="106">
        <f t="shared" si="207"/>
        <v>7.1024007967469469E-4</v>
      </c>
      <c r="S244" s="106">
        <f t="shared" si="208"/>
        <v>0</v>
      </c>
      <c r="T244" s="106">
        <f t="shared" si="209"/>
        <v>0</v>
      </c>
      <c r="U244" s="106">
        <f t="shared" si="210"/>
        <v>6.9999999999999923E-4</v>
      </c>
      <c r="V244" s="107">
        <f t="shared" si="211"/>
        <v>1.7899999999999971E-2</v>
      </c>
    </row>
    <row r="245" spans="1:27" ht="14.4" customHeight="1">
      <c r="A245" s="131">
        <v>5</v>
      </c>
      <c r="B245" s="100" t="s">
        <v>286</v>
      </c>
      <c r="C245" s="101" t="s">
        <v>51</v>
      </c>
      <c r="D245" s="116">
        <v>285799668.04000002</v>
      </c>
      <c r="E245" s="109">
        <f t="shared" ref="E245" si="212">(D245/$D$237)</f>
        <v>2.3704967815939074E-3</v>
      </c>
      <c r="F245" s="115">
        <v>1.43</v>
      </c>
      <c r="G245" s="115">
        <v>1.43</v>
      </c>
      <c r="H245" s="110">
        <v>27</v>
      </c>
      <c r="I245" s="111">
        <v>2.63E-2</v>
      </c>
      <c r="J245" s="111">
        <v>0.28239999999999998</v>
      </c>
      <c r="K245" s="116">
        <v>308764590.92000002</v>
      </c>
      <c r="L245" s="109">
        <f>(K245/$K$246)</f>
        <v>9.7608473578873374E-3</v>
      </c>
      <c r="M245" s="115">
        <v>1.5045299999999999</v>
      </c>
      <c r="N245" s="115">
        <v>1.5045299999999999</v>
      </c>
      <c r="O245" s="110">
        <v>28</v>
      </c>
      <c r="P245" s="111">
        <v>5.1799999999999999E-2</v>
      </c>
      <c r="Q245" s="111">
        <v>0.34920000000000001</v>
      </c>
      <c r="R245" s="106">
        <f t="shared" ref="R245:R246" si="213">((K245-D245)/D245)</f>
        <v>8.0353217473947053E-2</v>
      </c>
      <c r="S245" s="106">
        <f t="shared" ref="S245" si="214">((N245-G245)/G245)</f>
        <v>5.2118881118881112E-2</v>
      </c>
      <c r="T245" s="106">
        <f t="shared" ref="T245" si="215">((O245-H245)/H245)</f>
        <v>3.7037037037037035E-2</v>
      </c>
      <c r="U245" s="106">
        <f t="shared" ref="U245" si="216">P245-I245</f>
        <v>2.5499999999999998E-2</v>
      </c>
      <c r="V245" s="107">
        <f t="shared" ref="V245" si="217">Q245-J245</f>
        <v>6.6800000000000026E-2</v>
      </c>
    </row>
    <row r="246" spans="1:27" ht="14.4" customHeight="1">
      <c r="A246" s="179"/>
      <c r="B246" s="179"/>
      <c r="C246" s="179" t="s">
        <v>54</v>
      </c>
      <c r="D246" s="179">
        <f>SUM(D241:D245)</f>
        <v>31487849239.809494</v>
      </c>
      <c r="E246" s="179"/>
      <c r="F246" s="179"/>
      <c r="G246" s="179"/>
      <c r="H246" s="179">
        <f>SUM(H241:H245)</f>
        <v>127</v>
      </c>
      <c r="I246" s="179"/>
      <c r="J246" s="179"/>
      <c r="K246" s="179">
        <f>SUM(K241:K245)</f>
        <v>31632969925.556732</v>
      </c>
      <c r="L246" s="125"/>
      <c r="M246" s="179"/>
      <c r="N246" s="179"/>
      <c r="O246" s="179">
        <f>SUM(O241:O245)</f>
        <v>128</v>
      </c>
      <c r="P246" s="179"/>
      <c r="Q246" s="179"/>
      <c r="R246" s="178">
        <f t="shared" si="213"/>
        <v>4.6087836816674291E-3</v>
      </c>
      <c r="S246" s="179"/>
      <c r="T246" s="179"/>
      <c r="U246" s="179"/>
      <c r="V246" s="179"/>
    </row>
    <row r="247" spans="1:27" ht="6" customHeight="1">
      <c r="A247" s="121"/>
      <c r="B247" s="180"/>
      <c r="C247" s="153"/>
      <c r="D247" s="180"/>
      <c r="E247" s="180"/>
      <c r="F247" s="180"/>
      <c r="G247" s="180"/>
      <c r="H247" s="180"/>
      <c r="I247" s="180"/>
      <c r="J247" s="180"/>
      <c r="K247" s="180"/>
      <c r="L247" s="180"/>
      <c r="M247" s="180"/>
      <c r="N247" s="180"/>
      <c r="O247" s="180"/>
      <c r="P247" s="180"/>
      <c r="Q247" s="180"/>
      <c r="R247" s="180"/>
      <c r="S247" s="180"/>
      <c r="T247" s="180"/>
      <c r="U247" s="180"/>
      <c r="V247" s="122"/>
    </row>
    <row r="248" spans="1:27" ht="15.6">
      <c r="A248" s="166" t="s">
        <v>287</v>
      </c>
      <c r="B248" s="166"/>
      <c r="C248" s="166"/>
      <c r="D248" s="166"/>
      <c r="E248" s="166"/>
      <c r="F248" s="166"/>
      <c r="G248" s="166"/>
      <c r="H248" s="166"/>
      <c r="I248" s="166"/>
      <c r="J248" s="166"/>
      <c r="K248" s="166"/>
      <c r="L248" s="166"/>
      <c r="M248" s="166"/>
      <c r="N248" s="166"/>
      <c r="O248" s="166"/>
      <c r="P248" s="166"/>
      <c r="Q248" s="166"/>
      <c r="R248" s="166"/>
      <c r="S248" s="166"/>
      <c r="T248" s="166"/>
      <c r="U248" s="166"/>
      <c r="V248" s="166"/>
    </row>
    <row r="249" spans="1:27">
      <c r="A249" s="131">
        <v>1</v>
      </c>
      <c r="B249" s="100" t="s">
        <v>288</v>
      </c>
      <c r="C249" s="101" t="s">
        <v>289</v>
      </c>
      <c r="D249" s="116">
        <v>130535438849</v>
      </c>
      <c r="E249" s="109">
        <f>(D249/$D$251)</f>
        <v>0.91089541303248933</v>
      </c>
      <c r="F249" s="143">
        <v>108.35</v>
      </c>
      <c r="G249" s="143">
        <v>108.35</v>
      </c>
      <c r="H249" s="110">
        <v>0</v>
      </c>
      <c r="I249" s="111">
        <v>1.2800000000000001E-2</v>
      </c>
      <c r="J249" s="111">
        <v>0.1363</v>
      </c>
      <c r="K249" s="116">
        <v>130535438849</v>
      </c>
      <c r="L249" s="109">
        <f>(K249/$K$251)</f>
        <v>0.91049516077788983</v>
      </c>
      <c r="M249" s="143">
        <v>108.35</v>
      </c>
      <c r="N249" s="143">
        <v>108.35</v>
      </c>
      <c r="O249" s="110">
        <v>0</v>
      </c>
      <c r="P249" s="111" t="s">
        <v>320</v>
      </c>
      <c r="Q249" s="111">
        <v>0.1363</v>
      </c>
      <c r="R249" s="106">
        <f>((K249-D249)/D249)</f>
        <v>0</v>
      </c>
      <c r="S249" s="106">
        <f>((N249-G249)/G249)</f>
        <v>0</v>
      </c>
      <c r="T249" s="106" t="e">
        <f>((O249-H249)/H249)</f>
        <v>#DIV/0!</v>
      </c>
      <c r="U249" s="106" t="e">
        <f>P249-I249</f>
        <v>#VALUE!</v>
      </c>
      <c r="V249" s="107">
        <f>Q249-J249</f>
        <v>0</v>
      </c>
    </row>
    <row r="250" spans="1:27" ht="14.4" customHeight="1">
      <c r="A250" s="131">
        <v>2</v>
      </c>
      <c r="B250" s="100" t="s">
        <v>290</v>
      </c>
      <c r="C250" s="101" t="s">
        <v>51</v>
      </c>
      <c r="D250" s="116">
        <v>12769090937.17</v>
      </c>
      <c r="E250" s="109">
        <f>(D250/$D$251)</f>
        <v>8.9104586967510613E-2</v>
      </c>
      <c r="F250" s="181">
        <v>1000000</v>
      </c>
      <c r="G250" s="181">
        <v>1000000</v>
      </c>
      <c r="H250" s="110">
        <v>26</v>
      </c>
      <c r="I250" s="111">
        <v>0.17050000000000001</v>
      </c>
      <c r="J250" s="111">
        <v>0.17050000000000001</v>
      </c>
      <c r="K250" s="116">
        <v>12832087385.27</v>
      </c>
      <c r="L250" s="109">
        <f>(K250/$K$251)</f>
        <v>8.9504839222110194E-2</v>
      </c>
      <c r="M250" s="181">
        <v>1000000</v>
      </c>
      <c r="N250" s="181">
        <v>1000000</v>
      </c>
      <c r="O250" s="110">
        <v>26</v>
      </c>
      <c r="P250" s="111">
        <v>0.17599999999999999</v>
      </c>
      <c r="Q250" s="111">
        <v>0.17599999999999999</v>
      </c>
      <c r="R250" s="106">
        <f>((K250-D250)/D250)</f>
        <v>4.9335108043299918E-3</v>
      </c>
      <c r="S250" s="106">
        <f>((N250-G250)/G250)</f>
        <v>0</v>
      </c>
      <c r="T250" s="106">
        <f>((O250-H250)/H250)</f>
        <v>0</v>
      </c>
      <c r="U250" s="106">
        <f>P250-I250</f>
        <v>5.4999999999999771E-3</v>
      </c>
      <c r="V250" s="107">
        <f>Q250-J250</f>
        <v>5.4999999999999771E-3</v>
      </c>
    </row>
    <row r="251" spans="1:27" ht="15" customHeight="1">
      <c r="A251" s="171"/>
      <c r="B251" s="171"/>
      <c r="C251" s="172" t="s">
        <v>291</v>
      </c>
      <c r="D251" s="179">
        <f>SUM(D249:D250)</f>
        <v>143304529786.17001</v>
      </c>
      <c r="E251" s="182"/>
      <c r="F251" s="183"/>
      <c r="G251" s="183"/>
      <c r="H251" s="179">
        <f>SUM(H249:H250)</f>
        <v>26</v>
      </c>
      <c r="I251" s="184"/>
      <c r="J251" s="184"/>
      <c r="K251" s="179">
        <f>SUM(K249:K250)</f>
        <v>143367526234.26999</v>
      </c>
      <c r="L251" s="182"/>
      <c r="M251" s="183"/>
      <c r="N251" s="183"/>
      <c r="O251" s="179">
        <f>SUM(O249:O250)</f>
        <v>26</v>
      </c>
      <c r="P251" s="184"/>
      <c r="Q251" s="179"/>
      <c r="R251" s="178">
        <f>((K251-D251)/D251)</f>
        <v>4.3959844251940196E-4</v>
      </c>
      <c r="S251" s="185"/>
      <c r="T251" s="185"/>
      <c r="U251" s="178"/>
      <c r="V251" s="186"/>
    </row>
    <row r="252" spans="1:27" ht="4.5" customHeight="1">
      <c r="A252" s="121"/>
      <c r="B252" s="187"/>
      <c r="C252" s="187"/>
      <c r="D252" s="187"/>
      <c r="E252" s="187"/>
      <c r="F252" s="187"/>
      <c r="G252" s="187"/>
      <c r="H252" s="187"/>
      <c r="I252" s="187"/>
      <c r="J252" s="187"/>
      <c r="K252" s="187"/>
      <c r="L252" s="187"/>
      <c r="M252" s="187"/>
      <c r="N252" s="187"/>
      <c r="O252" s="187"/>
      <c r="P252" s="187"/>
      <c r="Q252" s="187"/>
      <c r="R252" s="187"/>
      <c r="S252" s="187"/>
      <c r="T252" s="187"/>
      <c r="U252" s="187"/>
      <c r="V252" s="187"/>
    </row>
    <row r="253" spans="1:27" ht="15.6">
      <c r="A253" s="166" t="s">
        <v>292</v>
      </c>
      <c r="B253" s="166"/>
      <c r="C253" s="166"/>
      <c r="D253" s="166"/>
      <c r="E253" s="166"/>
      <c r="F253" s="166"/>
      <c r="G253" s="166"/>
      <c r="H253" s="166"/>
      <c r="I253" s="166"/>
      <c r="J253" s="166"/>
      <c r="K253" s="166"/>
      <c r="L253" s="166"/>
      <c r="M253" s="166"/>
      <c r="N253" s="166"/>
      <c r="O253" s="166"/>
      <c r="P253" s="166"/>
      <c r="Q253" s="166"/>
      <c r="R253" s="166"/>
      <c r="S253" s="166"/>
      <c r="T253" s="166"/>
      <c r="U253" s="166"/>
      <c r="V253" s="166"/>
    </row>
    <row r="254" spans="1:27">
      <c r="A254" s="131">
        <v>1</v>
      </c>
      <c r="B254" s="100" t="s">
        <v>293</v>
      </c>
      <c r="C254" s="101" t="s">
        <v>92</v>
      </c>
      <c r="D254" s="188">
        <v>2010950987.98</v>
      </c>
      <c r="E254" s="189">
        <f t="shared" ref="E254:E265" si="218">(D254/$D$266)</f>
        <v>7.2742078632170193E-2</v>
      </c>
      <c r="F254" s="181">
        <v>491.41473051000003</v>
      </c>
      <c r="G254" s="181">
        <v>491.41473051000003</v>
      </c>
      <c r="H254" s="190">
        <v>266</v>
      </c>
      <c r="I254" s="129">
        <v>5.7500000000000002E-2</v>
      </c>
      <c r="J254" s="129">
        <v>0.3921</v>
      </c>
      <c r="K254" s="188">
        <v>2087058922.26</v>
      </c>
      <c r="L254" s="189">
        <f t="shared" ref="L254:L265" si="219">(K254/$K$266)</f>
        <v>7.2203506868829939E-2</v>
      </c>
      <c r="M254" s="181">
        <v>509.95705736999997</v>
      </c>
      <c r="N254" s="181">
        <v>509.95705736999997</v>
      </c>
      <c r="O254" s="190">
        <v>266</v>
      </c>
      <c r="P254" s="129">
        <v>3.78E-2</v>
      </c>
      <c r="Q254" s="129">
        <v>0.44496502711662683</v>
      </c>
      <c r="R254" s="106">
        <f>((K254-D254)/D254)</f>
        <v>3.7846737555971156E-2</v>
      </c>
      <c r="S254" s="106">
        <f>((N254-G254)/G254)</f>
        <v>3.7732541799787619E-2</v>
      </c>
      <c r="T254" s="106">
        <f>((O254-H254)/H254)</f>
        <v>0</v>
      </c>
      <c r="U254" s="106">
        <f>P254-I254</f>
        <v>-1.9700000000000002E-2</v>
      </c>
      <c r="V254" s="107">
        <f>Q254-J254</f>
        <v>5.2865027116626828E-2</v>
      </c>
      <c r="X254" s="41"/>
      <c r="Z254" s="30"/>
    </row>
    <row r="255" spans="1:27">
      <c r="A255" s="131">
        <v>2</v>
      </c>
      <c r="B255" s="100" t="s">
        <v>294</v>
      </c>
      <c r="C255" s="101" t="s">
        <v>255</v>
      </c>
      <c r="D255" s="188">
        <v>3238565547.1700001</v>
      </c>
      <c r="E255" s="189">
        <f t="shared" si="218"/>
        <v>0.11714854866966076</v>
      </c>
      <c r="F255" s="181">
        <v>92.11</v>
      </c>
      <c r="G255" s="181">
        <v>101.81</v>
      </c>
      <c r="H255" s="190">
        <v>1805</v>
      </c>
      <c r="I255" s="129">
        <v>8.8499999999999995E-2</v>
      </c>
      <c r="J255" s="129">
        <v>0.57099999999999995</v>
      </c>
      <c r="K255" s="188">
        <v>3429596765.6399999</v>
      </c>
      <c r="L255" s="189">
        <f t="shared" si="219"/>
        <v>0.11864969933721677</v>
      </c>
      <c r="M255" s="181">
        <v>97.55</v>
      </c>
      <c r="N255" s="181">
        <v>107.82</v>
      </c>
      <c r="O255" s="190">
        <v>1805</v>
      </c>
      <c r="P255" s="129">
        <v>5.8900000000000001E-2</v>
      </c>
      <c r="Q255" s="129">
        <v>0.66359999999999997</v>
      </c>
      <c r="R255" s="106">
        <f t="shared" ref="R255:R266" si="220">((K255-D255)/D255)</f>
        <v>5.8986367787717375E-2</v>
      </c>
      <c r="S255" s="106">
        <f t="shared" ref="S255:S266" si="221">((N255-G255)/G255)</f>
        <v>5.9031529319320208E-2</v>
      </c>
      <c r="T255" s="106">
        <f t="shared" ref="T255:T266" si="222">((O255-H255)/H255)</f>
        <v>0</v>
      </c>
      <c r="U255" s="106">
        <f t="shared" ref="U255:U266" si="223">P255-I255</f>
        <v>-2.9599999999999994E-2</v>
      </c>
      <c r="V255" s="107">
        <f t="shared" ref="V255:V266" si="224">Q255-J255</f>
        <v>9.2600000000000016E-2</v>
      </c>
    </row>
    <row r="256" spans="1:27">
      <c r="A256" s="131">
        <v>3</v>
      </c>
      <c r="B256" s="100" t="s">
        <v>295</v>
      </c>
      <c r="C256" s="101" t="s">
        <v>42</v>
      </c>
      <c r="D256" s="188">
        <v>745563895.33000004</v>
      </c>
      <c r="E256" s="189">
        <f t="shared" si="218"/>
        <v>2.6969263708351184E-2</v>
      </c>
      <c r="F256" s="181">
        <v>62.12</v>
      </c>
      <c r="G256" s="181">
        <v>62.35</v>
      </c>
      <c r="H256" s="190">
        <v>871</v>
      </c>
      <c r="I256" s="129">
        <v>7.5800000000000006E-2</v>
      </c>
      <c r="J256" s="129">
        <v>0.53639999999999999</v>
      </c>
      <c r="K256" s="188">
        <v>775311258.38</v>
      </c>
      <c r="L256" s="189">
        <f t="shared" si="219"/>
        <v>2.6822525791127452E-2</v>
      </c>
      <c r="M256" s="181">
        <v>64.595941999999994</v>
      </c>
      <c r="N256" s="181">
        <v>64.843078000000006</v>
      </c>
      <c r="O256" s="190">
        <v>871</v>
      </c>
      <c r="P256" s="129">
        <v>3.9899999999999998E-2</v>
      </c>
      <c r="Q256" s="129">
        <v>0.59770000000000001</v>
      </c>
      <c r="R256" s="106">
        <f t="shared" si="220"/>
        <v>3.9899146453213422E-2</v>
      </c>
      <c r="S256" s="106">
        <f t="shared" si="221"/>
        <v>3.9985212510024126E-2</v>
      </c>
      <c r="T256" s="106">
        <f t="shared" si="222"/>
        <v>0</v>
      </c>
      <c r="U256" s="106">
        <f t="shared" si="223"/>
        <v>-3.5900000000000008E-2</v>
      </c>
      <c r="V256" s="107">
        <f t="shared" si="224"/>
        <v>6.1300000000000021E-2</v>
      </c>
    </row>
    <row r="257" spans="1:26">
      <c r="A257" s="131">
        <v>4</v>
      </c>
      <c r="B257" s="100" t="s">
        <v>296</v>
      </c>
      <c r="C257" s="101" t="s">
        <v>42</v>
      </c>
      <c r="D257" s="188">
        <v>1480419746.75</v>
      </c>
      <c r="E257" s="189">
        <f t="shared" si="218"/>
        <v>5.3551185618342378E-2</v>
      </c>
      <c r="F257" s="181">
        <v>125.713925</v>
      </c>
      <c r="G257" s="181">
        <v>126.177845</v>
      </c>
      <c r="H257" s="190">
        <v>981</v>
      </c>
      <c r="I257" s="129">
        <v>0.1051</v>
      </c>
      <c r="J257" s="129">
        <v>0.5091</v>
      </c>
      <c r="K257" s="188">
        <v>1593729616.8</v>
      </c>
      <c r="L257" s="189">
        <f t="shared" si="219"/>
        <v>5.5136376892066033E-2</v>
      </c>
      <c r="M257" s="181">
        <v>135.33594500000001</v>
      </c>
      <c r="N257" s="181">
        <v>135.82601099999999</v>
      </c>
      <c r="O257" s="190">
        <v>981</v>
      </c>
      <c r="P257" s="129">
        <v>7.6499999999999999E-2</v>
      </c>
      <c r="Q257" s="129">
        <v>0.62460000000000004</v>
      </c>
      <c r="R257" s="106">
        <f t="shared" si="220"/>
        <v>7.6539015572273841E-2</v>
      </c>
      <c r="S257" s="106">
        <f t="shared" si="221"/>
        <v>7.6464818368073964E-2</v>
      </c>
      <c r="T257" s="106">
        <f t="shared" si="222"/>
        <v>0</v>
      </c>
      <c r="U257" s="106">
        <f t="shared" si="223"/>
        <v>-2.86E-2</v>
      </c>
      <c r="V257" s="107">
        <f t="shared" si="224"/>
        <v>0.11550000000000005</v>
      </c>
    </row>
    <row r="258" spans="1:26">
      <c r="A258" s="131">
        <v>5</v>
      </c>
      <c r="B258" s="100" t="s">
        <v>297</v>
      </c>
      <c r="C258" s="101" t="s">
        <v>298</v>
      </c>
      <c r="D258" s="188">
        <v>2038228657.8</v>
      </c>
      <c r="E258" s="189">
        <f t="shared" si="218"/>
        <v>7.372879308459053E-2</v>
      </c>
      <c r="F258" s="181">
        <v>58050</v>
      </c>
      <c r="G258" s="181">
        <v>64900</v>
      </c>
      <c r="H258" s="190">
        <v>604</v>
      </c>
      <c r="I258" s="129">
        <v>8.0000000000000002E-3</v>
      </c>
      <c r="J258" s="129">
        <v>0.04</v>
      </c>
      <c r="K258" s="188">
        <v>1991170731.9000001</v>
      </c>
      <c r="L258" s="189">
        <f t="shared" si="219"/>
        <v>6.8886176659579898E-2</v>
      </c>
      <c r="M258" s="181">
        <v>56515</v>
      </c>
      <c r="N258" s="181">
        <v>62675</v>
      </c>
      <c r="O258" s="190">
        <v>604</v>
      </c>
      <c r="P258" s="129">
        <v>-2.3E-2</v>
      </c>
      <c r="Q258" s="129">
        <v>0.01</v>
      </c>
      <c r="R258" s="106">
        <f t="shared" si="220"/>
        <v>-2.3087657864055696E-2</v>
      </c>
      <c r="S258" s="106">
        <f t="shared" si="221"/>
        <v>-3.4283513097072421E-2</v>
      </c>
      <c r="T258" s="106">
        <f t="shared" si="222"/>
        <v>0</v>
      </c>
      <c r="U258" s="106">
        <f t="shared" si="223"/>
        <v>-3.1E-2</v>
      </c>
      <c r="V258" s="107">
        <f t="shared" si="224"/>
        <v>-0.03</v>
      </c>
    </row>
    <row r="259" spans="1:26">
      <c r="A259" s="131">
        <v>6</v>
      </c>
      <c r="B259" s="100" t="s">
        <v>299</v>
      </c>
      <c r="C259" s="101" t="s">
        <v>300</v>
      </c>
      <c r="D259" s="188">
        <v>1481729656.04</v>
      </c>
      <c r="E259" s="189">
        <f t="shared" si="218"/>
        <v>5.3598568933571712E-2</v>
      </c>
      <c r="F259" s="181">
        <v>12299</v>
      </c>
      <c r="G259" s="181">
        <v>12299</v>
      </c>
      <c r="H259" s="190">
        <v>777</v>
      </c>
      <c r="I259" s="129">
        <v>0.1045</v>
      </c>
      <c r="J259" s="129">
        <v>0.50390000000000001</v>
      </c>
      <c r="K259" s="188">
        <v>1547791004.8099999</v>
      </c>
      <c r="L259" s="189">
        <f t="shared" si="219"/>
        <v>5.354709311527036E-2</v>
      </c>
      <c r="M259" s="181">
        <v>7343.15</v>
      </c>
      <c r="N259" s="181">
        <v>7343.15</v>
      </c>
      <c r="O259" s="190">
        <v>777</v>
      </c>
      <c r="P259" s="129">
        <v>4.4600000000000001E-2</v>
      </c>
      <c r="Q259" s="129">
        <v>0.57099999999999995</v>
      </c>
      <c r="R259" s="106">
        <f t="shared" si="220"/>
        <v>4.4583941814698096E-2</v>
      </c>
      <c r="S259" s="106">
        <f t="shared" si="221"/>
        <v>-0.40294739409708108</v>
      </c>
      <c r="T259" s="106">
        <f t="shared" si="222"/>
        <v>0</v>
      </c>
      <c r="U259" s="106">
        <f t="shared" si="223"/>
        <v>-5.9899999999999995E-2</v>
      </c>
      <c r="V259" s="107">
        <f t="shared" si="224"/>
        <v>6.7099999999999937E-2</v>
      </c>
    </row>
    <row r="260" spans="1:26">
      <c r="A260" s="131">
        <v>7</v>
      </c>
      <c r="B260" s="100" t="s">
        <v>301</v>
      </c>
      <c r="C260" s="101" t="s">
        <v>300</v>
      </c>
      <c r="D260" s="188">
        <v>1498548271.5699999</v>
      </c>
      <c r="E260" s="189">
        <f t="shared" si="218"/>
        <v>5.4206948282785203E-2</v>
      </c>
      <c r="F260" s="181">
        <v>4117.8900000000003</v>
      </c>
      <c r="G260" s="181">
        <v>4117.8900000000003</v>
      </c>
      <c r="H260" s="190">
        <v>5505</v>
      </c>
      <c r="I260" s="129">
        <v>7.6700000000000004E-2</v>
      </c>
      <c r="J260" s="129">
        <v>0.37909999999999999</v>
      </c>
      <c r="K260" s="188">
        <v>1555618759.1600001</v>
      </c>
      <c r="L260" s="189">
        <f t="shared" si="219"/>
        <v>5.3817900666005787E-2</v>
      </c>
      <c r="M260" s="181">
        <v>3900</v>
      </c>
      <c r="N260" s="181">
        <v>3900</v>
      </c>
      <c r="O260" s="190">
        <v>5505</v>
      </c>
      <c r="P260" s="129">
        <v>3.8100000000000002E-2</v>
      </c>
      <c r="Q260" s="129">
        <v>0.43159999999999998</v>
      </c>
      <c r="R260" s="106">
        <f t="shared" si="220"/>
        <v>3.8083849998511235E-2</v>
      </c>
      <c r="S260" s="106">
        <f t="shared" si="221"/>
        <v>-5.2913020988904588E-2</v>
      </c>
      <c r="T260" s="106">
        <f t="shared" si="222"/>
        <v>0</v>
      </c>
      <c r="U260" s="106">
        <f t="shared" si="223"/>
        <v>-3.8600000000000002E-2</v>
      </c>
      <c r="V260" s="107">
        <f t="shared" si="224"/>
        <v>5.2499999999999991E-2</v>
      </c>
    </row>
    <row r="261" spans="1:26">
      <c r="A261" s="131">
        <v>8</v>
      </c>
      <c r="B261" s="100" t="s">
        <v>302</v>
      </c>
      <c r="C261" s="101" t="s">
        <v>303</v>
      </c>
      <c r="D261" s="188">
        <v>624104404.38</v>
      </c>
      <c r="E261" s="189">
        <f t="shared" si="218"/>
        <v>2.2575712650111199E-2</v>
      </c>
      <c r="F261" s="181">
        <v>44.63</v>
      </c>
      <c r="G261" s="181">
        <v>44.73</v>
      </c>
      <c r="H261" s="190">
        <v>3486</v>
      </c>
      <c r="I261" s="129">
        <v>-0.16200000000000001</v>
      </c>
      <c r="J261" s="129">
        <v>0.40510000000000002</v>
      </c>
      <c r="K261" s="188">
        <v>657075067.51999998</v>
      </c>
      <c r="L261" s="189">
        <f t="shared" si="219"/>
        <v>2.2732048264187378E-2</v>
      </c>
      <c r="M261" s="181">
        <v>46.97</v>
      </c>
      <c r="N261" s="181">
        <v>47.07</v>
      </c>
      <c r="O261" s="190">
        <v>3486</v>
      </c>
      <c r="P261" s="129">
        <v>-5.11E-2</v>
      </c>
      <c r="Q261" s="129">
        <v>0.33329999999999999</v>
      </c>
      <c r="R261" s="106">
        <f t="shared" si="220"/>
        <v>5.2828762156796216E-2</v>
      </c>
      <c r="S261" s="106">
        <f t="shared" si="221"/>
        <v>5.2313883299798872E-2</v>
      </c>
      <c r="T261" s="106">
        <f t="shared" si="222"/>
        <v>0</v>
      </c>
      <c r="U261" s="106">
        <f t="shared" si="223"/>
        <v>0.1109</v>
      </c>
      <c r="V261" s="107">
        <f t="shared" si="224"/>
        <v>-7.180000000000003E-2</v>
      </c>
    </row>
    <row r="262" spans="1:26">
      <c r="A262" s="131">
        <v>9</v>
      </c>
      <c r="B262" s="100" t="s">
        <v>304</v>
      </c>
      <c r="C262" s="101" t="s">
        <v>303</v>
      </c>
      <c r="D262" s="191">
        <v>1825937482.8399999</v>
      </c>
      <c r="E262" s="189">
        <f t="shared" si="218"/>
        <v>6.6049589844849654E-2</v>
      </c>
      <c r="F262" s="181">
        <v>22.56</v>
      </c>
      <c r="G262" s="181">
        <v>22.66</v>
      </c>
      <c r="H262" s="190">
        <v>3723</v>
      </c>
      <c r="I262" s="129">
        <v>-5.8500000000000003E-2</v>
      </c>
      <c r="J262" s="129">
        <v>0.86670000000000003</v>
      </c>
      <c r="K262" s="191">
        <v>1997904419.99</v>
      </c>
      <c r="L262" s="189">
        <f t="shared" si="219"/>
        <v>6.911913409507596E-2</v>
      </c>
      <c r="M262" s="181">
        <v>24.1</v>
      </c>
      <c r="N262" s="181">
        <v>24.2</v>
      </c>
      <c r="O262" s="190">
        <v>3723</v>
      </c>
      <c r="P262" s="129">
        <v>-1.8E-3</v>
      </c>
      <c r="Q262" s="129">
        <v>0.86329999999999996</v>
      </c>
      <c r="R262" s="106">
        <f t="shared" si="220"/>
        <v>9.4180079420095306E-2</v>
      </c>
      <c r="S262" s="106">
        <f t="shared" si="221"/>
        <v>6.7961165048543645E-2</v>
      </c>
      <c r="T262" s="106">
        <f t="shared" si="222"/>
        <v>0</v>
      </c>
      <c r="U262" s="106">
        <f t="shared" si="223"/>
        <v>5.67E-2</v>
      </c>
      <c r="V262" s="107">
        <f t="shared" si="224"/>
        <v>-3.4000000000000696E-3</v>
      </c>
    </row>
    <row r="263" spans="1:26" ht="15" customHeight="1">
      <c r="A263" s="131">
        <v>10</v>
      </c>
      <c r="B263" s="100" t="s">
        <v>305</v>
      </c>
      <c r="C263" s="101" t="s">
        <v>303</v>
      </c>
      <c r="D263" s="188">
        <v>337303301.19999999</v>
      </c>
      <c r="E263" s="189">
        <f t="shared" si="218"/>
        <v>1.2201263683421512E-2</v>
      </c>
      <c r="F263" s="181">
        <v>147.35</v>
      </c>
      <c r="G263" s="181">
        <v>149.35</v>
      </c>
      <c r="H263" s="190">
        <v>1646</v>
      </c>
      <c r="I263" s="129">
        <v>-0.1368</v>
      </c>
      <c r="J263" s="129">
        <v>0.51500000000000001</v>
      </c>
      <c r="K263" s="188">
        <v>395276944.74000001</v>
      </c>
      <c r="L263" s="189">
        <f t="shared" si="219"/>
        <v>1.3674928527518218E-2</v>
      </c>
      <c r="M263" s="181">
        <v>146.84</v>
      </c>
      <c r="N263" s="181">
        <v>148.84</v>
      </c>
      <c r="O263" s="190">
        <v>1823</v>
      </c>
      <c r="P263" s="129">
        <v>-0.1799</v>
      </c>
      <c r="Q263" s="129">
        <v>0.24249999999999999</v>
      </c>
      <c r="R263" s="106">
        <f t="shared" si="220"/>
        <v>0.17187392869785534</v>
      </c>
      <c r="S263" s="106">
        <f t="shared" si="221"/>
        <v>-3.4147974556410507E-3</v>
      </c>
      <c r="T263" s="106">
        <f t="shared" si="222"/>
        <v>0.10753341433778858</v>
      </c>
      <c r="U263" s="106">
        <f t="shared" si="223"/>
        <v>-4.3099999999999999E-2</v>
      </c>
      <c r="V263" s="107">
        <f t="shared" si="224"/>
        <v>-0.27250000000000002</v>
      </c>
    </row>
    <row r="264" spans="1:26">
      <c r="A264" s="131">
        <v>11</v>
      </c>
      <c r="B264" s="100" t="s">
        <v>306</v>
      </c>
      <c r="C264" s="101" t="s">
        <v>303</v>
      </c>
      <c r="D264" s="188">
        <v>11848960532.870001</v>
      </c>
      <c r="E264" s="189">
        <f t="shared" si="218"/>
        <v>0.42861214616538584</v>
      </c>
      <c r="F264" s="181">
        <v>79.41</v>
      </c>
      <c r="G264" s="181">
        <v>79.61</v>
      </c>
      <c r="H264" s="190">
        <v>4310</v>
      </c>
      <c r="I264" s="129">
        <v>-3.1699999999999999E-2</v>
      </c>
      <c r="J264" s="129">
        <v>0.70340000000000003</v>
      </c>
      <c r="K264" s="188">
        <v>12321560125.6</v>
      </c>
      <c r="L264" s="189">
        <f t="shared" si="219"/>
        <v>0.42627442937743248</v>
      </c>
      <c r="M264" s="181">
        <v>82.44</v>
      </c>
      <c r="N264" s="181">
        <v>82.64</v>
      </c>
      <c r="O264" s="190">
        <v>4310</v>
      </c>
      <c r="P264" s="129">
        <v>-2.1600000000000001E-2</v>
      </c>
      <c r="Q264" s="129">
        <v>0.66649999999999998</v>
      </c>
      <c r="R264" s="106">
        <f t="shared" si="220"/>
        <v>3.9885320861603769E-2</v>
      </c>
      <c r="S264" s="106">
        <f t="shared" si="221"/>
        <v>3.8060545157643524E-2</v>
      </c>
      <c r="T264" s="106">
        <f t="shared" si="222"/>
        <v>0</v>
      </c>
      <c r="U264" s="106">
        <f t="shared" si="223"/>
        <v>1.0099999999999998E-2</v>
      </c>
      <c r="V264" s="107">
        <f t="shared" si="224"/>
        <v>-3.6900000000000044E-2</v>
      </c>
    </row>
    <row r="265" spans="1:26">
      <c r="A265" s="131">
        <v>12</v>
      </c>
      <c r="B265" s="100" t="s">
        <v>307</v>
      </c>
      <c r="C265" s="101" t="s">
        <v>303</v>
      </c>
      <c r="D265" s="191">
        <v>514635609.30000001</v>
      </c>
      <c r="E265" s="189">
        <f t="shared" si="218"/>
        <v>1.86159007267599E-2</v>
      </c>
      <c r="F265" s="181">
        <v>89.48</v>
      </c>
      <c r="G265" s="181">
        <v>89.68</v>
      </c>
      <c r="H265" s="190">
        <v>2967</v>
      </c>
      <c r="I265" s="129">
        <v>-9.0899999999999995E-2</v>
      </c>
      <c r="J265" s="129">
        <v>0.5</v>
      </c>
      <c r="K265" s="191">
        <v>553135682.53999996</v>
      </c>
      <c r="L265" s="189">
        <f t="shared" si="219"/>
        <v>1.9136180405689769E-2</v>
      </c>
      <c r="M265" s="181">
        <v>96.38</v>
      </c>
      <c r="N265" s="181">
        <v>96.58</v>
      </c>
      <c r="O265" s="190">
        <v>2967</v>
      </c>
      <c r="P265" s="129">
        <v>-0.1333</v>
      </c>
      <c r="Q265" s="129">
        <v>0.69825918762088979</v>
      </c>
      <c r="R265" s="106">
        <f t="shared" si="220"/>
        <v>7.4810356190406643E-2</v>
      </c>
      <c r="S265" s="106">
        <f t="shared" si="221"/>
        <v>7.6940231935771528E-2</v>
      </c>
      <c r="T265" s="106">
        <f t="shared" si="222"/>
        <v>0</v>
      </c>
      <c r="U265" s="106">
        <f t="shared" si="223"/>
        <v>-4.2400000000000007E-2</v>
      </c>
      <c r="V265" s="107">
        <f t="shared" si="224"/>
        <v>0.19825918762088979</v>
      </c>
      <c r="X265" s="41"/>
      <c r="Z265" s="30"/>
    </row>
    <row r="266" spans="1:26">
      <c r="A266" s="192"/>
      <c r="B266" s="192"/>
      <c r="C266" s="193" t="s">
        <v>308</v>
      </c>
      <c r="D266" s="179">
        <f>SUM(D254:D265)</f>
        <v>27644948093.23</v>
      </c>
      <c r="E266" s="182"/>
      <c r="F266" s="182"/>
      <c r="G266" s="183"/>
      <c r="H266" s="179">
        <f>SUM(H254:H265)</f>
        <v>26941</v>
      </c>
      <c r="I266" s="184"/>
      <c r="J266" s="184"/>
      <c r="K266" s="179">
        <f>SUM(K254:K265)</f>
        <v>28905229299.34</v>
      </c>
      <c r="L266" s="182"/>
      <c r="M266" s="182"/>
      <c r="N266" s="183"/>
      <c r="O266" s="179">
        <f>SUM(O254:O265)</f>
        <v>27118</v>
      </c>
      <c r="P266" s="184"/>
      <c r="Q266" s="184"/>
      <c r="R266" s="106">
        <f t="shared" si="220"/>
        <v>4.5588119820656574E-2</v>
      </c>
      <c r="S266" s="106" t="e">
        <f t="shared" si="221"/>
        <v>#DIV/0!</v>
      </c>
      <c r="T266" s="106">
        <f t="shared" si="222"/>
        <v>6.5699120299914631E-3</v>
      </c>
      <c r="U266" s="106">
        <f t="shared" si="223"/>
        <v>0</v>
      </c>
      <c r="V266" s="107">
        <f t="shared" si="224"/>
        <v>0</v>
      </c>
      <c r="Z266" s="23"/>
    </row>
    <row r="267" spans="1:26">
      <c r="A267" s="194"/>
      <c r="B267" s="194"/>
      <c r="C267" s="195" t="s">
        <v>309</v>
      </c>
      <c r="D267" s="196">
        <f>SUM(D238,D246,D251,D266)</f>
        <v>8884571854243.5469</v>
      </c>
      <c r="E267" s="197"/>
      <c r="F267" s="197"/>
      <c r="G267" s="198"/>
      <c r="H267" s="196">
        <f>SUM(H238,H246,H251,H266)</f>
        <v>1329779</v>
      </c>
      <c r="I267" s="199"/>
      <c r="J267" s="199"/>
      <c r="K267" s="196">
        <f>SUM(K238,K246,K251,K266)</f>
        <v>8972817889038.3242</v>
      </c>
      <c r="L267" s="197"/>
      <c r="M267" s="197"/>
      <c r="N267" s="196"/>
      <c r="O267" s="196">
        <f>SUM(O238,O246,O251,O266)</f>
        <v>1340416</v>
      </c>
      <c r="P267" s="200"/>
      <c r="Q267" s="196"/>
      <c r="R267" s="201"/>
      <c r="S267" s="202"/>
      <c r="T267" s="202"/>
      <c r="U267" s="203"/>
      <c r="V267" s="203"/>
      <c r="Z267" s="23"/>
    </row>
    <row r="268" spans="1:26">
      <c r="A268" s="204" t="s">
        <v>310</v>
      </c>
      <c r="B268" s="205" t="s">
        <v>343</v>
      </c>
      <c r="C268" s="206"/>
      <c r="D268" s="206"/>
      <c r="E268" s="206"/>
      <c r="F268" s="206"/>
      <c r="G268" s="206"/>
      <c r="H268" s="206"/>
      <c r="I268" s="206"/>
      <c r="J268" s="206"/>
      <c r="K268" s="206"/>
      <c r="L268" s="206"/>
      <c r="M268" s="206"/>
      <c r="N268" s="206"/>
      <c r="O268" s="206"/>
      <c r="P268" s="206"/>
      <c r="Q268" s="206"/>
      <c r="R268" s="206"/>
      <c r="S268" s="206"/>
      <c r="T268" s="206"/>
      <c r="U268" s="206"/>
      <c r="V268" s="206"/>
    </row>
    <row r="269" spans="1:26">
      <c r="B269" s="32"/>
    </row>
    <row r="270" spans="1:26">
      <c r="B270" s="32"/>
      <c r="C270" s="33"/>
      <c r="D270" s="34"/>
      <c r="K270" s="34"/>
    </row>
    <row r="271" spans="1:26" ht="15">
      <c r="B271" s="35"/>
      <c r="C271" s="36"/>
      <c r="D271" s="37"/>
      <c r="F271" s="38"/>
      <c r="G271" s="38"/>
      <c r="I271" s="39"/>
      <c r="J271" s="40"/>
    </row>
    <row r="272" spans="1:26">
      <c r="C272" s="32"/>
    </row>
    <row r="273" spans="2:11">
      <c r="K273" s="31"/>
    </row>
    <row r="274" spans="2:11">
      <c r="B274" s="33"/>
    </row>
    <row r="275" spans="2:11">
      <c r="K275" s="41"/>
    </row>
  </sheetData>
  <sheetProtection algorithmName="SHA-512" hashValue="UlON4xCuAVHElkaCRtDl3leUAjckWd3fWgzYtFlL14spxAjS/7cHQV2J4bv0q62+4KBXy8s4sY9FjAOYuAPS3Q==" saltValue="K6p5rdUrztj8QnHXZ/aAHA==" spinCount="100000" sheet="1" objects="1" scenarios="1"/>
  <sortState ref="A150:C177">
    <sortCondition descending="1" ref="A149"/>
  </sortState>
  <mergeCells count="34">
    <mergeCell ref="A240:V240"/>
    <mergeCell ref="A248:V248"/>
    <mergeCell ref="B252:V252"/>
    <mergeCell ref="A253:V253"/>
    <mergeCell ref="B215:V215"/>
    <mergeCell ref="A216:V216"/>
    <mergeCell ref="B231:V231"/>
    <mergeCell ref="A232:V232"/>
    <mergeCell ref="B239:U239"/>
    <mergeCell ref="B204:V204"/>
    <mergeCell ref="A205:V205"/>
    <mergeCell ref="B210:V210"/>
    <mergeCell ref="A211:V211"/>
    <mergeCell ref="A212:V212"/>
    <mergeCell ref="A140:V140"/>
    <mergeCell ref="B162:V162"/>
    <mergeCell ref="A163:V163"/>
    <mergeCell ref="B171:V171"/>
    <mergeCell ref="A172:V172"/>
    <mergeCell ref="A78:V78"/>
    <mergeCell ref="B118:V118"/>
    <mergeCell ref="A119:V119"/>
    <mergeCell ref="A120:V120"/>
    <mergeCell ref="B139:V139"/>
    <mergeCell ref="B4:V4"/>
    <mergeCell ref="A5:V5"/>
    <mergeCell ref="B27:V27"/>
    <mergeCell ref="A28:V28"/>
    <mergeCell ref="B77:V77"/>
    <mergeCell ref="A1:V1"/>
    <mergeCell ref="D2:J2"/>
    <mergeCell ref="K2:Q2"/>
    <mergeCell ref="R2:T2"/>
    <mergeCell ref="U2:V2"/>
  </mergeCells>
  <pageMargins left="0.7" right="0.7" top="0.75" bottom="0.75" header="0.3" footer="0.3"/>
  <pageSetup paperSize="9" orientation="portrait" horizontalDpi="300" verticalDpi="300" r:id="rId1"/>
  <ignoredErrors>
    <ignoredError sqref="E103 E83 L53 L37 E37 L146 E146" formula="1"/>
    <ignoredError sqref="S170 S26 S76 S117 S161 S203 S209 S237 S266 T249:T250 R54:T54 R146 R132:T132 R49:T49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H29"/>
  <sheetViews>
    <sheetView workbookViewId="0">
      <selection activeCell="G8" sqref="G8"/>
    </sheetView>
  </sheetViews>
  <sheetFormatPr defaultColWidth="9" defaultRowHeight="14.4"/>
  <cols>
    <col min="1" max="1" width="34" style="20" customWidth="1"/>
    <col min="2" max="2" width="15.6640625" style="20" customWidth="1"/>
    <col min="3" max="3" width="16.109375" style="20" customWidth="1"/>
    <col min="4" max="5" width="9" style="20"/>
  </cols>
  <sheetData>
    <row r="1" spans="1:8">
      <c r="A1" s="58"/>
      <c r="B1" s="58"/>
      <c r="C1" s="58"/>
      <c r="D1" s="58"/>
      <c r="E1" s="15"/>
      <c r="F1" s="15"/>
      <c r="G1" s="15"/>
      <c r="H1" s="20"/>
    </row>
    <row r="2" spans="1:8" ht="27.6">
      <c r="A2" s="59" t="s">
        <v>311</v>
      </c>
      <c r="B2" s="60" t="s">
        <v>340</v>
      </c>
      <c r="C2" s="60" t="s">
        <v>344</v>
      </c>
      <c r="D2" s="61"/>
      <c r="E2" s="15"/>
      <c r="F2" s="15"/>
      <c r="G2" s="15"/>
      <c r="H2" s="20"/>
    </row>
    <row r="3" spans="1:8">
      <c r="A3" s="62" t="s">
        <v>17</v>
      </c>
      <c r="B3" s="63">
        <f t="shared" ref="B3:C10" si="0">B13</f>
        <v>198.1022539740199</v>
      </c>
      <c r="C3" s="63">
        <f t="shared" si="0"/>
        <v>216.34030366850018</v>
      </c>
      <c r="D3" s="61"/>
      <c r="E3" s="15"/>
      <c r="F3" s="15"/>
      <c r="G3" s="15"/>
      <c r="H3" s="20"/>
    </row>
    <row r="4" spans="1:8" ht="15.6" customHeight="1">
      <c r="A4" s="59" t="s">
        <v>55</v>
      </c>
      <c r="B4" s="64">
        <f t="shared" si="0"/>
        <v>5663.6463496105916</v>
      </c>
      <c r="C4" s="64">
        <f t="shared" si="0"/>
        <v>5684.6814589689548</v>
      </c>
      <c r="D4" s="61"/>
      <c r="E4" s="15"/>
      <c r="F4" s="15"/>
      <c r="G4" s="15"/>
      <c r="H4" s="20"/>
    </row>
    <row r="5" spans="1:8" ht="16.2" customHeight="1">
      <c r="A5" s="59" t="s">
        <v>312</v>
      </c>
      <c r="B5" s="63">
        <f t="shared" si="0"/>
        <v>237.15404274345843</v>
      </c>
      <c r="C5" s="63">
        <f t="shared" si="0"/>
        <v>235.70647222829081</v>
      </c>
      <c r="D5" s="61"/>
      <c r="E5" s="15"/>
      <c r="F5" s="15"/>
      <c r="G5" s="15"/>
      <c r="H5" s="20"/>
    </row>
    <row r="6" spans="1:8">
      <c r="A6" s="59" t="s">
        <v>171</v>
      </c>
      <c r="B6" s="64">
        <f t="shared" si="0"/>
        <v>1809.9686364740674</v>
      </c>
      <c r="C6" s="64">
        <f t="shared" si="0"/>
        <v>1845.5139378006818</v>
      </c>
      <c r="D6" s="61"/>
      <c r="E6" s="15"/>
      <c r="F6" s="15"/>
      <c r="G6" s="15"/>
      <c r="H6" s="20"/>
    </row>
    <row r="7" spans="1:8">
      <c r="A7" s="59" t="s">
        <v>313</v>
      </c>
      <c r="B7" s="63">
        <f t="shared" si="0"/>
        <v>505.0606137544417</v>
      </c>
      <c r="C7" s="63">
        <f t="shared" si="0"/>
        <v>505.63789731583006</v>
      </c>
      <c r="D7" s="61"/>
      <c r="E7" s="15"/>
      <c r="F7" s="15"/>
      <c r="G7" s="15"/>
      <c r="H7" s="20"/>
    </row>
    <row r="8" spans="1:8">
      <c r="A8" s="59" t="s">
        <v>216</v>
      </c>
      <c r="B8" s="65">
        <f t="shared" si="0"/>
        <v>130.92364111656394</v>
      </c>
      <c r="C8" s="65">
        <f t="shared" si="0"/>
        <v>137.04628263608222</v>
      </c>
      <c r="D8" s="61"/>
      <c r="E8" s="15"/>
      <c r="F8" s="15"/>
      <c r="G8" s="15"/>
      <c r="H8" s="20"/>
    </row>
    <row r="9" spans="1:8">
      <c r="A9" s="59" t="s">
        <v>248</v>
      </c>
      <c r="B9" s="63">
        <f t="shared" si="0"/>
        <v>16.71368421259</v>
      </c>
      <c r="C9" s="63">
        <f t="shared" si="0"/>
        <v>18.040731810320001</v>
      </c>
      <c r="D9" s="61"/>
      <c r="E9" s="15"/>
      <c r="F9" s="15"/>
      <c r="G9" s="15"/>
      <c r="H9" s="20"/>
    </row>
    <row r="10" spans="1:8">
      <c r="A10" s="59" t="s">
        <v>314</v>
      </c>
      <c r="B10" s="63">
        <f t="shared" si="0"/>
        <v>120.56530523860492</v>
      </c>
      <c r="C10" s="63">
        <f t="shared" si="0"/>
        <v>125.94507915049832</v>
      </c>
      <c r="D10" s="61"/>
      <c r="E10" s="15"/>
      <c r="F10" s="15"/>
      <c r="G10" s="15"/>
      <c r="H10" s="20"/>
    </row>
    <row r="11" spans="1:8">
      <c r="A11" s="59" t="s">
        <v>281</v>
      </c>
      <c r="B11" s="63">
        <f>B21</f>
        <v>31.487849239809496</v>
      </c>
      <c r="C11" s="63">
        <f>C21</f>
        <v>31.632969925556733</v>
      </c>
      <c r="D11" s="61"/>
      <c r="E11" s="15"/>
      <c r="F11" s="15"/>
      <c r="G11" s="15"/>
      <c r="H11" s="20"/>
    </row>
    <row r="12" spans="1:8">
      <c r="A12" s="58"/>
      <c r="B12" s="58"/>
      <c r="C12" s="58"/>
      <c r="D12" s="58"/>
      <c r="E12" s="15"/>
      <c r="F12" s="15"/>
      <c r="G12" s="15"/>
      <c r="H12" s="20"/>
    </row>
    <row r="13" spans="1:8">
      <c r="A13" s="66" t="s">
        <v>17</v>
      </c>
      <c r="B13" s="67">
        <f>'Weekly Valuation'!D26/1000000000</f>
        <v>198.1022539740199</v>
      </c>
      <c r="C13" s="68">
        <f>'Weekly Valuation'!K26/1000000000</f>
        <v>216.34030366850018</v>
      </c>
      <c r="D13" s="58"/>
      <c r="E13" s="15"/>
      <c r="F13" s="15"/>
      <c r="G13" s="15"/>
      <c r="H13" s="20"/>
    </row>
    <row r="14" spans="1:8">
      <c r="A14" s="69" t="s">
        <v>55</v>
      </c>
      <c r="B14" s="67">
        <f>'Weekly Valuation'!D76/1000000000</f>
        <v>5663.6463496105916</v>
      </c>
      <c r="C14" s="70">
        <f>'Weekly Valuation'!K76/1000000000</f>
        <v>5684.6814589689548</v>
      </c>
      <c r="D14" s="58"/>
      <c r="E14" s="15"/>
      <c r="F14" s="15"/>
      <c r="G14" s="15"/>
      <c r="H14" s="20"/>
    </row>
    <row r="15" spans="1:8">
      <c r="A15" s="69" t="s">
        <v>312</v>
      </c>
      <c r="B15" s="67">
        <f>'Weekly Valuation'!D117/1000000000</f>
        <v>237.15404274345843</v>
      </c>
      <c r="C15" s="68">
        <f>'Weekly Valuation'!K117/1000000000</f>
        <v>235.70647222829081</v>
      </c>
      <c r="D15" s="58"/>
      <c r="E15" s="15"/>
      <c r="F15" s="15"/>
      <c r="G15" s="15"/>
      <c r="H15" s="20"/>
    </row>
    <row r="16" spans="1:8">
      <c r="A16" s="69" t="s">
        <v>171</v>
      </c>
      <c r="B16" s="67">
        <f>'Weekly Valuation'!D161/1000000000</f>
        <v>1809.9686364740674</v>
      </c>
      <c r="C16" s="70">
        <f>'Weekly Valuation'!K161/1000000000</f>
        <v>1845.5139378006818</v>
      </c>
      <c r="D16" s="58"/>
      <c r="E16" s="15"/>
      <c r="F16" s="15"/>
      <c r="G16" s="15"/>
      <c r="H16" s="20"/>
    </row>
    <row r="17" spans="1:8">
      <c r="A17" s="69" t="s">
        <v>313</v>
      </c>
      <c r="B17" s="67">
        <f>'Weekly Valuation'!D170/1000000000</f>
        <v>505.0606137544417</v>
      </c>
      <c r="C17" s="68">
        <f>'Weekly Valuation'!K170/1000000000</f>
        <v>505.63789731583006</v>
      </c>
      <c r="D17" s="58"/>
      <c r="E17" s="15"/>
      <c r="F17" s="15"/>
      <c r="G17" s="15"/>
      <c r="H17" s="20"/>
    </row>
    <row r="18" spans="1:8">
      <c r="A18" s="69" t="s">
        <v>216</v>
      </c>
      <c r="B18" s="67">
        <f>'Weekly Valuation'!D203/1000000000</f>
        <v>130.92364111656394</v>
      </c>
      <c r="C18" s="71">
        <f>'Weekly Valuation'!K203/1000000000</f>
        <v>137.04628263608222</v>
      </c>
      <c r="D18" s="58"/>
      <c r="E18" s="15"/>
      <c r="F18" s="15"/>
      <c r="G18" s="15"/>
      <c r="H18" s="20"/>
    </row>
    <row r="19" spans="1:8">
      <c r="A19" s="69" t="s">
        <v>248</v>
      </c>
      <c r="B19" s="67">
        <f>'Weekly Valuation'!D209/1000000000</f>
        <v>16.71368421259</v>
      </c>
      <c r="C19" s="68">
        <f>'Weekly Valuation'!K209/1000000000</f>
        <v>18.040731810320001</v>
      </c>
      <c r="D19" s="58"/>
      <c r="E19" s="15"/>
      <c r="F19" s="15"/>
      <c r="G19" s="15"/>
      <c r="H19" s="20"/>
    </row>
    <row r="20" spans="1:8">
      <c r="A20" s="69" t="s">
        <v>314</v>
      </c>
      <c r="B20" s="67">
        <f>'Weekly Valuation'!D237/1000000000</f>
        <v>120.56530523860492</v>
      </c>
      <c r="C20" s="68">
        <f>'Weekly Valuation'!K237/1000000000</f>
        <v>125.94507915049832</v>
      </c>
      <c r="D20" s="58"/>
      <c r="E20" s="15"/>
      <c r="F20" s="15"/>
      <c r="G20" s="15"/>
      <c r="H20" s="20"/>
    </row>
    <row r="21" spans="1:8">
      <c r="A21" s="69" t="s">
        <v>281</v>
      </c>
      <c r="B21" s="67">
        <f>'Weekly Valuation'!D246/1000000000</f>
        <v>31.487849239809496</v>
      </c>
      <c r="C21" s="68">
        <f>'Weekly Valuation'!K246/1000000000</f>
        <v>31.632969925556733</v>
      </c>
      <c r="D21" s="58"/>
      <c r="E21" s="15"/>
      <c r="F21" s="15"/>
      <c r="G21" s="15"/>
      <c r="H21" s="20"/>
    </row>
    <row r="22" spans="1:8">
      <c r="A22" s="72"/>
      <c r="B22" s="58"/>
      <c r="C22" s="73"/>
      <c r="D22" s="58"/>
      <c r="E22" s="15"/>
      <c r="F22" s="15"/>
      <c r="G22" s="15"/>
      <c r="H22" s="20"/>
    </row>
    <row r="23" spans="1:8">
      <c r="A23" s="74"/>
      <c r="B23" s="73"/>
      <c r="C23" s="75"/>
      <c r="E23" s="15"/>
      <c r="F23" s="15"/>
      <c r="G23" s="15"/>
      <c r="H23" s="20"/>
    </row>
    <row r="24" spans="1:8">
      <c r="A24" s="47"/>
      <c r="B24" s="48"/>
      <c r="C24" s="48"/>
      <c r="D24" s="15"/>
      <c r="E24" s="15"/>
      <c r="F24" s="15"/>
      <c r="G24" s="15"/>
      <c r="H24" s="20"/>
    </row>
    <row r="25" spans="1:8">
      <c r="A25" s="47"/>
      <c r="B25" s="48"/>
      <c r="C25" s="48"/>
      <c r="D25" s="15"/>
      <c r="E25" s="15"/>
      <c r="F25" s="15"/>
      <c r="G25" s="15"/>
      <c r="H25" s="20"/>
    </row>
    <row r="26" spans="1:8">
      <c r="A26" s="47"/>
      <c r="B26" s="48"/>
      <c r="C26" s="48"/>
      <c r="D26" s="15"/>
      <c r="E26" s="15"/>
      <c r="F26" s="15"/>
      <c r="G26" s="20"/>
      <c r="H26" s="20"/>
    </row>
    <row r="27" spans="1:8">
      <c r="A27" s="47"/>
      <c r="B27" s="48"/>
      <c r="C27" s="48"/>
      <c r="D27" s="15"/>
      <c r="E27" s="15"/>
      <c r="F27" s="15"/>
      <c r="G27" s="20"/>
      <c r="H27" s="20"/>
    </row>
    <row r="28" spans="1:8">
      <c r="A28" s="15"/>
      <c r="B28" s="15"/>
      <c r="C28" s="15"/>
      <c r="D28" s="15"/>
      <c r="E28" s="15"/>
      <c r="F28" s="15"/>
      <c r="G28" s="20"/>
      <c r="H28" s="20"/>
    </row>
    <row r="29" spans="1:8">
      <c r="F29" s="20"/>
      <c r="G29" s="20"/>
      <c r="H29" s="20"/>
    </row>
  </sheetData>
  <sheetProtection algorithmName="SHA-512" hashValue="9vJJC699gHEdVMv1t5eQnki8cT7IdXtX8oO9YTuzBLxDRtBtr1Z1Zam7XZH52QgYul/qGgixMKeTTs1duemOIQ==" saltValue="P1eTetjbwKAhUWp0YIdBY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8"/>
  <sheetViews>
    <sheetView zoomScale="85" zoomScaleNormal="85" workbookViewId="0">
      <selection activeCell="J13" sqref="J13"/>
    </sheetView>
  </sheetViews>
  <sheetFormatPr defaultColWidth="9" defaultRowHeight="14.4"/>
  <cols>
    <col min="1" max="1" width="31.33203125" customWidth="1"/>
    <col min="2" max="2" width="17.44140625" customWidth="1"/>
    <col min="16" max="16" width="7.5546875" customWidth="1"/>
  </cols>
  <sheetData>
    <row r="1" spans="1:16" ht="15.6">
      <c r="A1" s="76" t="s">
        <v>311</v>
      </c>
      <c r="B1" s="77">
        <v>46136</v>
      </c>
      <c r="C1" s="5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72" t="s">
        <v>248</v>
      </c>
      <c r="B2" s="73">
        <f>'Weekly Valuation'!K209</f>
        <v>18040731810.32</v>
      </c>
      <c r="C2" s="5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72" t="s">
        <v>281</v>
      </c>
      <c r="B3" s="73">
        <f>'Weekly Valuation'!K246</f>
        <v>31632969925.556732</v>
      </c>
      <c r="C3" s="5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72" t="s">
        <v>314</v>
      </c>
      <c r="B4" s="73">
        <f>'Weekly Valuation'!K237</f>
        <v>125945079150.49832</v>
      </c>
      <c r="C4" s="5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72" t="s">
        <v>216</v>
      </c>
      <c r="B5" s="75">
        <f>'Weekly Valuation'!K203</f>
        <v>137046282636.08223</v>
      </c>
      <c r="C5" s="5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72" t="s">
        <v>17</v>
      </c>
      <c r="B6" s="73">
        <f>'Weekly Valuation'!K26</f>
        <v>216340303668.50018</v>
      </c>
      <c r="C6" s="5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72" t="s">
        <v>312</v>
      </c>
      <c r="B7" s="73">
        <f>'Weekly Valuation'!K117</f>
        <v>235706472228.2908</v>
      </c>
      <c r="C7" s="5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72" t="s">
        <v>313</v>
      </c>
      <c r="B8" s="73">
        <f>'Weekly Valuation'!K170</f>
        <v>505637897315.83008</v>
      </c>
      <c r="C8" s="5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72" t="s">
        <v>171</v>
      </c>
      <c r="B9" s="78">
        <f>'Weekly Valuation'!K161</f>
        <v>1845513937800.6819</v>
      </c>
      <c r="C9" s="5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72" t="s">
        <v>55</v>
      </c>
      <c r="B10" s="78">
        <f>'Weekly Valuation'!K76</f>
        <v>5684681458968.9551</v>
      </c>
      <c r="C10" s="5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58"/>
      <c r="B11" s="58"/>
      <c r="C11" s="5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72"/>
      <c r="B12" s="79"/>
      <c r="C12" s="5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72"/>
      <c r="B13" s="58"/>
      <c r="C13" s="5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73"/>
      <c r="B14" s="73"/>
      <c r="C14" s="5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>
      <c r="A15" s="73"/>
      <c r="B15" s="73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 ht="16.5" customHeight="1">
      <c r="A16" s="47"/>
      <c r="B16" s="51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>
      <c r="A17" s="48"/>
      <c r="B17" s="48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6">
      <c r="A18" s="48"/>
      <c r="B18" s="48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6">
      <c r="A19" s="49"/>
      <c r="B19" s="4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6">
      <c r="A20" s="49"/>
      <c r="B20" s="49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6">
      <c r="A21" s="49"/>
      <c r="B21" s="49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6">
      <c r="A22" s="47"/>
      <c r="B22" s="49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6">
      <c r="A23" s="15"/>
      <c r="B23" s="49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6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6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6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6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6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6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6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6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6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</row>
    <row r="33" spans="1:17" ht="16.5" customHeight="1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21"/>
    </row>
    <row r="34" spans="1:17" ht="15" customHeight="1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21"/>
    </row>
    <row r="35" spans="1:17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</row>
    <row r="36" spans="1:17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</row>
    <row r="37" spans="1:17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</row>
    <row r="38" spans="1:17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</sheetData>
  <sheetProtection algorithmName="SHA-512" hashValue="IUnKx02b9XFNcL5CA1paA/MDbZYbOx7hQJV5tJXbDdUgcQDKW3A+sj/9X4e7DaVTRq7UUsU7d1jTFzJE9UMAOA==" saltValue="ycnh8nmANk4SWd9+fYcVMg==" spinCount="100000" sheet="1" selectLockedCells="1" selectUnlockedCells="1"/>
  <sortState ref="A2:B9">
    <sortCondition ref="B2:B9"/>
  </sortState>
  <mergeCells count="1">
    <mergeCell ref="A33:P34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O20"/>
  <sheetViews>
    <sheetView zoomScale="110" zoomScaleNormal="110" workbookViewId="0">
      <selection activeCell="F8" sqref="F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15"/>
      <c r="N1" s="15"/>
      <c r="O1" s="46"/>
    </row>
    <row r="2" spans="1:15">
      <c r="A2" s="80" t="s">
        <v>315</v>
      </c>
      <c r="B2" s="81">
        <v>46087</v>
      </c>
      <c r="C2" s="81">
        <v>46094</v>
      </c>
      <c r="D2" s="81">
        <v>46099</v>
      </c>
      <c r="E2" s="81">
        <v>46108</v>
      </c>
      <c r="F2" s="81">
        <v>46114</v>
      </c>
      <c r="G2" s="81">
        <v>46122</v>
      </c>
      <c r="H2" s="81">
        <v>46129</v>
      </c>
      <c r="I2" s="81">
        <v>46136</v>
      </c>
      <c r="J2" s="20"/>
      <c r="K2" s="20"/>
      <c r="L2" s="20"/>
      <c r="M2" s="15"/>
      <c r="N2" s="15"/>
      <c r="O2" s="46"/>
    </row>
    <row r="3" spans="1:15">
      <c r="A3" s="80" t="s">
        <v>316</v>
      </c>
      <c r="B3" s="82">
        <f t="shared" ref="B3:I3" si="0">B4</f>
        <v>8344.3102028916874</v>
      </c>
      <c r="C3" s="82">
        <f t="shared" si="0"/>
        <v>8362.1373987365132</v>
      </c>
      <c r="D3" s="82">
        <f t="shared" si="0"/>
        <v>8418.7881429582667</v>
      </c>
      <c r="E3" s="82">
        <f t="shared" si="0"/>
        <v>8440.5567676688224</v>
      </c>
      <c r="F3" s="82">
        <f t="shared" si="0"/>
        <v>8593.7769156229697</v>
      </c>
      <c r="G3" s="82">
        <f t="shared" si="0"/>
        <v>8623.4476305652915</v>
      </c>
      <c r="H3" s="82">
        <f t="shared" si="0"/>
        <v>8713.6223763641447</v>
      </c>
      <c r="I3" s="82">
        <f t="shared" si="0"/>
        <v>8800.5451335047146</v>
      </c>
      <c r="J3" s="20"/>
      <c r="K3" s="20"/>
      <c r="L3" s="20"/>
      <c r="M3" s="15"/>
      <c r="N3" s="15"/>
      <c r="O3" s="46"/>
    </row>
    <row r="4" spans="1:15">
      <c r="A4" s="20"/>
      <c r="B4" s="83">
        <f>'NAV Trend'!C11/1000000000</f>
        <v>8344.3102028916874</v>
      </c>
      <c r="C4" s="83">
        <f>'NAV Trend'!D11/1000000000</f>
        <v>8362.1373987365132</v>
      </c>
      <c r="D4" s="83">
        <f>'NAV Trend'!E11/1000000000</f>
        <v>8418.7881429582667</v>
      </c>
      <c r="E4" s="83">
        <f>'NAV Trend'!F11/1000000000</f>
        <v>8440.5567676688224</v>
      </c>
      <c r="F4" s="83">
        <f>'NAV Trend'!G11/1000000000</f>
        <v>8593.7769156229697</v>
      </c>
      <c r="G4" s="83">
        <f>'NAV Trend'!H11/1000000000</f>
        <v>8623.4476305652915</v>
      </c>
      <c r="H4" s="84">
        <f>'NAV Trend'!I11/1000000000</f>
        <v>8713.6223763641447</v>
      </c>
      <c r="I4" s="84">
        <f>'NAV Trend'!J11/1000000000</f>
        <v>8800.5451335047146</v>
      </c>
      <c r="J4" s="20"/>
      <c r="K4" s="20"/>
      <c r="L4" s="20"/>
      <c r="M4" s="15"/>
      <c r="N4" s="15"/>
      <c r="O4" s="46"/>
    </row>
    <row r="5" spans="1:15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15"/>
      <c r="N5" s="15"/>
      <c r="O5" s="46"/>
    </row>
    <row r="6" spans="1: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15"/>
      <c r="N6" s="15"/>
      <c r="O6" s="46"/>
    </row>
    <row r="7" spans="1:15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15"/>
      <c r="N7" s="15"/>
      <c r="O7" s="46"/>
    </row>
    <row r="8" spans="1:1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46"/>
    </row>
    <row r="9" spans="1:15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46"/>
    </row>
    <row r="10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46"/>
      <c r="O10" s="46"/>
    </row>
    <row r="11" spans="1:15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46"/>
      <c r="O11" s="46"/>
    </row>
    <row r="12" spans="1:15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46"/>
      <c r="O12" s="46"/>
    </row>
    <row r="13" spans="1: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46"/>
      <c r="O13" s="46"/>
    </row>
    <row r="14" spans="1:15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46"/>
      <c r="O14" s="46"/>
    </row>
    <row r="15" spans="1:15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46"/>
      <c r="O15" s="46"/>
    </row>
    <row r="16" spans="1:15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46"/>
      <c r="N16" s="46"/>
      <c r="O16" s="46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46"/>
      <c r="N17" s="46"/>
      <c r="O17" s="46"/>
    </row>
    <row r="18" spans="1:15"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1:15"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1:15"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</sheetData>
  <sheetProtection algorithmName="SHA-512" hashValue="VLzAgfK2nMUK+Rh0cv+blQ5rFvE/mNCHAA28gc2sJoxP+7DT/S9jpNMclBxp+wt+YHa2ZeTuPw/RmXlnz7AHHw==" saltValue="Sa5tfnoE/D1NmQCBS8iLAA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G7" sqref="G7"/>
    </sheetView>
  </sheetViews>
  <sheetFormatPr defaultColWidth="9" defaultRowHeight="14.4"/>
  <cols>
    <col min="1" max="1" width="10.664062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15"/>
      <c r="K1" s="15"/>
      <c r="L1" s="15"/>
      <c r="M1" s="15"/>
      <c r="N1" s="20"/>
      <c r="O1" s="20"/>
      <c r="P1" s="44"/>
    </row>
    <row r="2" spans="1:16">
      <c r="A2" s="80" t="s">
        <v>315</v>
      </c>
      <c r="B2" s="81">
        <v>46087</v>
      </c>
      <c r="C2" s="81">
        <v>46094</v>
      </c>
      <c r="D2" s="81">
        <v>46099</v>
      </c>
      <c r="E2" s="81">
        <v>46108</v>
      </c>
      <c r="F2" s="81">
        <v>46114</v>
      </c>
      <c r="G2" s="81">
        <v>46122</v>
      </c>
      <c r="H2" s="81">
        <v>46129</v>
      </c>
      <c r="I2" s="81">
        <v>46136</v>
      </c>
      <c r="J2" s="15"/>
      <c r="K2" s="15"/>
      <c r="L2" s="15"/>
      <c r="M2" s="15"/>
      <c r="N2" s="20"/>
      <c r="O2" s="20"/>
      <c r="P2" s="44"/>
    </row>
    <row r="3" spans="1:16">
      <c r="A3" s="80" t="s">
        <v>317</v>
      </c>
      <c r="B3" s="82">
        <f t="shared" ref="B3:I3" si="0">B4</f>
        <v>23.933072983509998</v>
      </c>
      <c r="C3" s="82">
        <f t="shared" si="0"/>
        <v>24.024073678480001</v>
      </c>
      <c r="D3" s="82">
        <f t="shared" si="0"/>
        <v>24.06611184246</v>
      </c>
      <c r="E3" s="82">
        <f t="shared" si="0"/>
        <v>24.226803601379999</v>
      </c>
      <c r="F3" s="82">
        <f t="shared" si="0"/>
        <v>24.882508960419997</v>
      </c>
      <c r="G3" s="82">
        <f t="shared" si="0"/>
        <v>25.247393537559997</v>
      </c>
      <c r="H3" s="82">
        <f t="shared" si="0"/>
        <v>27.644948093229999</v>
      </c>
      <c r="I3" s="82">
        <f t="shared" si="0"/>
        <v>28.90522929934</v>
      </c>
      <c r="J3" s="15"/>
      <c r="K3" s="15"/>
      <c r="L3" s="15"/>
      <c r="M3" s="15"/>
      <c r="N3" s="20"/>
      <c r="O3" s="20"/>
      <c r="P3" s="44"/>
    </row>
    <row r="4" spans="1:16">
      <c r="A4" s="20"/>
      <c r="B4" s="83">
        <f>'NAV Trend'!C17/1000000000</f>
        <v>23.933072983509998</v>
      </c>
      <c r="C4" s="83">
        <f>'NAV Trend'!D17/1000000000</f>
        <v>24.024073678480001</v>
      </c>
      <c r="D4" s="83">
        <f>'NAV Trend'!E17/1000000000</f>
        <v>24.06611184246</v>
      </c>
      <c r="E4" s="83">
        <f>'NAV Trend'!F17/1000000000</f>
        <v>24.226803601379999</v>
      </c>
      <c r="F4" s="83">
        <f>'NAV Trend'!G17/1000000000</f>
        <v>24.882508960419997</v>
      </c>
      <c r="G4" s="83">
        <f>'NAV Trend'!H17/1000000000</f>
        <v>25.247393537559997</v>
      </c>
      <c r="H4" s="83">
        <f>'NAV Trend'!I17/1000000000</f>
        <v>27.644948093229999</v>
      </c>
      <c r="I4" s="84">
        <f>'NAV Trend'!J17/1000000000</f>
        <v>28.90522929934</v>
      </c>
      <c r="J4" s="15"/>
      <c r="K4" s="15"/>
      <c r="L4" s="15"/>
      <c r="M4" s="15"/>
      <c r="N4" s="20"/>
      <c r="O4" s="20"/>
      <c r="P4" s="44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15"/>
      <c r="K5" s="15"/>
      <c r="L5" s="15"/>
      <c r="M5" s="15"/>
      <c r="N5" s="20"/>
      <c r="O5" s="20"/>
      <c r="P5" s="44"/>
    </row>
    <row r="6" spans="1:16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0"/>
      <c r="O6" s="20"/>
    </row>
    <row r="7" spans="1:16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20"/>
      <c r="O7" s="20"/>
    </row>
    <row r="8" spans="1:16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20"/>
      <c r="O8" s="20"/>
    </row>
    <row r="9" spans="1:16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0"/>
      <c r="O9" s="20"/>
    </row>
    <row r="10" spans="1:16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43"/>
    </row>
    <row r="11" spans="1:16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43"/>
    </row>
    <row r="12" spans="1:16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43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43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43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43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43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43"/>
    </row>
    <row r="18" spans="1:15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</row>
    <row r="19" spans="1:15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</row>
    <row r="20" spans="1:15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</row>
  </sheetData>
  <sheetProtection algorithmName="SHA-512" hashValue="lWVFma0Ri9UbFOL/iJ6BRqr9W0EELmm2UZbTWFsxknuvuLlwLUh0m8vYQmhGg/SyDDdTM7ALSvVh4kAYSajX4w==" saltValue="Z1NQXKwriOecSq3tHR3k6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3"/>
  <sheetViews>
    <sheetView topLeftCell="F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311</v>
      </c>
      <c r="B1" s="2">
        <v>46080</v>
      </c>
      <c r="C1" s="2">
        <v>46087</v>
      </c>
      <c r="D1" s="2">
        <v>46094</v>
      </c>
      <c r="E1" s="2">
        <v>46099</v>
      </c>
      <c r="F1" s="2">
        <v>46108</v>
      </c>
      <c r="G1" s="2">
        <v>46114</v>
      </c>
      <c r="H1" s="2">
        <v>46122</v>
      </c>
      <c r="I1" s="2">
        <v>46129</v>
      </c>
      <c r="J1" s="2">
        <v>46136</v>
      </c>
    </row>
    <row r="2" spans="1:11">
      <c r="A2" s="3" t="s">
        <v>17</v>
      </c>
      <c r="B2" s="4">
        <v>148191654431.43802</v>
      </c>
      <c r="C2" s="4">
        <v>159211652092.74878</v>
      </c>
      <c r="D2" s="4">
        <v>163538120041.90128</v>
      </c>
      <c r="E2" s="4">
        <v>167362604727.21579</v>
      </c>
      <c r="F2" s="4">
        <v>170736602967.8475</v>
      </c>
      <c r="G2" s="4">
        <v>176153465596.20389</v>
      </c>
      <c r="H2" s="4">
        <v>183847376318.7514</v>
      </c>
      <c r="I2" s="4">
        <v>198102253974.0199</v>
      </c>
      <c r="J2" s="4">
        <v>216340303668.50018</v>
      </c>
    </row>
    <row r="3" spans="1:11">
      <c r="A3" s="3" t="s">
        <v>55</v>
      </c>
      <c r="B3" s="4">
        <v>5290967255505.7646</v>
      </c>
      <c r="C3" s="4">
        <v>5336290181627.8701</v>
      </c>
      <c r="D3" s="4">
        <v>5391387940295.4883</v>
      </c>
      <c r="E3" s="4">
        <v>5463853896039.3164</v>
      </c>
      <c r="F3" s="4">
        <v>5448379818849.8945</v>
      </c>
      <c r="G3" s="4">
        <v>5577381495616.4316</v>
      </c>
      <c r="H3" s="4">
        <v>5619001466443.6777</v>
      </c>
      <c r="I3" s="4">
        <v>5663646349610.5918</v>
      </c>
      <c r="J3" s="4">
        <v>5684681458968.9551</v>
      </c>
    </row>
    <row r="4" spans="1:11">
      <c r="A4" s="3" t="s">
        <v>312</v>
      </c>
      <c r="B4" s="5">
        <v>246072284820.23425</v>
      </c>
      <c r="C4" s="5">
        <v>242895635845.56708</v>
      </c>
      <c r="D4" s="5">
        <v>242725393719.77261</v>
      </c>
      <c r="E4" s="5">
        <v>241723605867.83209</v>
      </c>
      <c r="F4" s="5">
        <v>241168824723.06894</v>
      </c>
      <c r="G4" s="5">
        <v>240228161185.21439</v>
      </c>
      <c r="H4" s="5">
        <v>237025512543.87482</v>
      </c>
      <c r="I4" s="5">
        <v>237154042743.45844</v>
      </c>
      <c r="J4" s="5">
        <v>235706472228.2908</v>
      </c>
    </row>
    <row r="5" spans="1:11">
      <c r="A5" s="3" t="s">
        <v>171</v>
      </c>
      <c r="B5" s="4">
        <v>1833915688463.2009</v>
      </c>
      <c r="C5" s="4">
        <v>1871197469152.2844</v>
      </c>
      <c r="D5" s="4">
        <v>1825820397268.7412</v>
      </c>
      <c r="E5" s="4">
        <v>1804490357211.8433</v>
      </c>
      <c r="F5" s="4">
        <v>1836846387271.8889</v>
      </c>
      <c r="G5" s="4">
        <v>1846414762120.1338</v>
      </c>
      <c r="H5" s="4">
        <v>1821179366345.8789</v>
      </c>
      <c r="I5" s="4">
        <v>1809968636474.0674</v>
      </c>
      <c r="J5" s="4">
        <v>1845513937800.6819</v>
      </c>
    </row>
    <row r="6" spans="1:11">
      <c r="A6" s="3" t="s">
        <v>313</v>
      </c>
      <c r="B6" s="5">
        <v>491072409821.2135</v>
      </c>
      <c r="C6" s="5">
        <v>492232053531.7984</v>
      </c>
      <c r="D6" s="5">
        <v>492695374746.03168</v>
      </c>
      <c r="E6" s="5">
        <v>493149888469.67896</v>
      </c>
      <c r="F6" s="5">
        <v>493584500319.52655</v>
      </c>
      <c r="G6" s="5">
        <v>502059408571.63251</v>
      </c>
      <c r="H6" s="5">
        <v>504643192934.91315</v>
      </c>
      <c r="I6" s="5">
        <v>505060613754.44171</v>
      </c>
      <c r="J6" s="5">
        <v>505637897315.83008</v>
      </c>
    </row>
    <row r="7" spans="1:11">
      <c r="A7" s="3" t="s">
        <v>216</v>
      </c>
      <c r="B7" s="7">
        <v>115751455134.97435</v>
      </c>
      <c r="C7" s="7">
        <v>119284434936.1797</v>
      </c>
      <c r="D7" s="7">
        <v>120029792761.26135</v>
      </c>
      <c r="E7" s="7">
        <v>121922044985.49959</v>
      </c>
      <c r="F7" s="7">
        <v>122320890754.34761</v>
      </c>
      <c r="G7" s="7">
        <v>121950048807.84406</v>
      </c>
      <c r="H7" s="7">
        <v>125203708589.52214</v>
      </c>
      <c r="I7" s="7">
        <v>130923641116.56393</v>
      </c>
      <c r="J7" s="7">
        <v>137046282636.08223</v>
      </c>
    </row>
    <row r="8" spans="1:11">
      <c r="A8" s="3" t="s">
        <v>248</v>
      </c>
      <c r="B8" s="6">
        <v>14050360664.833527</v>
      </c>
      <c r="C8" s="6">
        <v>14784118823.610147</v>
      </c>
      <c r="D8" s="6">
        <v>14898817340.940001</v>
      </c>
      <c r="E8" s="6">
        <v>14938804220.809999</v>
      </c>
      <c r="F8" s="6">
        <v>14939585769.67</v>
      </c>
      <c r="G8" s="6">
        <v>15037578574.93964</v>
      </c>
      <c r="H8" s="6">
        <v>15435732579.870001</v>
      </c>
      <c r="I8" s="6">
        <v>16713684212.59</v>
      </c>
      <c r="J8" s="6">
        <v>18040731810.32</v>
      </c>
    </row>
    <row r="9" spans="1:11">
      <c r="A9" s="3" t="s">
        <v>314</v>
      </c>
      <c r="B9" s="6">
        <v>104380170915.45007</v>
      </c>
      <c r="C9" s="6">
        <v>108414656881.62793</v>
      </c>
      <c r="D9" s="6">
        <v>111041562562.37579</v>
      </c>
      <c r="E9" s="6">
        <v>111346941436.07184</v>
      </c>
      <c r="F9" s="6">
        <v>112580157012.57768</v>
      </c>
      <c r="G9" s="6">
        <v>114551995150.56964</v>
      </c>
      <c r="H9" s="6">
        <v>117111274808.80344</v>
      </c>
      <c r="I9" s="6">
        <v>120565305238.60492</v>
      </c>
      <c r="J9" s="6">
        <v>125945079150.49832</v>
      </c>
    </row>
    <row r="10" spans="1:11">
      <c r="A10" s="3" t="s">
        <v>281</v>
      </c>
      <c r="B10" s="6">
        <v>19763627528.168037</v>
      </c>
      <c r="C10" s="6">
        <v>31180088808.191078</v>
      </c>
      <c r="D10" s="6">
        <v>30929893185.840004</v>
      </c>
      <c r="E10" s="6">
        <v>30888527279.779999</v>
      </c>
      <c r="F10" s="6">
        <v>31122132963.085693</v>
      </c>
      <c r="G10" s="6">
        <v>31240648592.305443</v>
      </c>
      <c r="H10" s="6">
        <v>31390655001.210625</v>
      </c>
      <c r="I10" s="6">
        <v>31487849239.809494</v>
      </c>
      <c r="J10" s="6">
        <v>31632969925.556732</v>
      </c>
    </row>
    <row r="11" spans="1:11" ht="15.6">
      <c r="A11" s="8" t="s">
        <v>318</v>
      </c>
      <c r="B11" s="9">
        <f t="shared" ref="B11:H11" si="0">SUM(B2:B9)</f>
        <v>8244401279757.1113</v>
      </c>
      <c r="C11" s="9">
        <f t="shared" si="0"/>
        <v>8344310202891.6875</v>
      </c>
      <c r="D11" s="9">
        <f t="shared" si="0"/>
        <v>8362137398736.5127</v>
      </c>
      <c r="E11" s="9">
        <f t="shared" si="0"/>
        <v>8418788142958.2676</v>
      </c>
      <c r="F11" s="9">
        <f t="shared" si="0"/>
        <v>8440556767668.8223</v>
      </c>
      <c r="G11" s="9">
        <f t="shared" si="0"/>
        <v>8593776915622.9697</v>
      </c>
      <c r="H11" s="9">
        <f t="shared" si="0"/>
        <v>8623447630565.292</v>
      </c>
      <c r="I11" s="9">
        <f>SUM(I2:I10)</f>
        <v>8713622376364.1455</v>
      </c>
      <c r="J11" s="9">
        <f>SUM(J2:J10)</f>
        <v>8800545133504.7148</v>
      </c>
    </row>
    <row r="12" spans="1:11">
      <c r="A12" s="10"/>
      <c r="B12" s="11"/>
      <c r="C12" s="11"/>
      <c r="D12" s="11"/>
      <c r="E12" s="11"/>
      <c r="F12" s="11"/>
      <c r="G12" s="11"/>
      <c r="H12" s="11"/>
      <c r="I12" s="10"/>
      <c r="J12" s="10"/>
    </row>
    <row r="13" spans="1:11" ht="15.6">
      <c r="A13" s="12" t="s">
        <v>319</v>
      </c>
      <c r="B13" s="42" t="s">
        <v>320</v>
      </c>
      <c r="C13" s="13">
        <f>(B11+C11)/2</f>
        <v>8294355741324.3994</v>
      </c>
      <c r="D13" s="14">
        <f t="shared" ref="D13:J13" si="1">(C11+D11)/2</f>
        <v>8353223800814.0996</v>
      </c>
      <c r="E13" s="14">
        <f t="shared" si="1"/>
        <v>8390462770847.3906</v>
      </c>
      <c r="F13" s="14">
        <f t="shared" si="1"/>
        <v>8429672455313.5449</v>
      </c>
      <c r="G13" s="14">
        <f t="shared" si="1"/>
        <v>8517166841645.8965</v>
      </c>
      <c r="H13" s="14">
        <f t="shared" si="1"/>
        <v>8608612273094.1309</v>
      </c>
      <c r="I13" s="14">
        <f t="shared" si="1"/>
        <v>8668535003464.7188</v>
      </c>
      <c r="J13" s="14">
        <f t="shared" si="1"/>
        <v>8757083754934.4297</v>
      </c>
    </row>
    <row r="14" spans="1:11"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</row>
    <row r="16" spans="1:11" ht="15.6">
      <c r="A16" s="1" t="s">
        <v>3</v>
      </c>
      <c r="B16" s="2">
        <v>46080</v>
      </c>
      <c r="C16" s="2">
        <v>46087</v>
      </c>
      <c r="D16" s="2">
        <v>46094</v>
      </c>
      <c r="E16" s="2">
        <v>46099</v>
      </c>
      <c r="F16" s="2">
        <v>46108</v>
      </c>
      <c r="G16" s="2">
        <v>46114</v>
      </c>
      <c r="H16" s="2">
        <v>46122</v>
      </c>
      <c r="I16" s="2">
        <v>46129</v>
      </c>
      <c r="J16" s="2">
        <v>46136</v>
      </c>
      <c r="K16" s="15"/>
    </row>
    <row r="17" spans="1:11">
      <c r="A17" s="16" t="s">
        <v>321</v>
      </c>
      <c r="B17" s="17">
        <v>23429388175.41</v>
      </c>
      <c r="C17" s="17">
        <v>23933072983.509998</v>
      </c>
      <c r="D17" s="17">
        <v>24024073678.48</v>
      </c>
      <c r="E17" s="17">
        <v>24066111842.459999</v>
      </c>
      <c r="F17" s="17">
        <v>24226803601.379997</v>
      </c>
      <c r="G17" s="17">
        <v>24882508960.419998</v>
      </c>
      <c r="H17" s="17">
        <v>25247393537.559998</v>
      </c>
      <c r="I17" s="17">
        <v>27644948093.23</v>
      </c>
      <c r="J17" s="17">
        <v>28905229299.34</v>
      </c>
      <c r="K17" s="15"/>
    </row>
    <row r="18" spans="1:1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</row>
    <row r="19" spans="1:11">
      <c r="A19" s="15"/>
      <c r="B19" s="15"/>
      <c r="C19" s="18"/>
      <c r="D19" s="18"/>
      <c r="E19" s="18"/>
      <c r="F19" s="18"/>
      <c r="G19" s="18"/>
      <c r="H19" s="18"/>
      <c r="I19" s="18"/>
      <c r="J19" s="18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9"/>
      <c r="K22" s="15"/>
    </row>
    <row r="23" spans="1:11">
      <c r="B23" s="15"/>
      <c r="C23" s="15"/>
      <c r="D23" s="15"/>
      <c r="E23" s="15"/>
      <c r="F23" s="15"/>
      <c r="G23" s="15"/>
      <c r="H23" s="15"/>
      <c r="I23" s="15"/>
      <c r="J23" s="6"/>
      <c r="K23" s="20"/>
    </row>
  </sheetData>
  <sheetProtection algorithmName="SHA-512" hashValue="61qid/32MiVVKJaanmvzDu+a15p7UblLpbt0JLkDioi2prtl0uIluX8KwHWLSNX6UTRLHFCGDWeoN0rYOPyt7g==" saltValue="Fi7riio0ebRuXgRSP1h+VQ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1:I11 J1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2026-05-01T18:49:51Z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