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N148" i="1" l="1"/>
  <c r="M148" i="1"/>
  <c r="N121" i="1"/>
  <c r="M121" i="1"/>
  <c r="R258" i="1" l="1"/>
  <c r="R179" i="1"/>
  <c r="R87" i="1"/>
  <c r="K140" i="1" l="1"/>
  <c r="K149" i="1" l="1"/>
  <c r="N122" i="1"/>
  <c r="M122" i="1"/>
  <c r="K122" i="1"/>
  <c r="M126" i="1"/>
  <c r="K126" i="1"/>
  <c r="N135" i="1"/>
  <c r="M135" i="1"/>
  <c r="K135" i="1"/>
  <c r="M128" i="1"/>
  <c r="K128" i="1"/>
  <c r="N159" i="1"/>
  <c r="M159" i="1"/>
  <c r="K159" i="1"/>
  <c r="N141" i="1" l="1"/>
  <c r="M141" i="1"/>
  <c r="K141" i="1"/>
  <c r="K26" i="1"/>
  <c r="L10" i="1" s="1"/>
  <c r="N125" i="1"/>
  <c r="M125" i="1"/>
  <c r="K125" i="1"/>
  <c r="N155" i="1"/>
  <c r="M155" i="1"/>
  <c r="K155" i="1"/>
  <c r="N153" i="1"/>
  <c r="M153" i="1"/>
  <c r="K153" i="1"/>
  <c r="N151" i="1"/>
  <c r="N150" i="1"/>
  <c r="M150" i="1"/>
  <c r="K150" i="1"/>
  <c r="N136" i="1" l="1"/>
  <c r="M136" i="1"/>
  <c r="K136" i="1"/>
  <c r="K158" i="1" l="1"/>
  <c r="K143" i="1"/>
  <c r="N142" i="1"/>
  <c r="M142" i="1"/>
  <c r="K142" i="1"/>
  <c r="N127" i="1"/>
  <c r="M127" i="1"/>
  <c r="K127" i="1"/>
  <c r="N145" i="1"/>
  <c r="M145" i="1"/>
  <c r="K145" i="1"/>
  <c r="N134" i="1"/>
  <c r="M134" i="1"/>
  <c r="K134" i="1"/>
  <c r="N157" i="1"/>
  <c r="M157" i="1"/>
  <c r="K157" i="1"/>
  <c r="K241" i="1"/>
  <c r="N241" i="1"/>
  <c r="M241" i="1"/>
  <c r="M131" i="1"/>
  <c r="N131" i="1"/>
  <c r="K131" i="1"/>
  <c r="K130" i="1"/>
  <c r="N130" i="1"/>
  <c r="M130" i="1"/>
  <c r="N156" i="1" l="1"/>
  <c r="M156" i="1"/>
  <c r="K156" i="1"/>
  <c r="N137" i="1"/>
  <c r="M137" i="1"/>
  <c r="K137" i="1"/>
  <c r="N152" i="1"/>
  <c r="M152" i="1"/>
  <c r="K152" i="1"/>
  <c r="N239" i="1"/>
  <c r="M239" i="1"/>
  <c r="K239" i="1"/>
  <c r="N124" i="1"/>
  <c r="M124" i="1"/>
  <c r="K124" i="1"/>
  <c r="N123" i="1"/>
  <c r="M123" i="1"/>
  <c r="K123" i="1"/>
  <c r="K147" i="1"/>
  <c r="R224" i="1"/>
  <c r="N133" i="1"/>
  <c r="M133" i="1"/>
  <c r="K133" i="1"/>
  <c r="K132" i="1" l="1"/>
  <c r="N128" i="1" l="1"/>
  <c r="N158" i="1" l="1"/>
  <c r="V31" i="1"/>
  <c r="U31" i="1"/>
  <c r="T31" i="1"/>
  <c r="S31" i="1"/>
  <c r="R31" i="1"/>
  <c r="N140" i="1"/>
  <c r="M140" i="1"/>
  <c r="V141" i="1" l="1"/>
  <c r="U141" i="1"/>
  <c r="T141" i="1"/>
  <c r="S141" i="1"/>
  <c r="R141" i="1"/>
  <c r="R33" i="1" l="1"/>
  <c r="S33" i="1"/>
  <c r="T33" i="1"/>
  <c r="U33" i="1"/>
  <c r="V33" i="1"/>
  <c r="M151" i="1" l="1"/>
  <c r="M158" i="1" l="1"/>
  <c r="K160" i="1" l="1"/>
  <c r="L131" i="1" l="1"/>
  <c r="L141" i="1"/>
  <c r="L132" i="1"/>
  <c r="N126" i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S84" i="1" l="1"/>
  <c r="I11" i="4" l="1"/>
  <c r="L231" i="1" l="1"/>
  <c r="R231" i="1"/>
  <c r="R156" i="1" l="1"/>
  <c r="J11" i="4" l="1"/>
  <c r="K201" i="1"/>
  <c r="L175" i="1" l="1"/>
  <c r="L182" i="1"/>
  <c r="L190" i="1"/>
  <c r="N147" i="1"/>
  <c r="S218" i="1"/>
  <c r="S167" i="1"/>
  <c r="M147" i="1" l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7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221" i="1" l="1"/>
  <c r="L219" i="1"/>
  <c r="L41" i="1"/>
  <c r="L67" i="1"/>
  <c r="L85" i="1"/>
  <c r="L72" i="1"/>
  <c r="L49" i="1"/>
  <c r="E31" i="1"/>
  <c r="L31" i="1"/>
  <c r="B16" i="2"/>
  <c r="B6" i="2" s="1"/>
  <c r="E141" i="1"/>
  <c r="L39" i="1"/>
  <c r="L33" i="1"/>
  <c r="L97" i="1"/>
  <c r="L65" i="1"/>
  <c r="L66" i="1"/>
  <c r="L22" i="1"/>
  <c r="L35" i="1"/>
  <c r="E66" i="1"/>
  <c r="L48" i="1"/>
  <c r="L74" i="1"/>
  <c r="L102" i="1"/>
  <c r="L116" i="1"/>
  <c r="L226" i="1"/>
  <c r="L233" i="1"/>
  <c r="B3" i="3"/>
  <c r="C21" i="2"/>
  <c r="C11" i="2" s="1"/>
  <c r="L71" i="1"/>
  <c r="L59" i="1"/>
  <c r="F13" i="4"/>
  <c r="L73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2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<sst xmlns="http://schemas.openxmlformats.org/spreadsheetml/2006/main" count="546" uniqueCount="343">
  <si>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</si>
  <si>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</si>
  <si>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</si>
  <si>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</si>
  <si>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</si>
  <si>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</si>
  <si>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</si>
  <si>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</si>
  <si>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</si>
  <si>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</si>
  <si>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</si>
  <si>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</si>
  <si>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</si>
  <si>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</si>
  <si>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</si>
  <si>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</si>
  <si>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</si>
  <si>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</si>
  <si>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</si>
  <si>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</si>
  <si>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</si>
  <si>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</si>
  <si>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</si>
  <si>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</si>
  <si>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</si>
  <si>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</si>
  <si>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</si>
  <si>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</si>
  <si>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</si>
  <si>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</si>
  <si>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</si>
  <si>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</si>
  <si>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</si>
  <si>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</si>
  <si>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</si>
  <si>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</si>
  <si>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</si>
  <si>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</si>
  <si>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</si>
  <si>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</si>
  <si>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</si>
  <si>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</si>
  <si>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</si>
  <si>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</si>
  <si>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</si>
  <si>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</si>
  <si>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</si>
  <si>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</si>
  <si>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</si>
  <si>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</si>
  <si>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</si>
  <si>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</si>
  <si>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</si>
  <si>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</si>
  <si>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</si>
  <si>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</si>
  <si>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</si>
  <si>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</si>
  <si>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</si>
  <si>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</si>
  <si>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</si>
  <si>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</si>
  <si>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</si>
  <si>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</si>
  <si>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</si>
  <si>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</si>
  <si>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</si>
  <si>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</si>
  <si>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</si>
  <si>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</si>
  <si>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</si>
  <si>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</si>
  <si>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</si>
  <si>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</si>
  <si>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</si>
  <si>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</si>
  <si>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</si>
  <si>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</si>
  <si>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</si>
  <si>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</si>
  <si>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</si>
  <si>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</si>
  <si>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</si>
  <si>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</si>
  <si>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</si>
  <si>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</si>
  <si>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</si>
  <si>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</si>
  <si>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</si>
  <si>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</si>
  <si>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</si>
  <si>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</si>
  <si>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</si>
  <si>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</si>
  <si>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</si>
  <si>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</si>
  <si>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</si>
  <si>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</si>
  <si>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</si>
  <si>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</si>
  <si>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</si>
  <si>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</si>
  <si>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</si>
  <si>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</si>
  <si>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</si>
  <si>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</si>
  <si>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</si>
  <si>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</si>
  <si>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</si>
  <si>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</si>
  <si>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</si>
  <si>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</si>
  <si>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</si>
  <si>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</si>
  <si>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</si>
  <si>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</si>
  <si>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</si>
  <si>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</si>
  <si>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</si>
  <si>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</si>
  <si>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</si>
  <si>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</si>
  <si>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</si>
  <si>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</si>
  <si>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</si>
  <si>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</si>
  <si>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</si>
  <si>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</si>
  <si>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</si>
  <si>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</si>
  <si>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</si>
  <si>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</si>
  <si>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</si>
  <si>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</si>
  <si>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</si>
  <si>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</si>
  <si>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</si>
  <si>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</si>
  <si>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</si>
  <si>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</si>
  <si>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</si>
  <si>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</si>
  <si>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</si>
  <si>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</si>
  <si>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</si>
  <si>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</si>
  <si>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</si>
  <si>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</si>
  <si>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</si>
  <si>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</si>
  <si>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</si>
  <si>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</si>
  <si>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</si>
  <si>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</si>
  <si>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</si>
  <si>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</si>
  <si>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</si>
  <si>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</si>
  <si>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</si>
  <si>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</si>
  <si>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</si>
  <si>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</si>
  <si>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</si>
  <si>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</si>
  <si>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</si>
  <si>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</si>
  <si>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</si>
  <si>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</si>
  <si>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</si>
  <si>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</si>
  <si>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</si>
  <si>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</si>
  <si>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</si>
  <si>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</si>
  <si>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</si>
  <si>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</si>
  <si>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</si>
  <si>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</si>
  <si>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</si>
  <si>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</si>
  <si>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</si>
  <si>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</si>
  <si>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</si>
  <si>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</si>
  <si>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</si>
  <si>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</si>
  <si>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</si>
  <si>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</si>
  <si>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</si>
  <si>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</si>
  <si>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</si>
  <si>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</si>
  <si>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</si>
  <si>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</si>
  <si>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</si>
  <si>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</si>
  <si>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</si>
  <si>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</si>
  <si>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</si>
  <si>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</si>
  <si>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</si>
  <si>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</si>
  <si>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</si>
  <si>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</si>
  <si>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</si>
  <si>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</si>
  <si>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</si>
  <si>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</si>
  <si>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</si>
  <si>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</si>
  <si>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</si>
  <si>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</si>
  <si>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</si>
  <si>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</si>
  <si>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</si>
  <si>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</si>
  <si>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</si>
  <si>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</si>
  <si>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</si>
  <si>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</si>
  <si>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</si>
  <si>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</si>
  <si>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</si>
  <si>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</si>
  <si>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</si>
  <si>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</si>
  <si>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</si>
  <si>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</si>
  <si>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</si>
  <si>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</si>
  <si>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</si>
  <si>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</si>
  <si>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</si>
  <si>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</si>
  <si>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</si>
  <si>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</si>
  <si>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</si>
  <si>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</si>
  <si>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</si>
  <si>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</si>
  <si>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</si>
  <si>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</si>
  <si>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</si>
  <si>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</si>
  <si>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</si>
  <si>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</si>
  <si>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</si>
  <si>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</si>
  <si>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</si>
  <si>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</si>
  <si>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</si>
  <si>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</si>
  <si>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</si>
  <si>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</si>
  <si>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</si>
  <si>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</si>
  <si>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</si>
  <si>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</si>
  <si>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</si>
  <si>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</si>
  <si>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</si>
  <si>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</si>
  <si>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</si>
  <si>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</si>
  <si>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</si>
  <si>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</si>
  <si>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</si>
  <si>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</si>
  <si>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</si>
  <si>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</si>
  <si>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</si>
  <si>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</si>
  <si>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</si>
  <si>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</si>
  <si>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</si>
  <si>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</si>
  <si>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</si>
  <si>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</si>
  <si>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</si>
  <si>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</si>
  <si>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</si>
  <si>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</si>
  <si>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</si>
  <si>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</si>
  <si>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</si>
  <si>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</si>
  <si>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</si>
  <si>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</si>
  <si>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</si>
  <si>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</si>
  <si>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</si>
  <si>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</si>
  <si>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</si>
  <si>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</si>
  <si>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</si>
  <si>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</si>
  <si>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</si>
  <si>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</si>
  <si>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</si>
  <si>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</si>
  <si>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</si>
  <si>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</si>
  <si>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</si>
  <si>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</si>
  <si>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</si>
  <si>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</si>
  <si>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</si>
  <si>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</si>
  <si>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</si>
  <si>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</si>
  <si>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</si>
  <si>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</si>
  <si>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</si>
  <si>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</si>
  <si>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</si>
  <si>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</si>
  <si>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</si>
  <si>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</si>
  <si>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</si>
  <si>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</si>
  <si>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</si>
  <si>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</si>
  <si>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</si>
  <si>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</si>
  <si>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</si>
  <si>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</si>
  <si>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</si>
  <si>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</si>
  <si>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</si>
  <si>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</si>
  <si>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</si>
  <si>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</si>
  <si>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</si>
  <si>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</si>
  <si>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NAV, Unit Price and Yield as at Week Ended March 13, 2026</t>
  </si>
  <si>
    <t>Alpha10 Dollar Fund</t>
  </si>
  <si>
    <t>Alpha10 Fund Management Limited</t>
  </si>
  <si>
    <t>Alpha10 Money Market Fund</t>
  </si>
  <si>
    <t>Week Ended March 13, 2026</t>
  </si>
  <si>
    <t>NAV, Unit Price and Yield as at Week Ended March 18, 2026</t>
  </si>
  <si>
    <t>NFEM RATE NG₦/US$ as at 18th March, 2026 = N1353.0000</t>
  </si>
  <si>
    <t>Week Ended March 18, 2026</t>
  </si>
  <si>
    <t>WEEKLY VALUATION REPORT OF COLLECTIVE INVESTMENT SCHEMES AS AT WEEK ENDED WEDNESDAY, MARCH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</si>
</sst>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18" fillId="2" borderId="1" xfId="0" applyNumberFormat="1" applyFont="1" applyFill="1" applyBorder="1" applyAlignment="1">
      <alignment wrapText="1"/>
    </xf>
    <xf numFmtId="4" fontId="18" fillId="2" borderId="1" xfId="44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163.53812004190127</c:v>
                </c:pt>
                <c:pt idx="1">
                  <c:v>5391.3879402954881</c:v>
                </c:pt>
                <c:pt idx="2">
                  <c:v>242.72539371977263</c:v>
                </c:pt>
                <c:pt idx="3">
                  <c:v>1825.8203972687413</c:v>
                </c:pt>
                <c:pt idx="4">
                  <c:v>492.69537474603169</c:v>
                </c:pt>
                <c:pt idx="5" formatCode="_-* #,##0.00_-;\-* #,##0.00_-;_-* &quot;-&quot;??_-;_-@_-">
                  <c:v>120.02979276126135</c:v>
                </c:pt>
                <c:pt idx="6">
                  <c:v>14.898817340940001</c:v>
                </c:pt>
                <c:pt idx="7">
                  <c:v>111.04156256237579</c:v>
                </c:pt>
                <c:pt idx="8">
                  <c:v>30.929893185840005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18,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167.3626047272158</c:v>
                </c:pt>
                <c:pt idx="1">
                  <c:v>5463.8538960393162</c:v>
                </c:pt>
                <c:pt idx="2">
                  <c:v>241.72360586783211</c:v>
                </c:pt>
                <c:pt idx="3">
                  <c:v>1804.4903572118433</c:v>
                </c:pt>
                <c:pt idx="4">
                  <c:v>493.14988846967896</c:v>
                </c:pt>
                <c:pt idx="5" formatCode="_-* #,##0.00_-;\-* #,##0.00_-;_-* &quot;-&quot;??_-;_-@_-">
                  <c:v>121.92204498549958</c:v>
                </c:pt>
                <c:pt idx="6">
                  <c:v>14.938804220809999</c:v>
                </c:pt>
                <c:pt idx="7">
                  <c:v>111.34694143607184</c:v>
                </c:pt>
                <c:pt idx="8">
                  <c:v>30.88852727978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18TH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18-Mar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14938804220.809999</c:v>
                </c:pt>
                <c:pt idx="1">
                  <c:v>30888527279.779999</c:v>
                </c:pt>
                <c:pt idx="2">
                  <c:v>167362604727.21579</c:v>
                </c:pt>
                <c:pt idx="3" formatCode="_-* #,##0.00_-;\-* #,##0.00_-;_-* &quot;-&quot;??_-;_-@_-">
                  <c:v>111346941436.07184</c:v>
                </c:pt>
                <c:pt idx="4">
                  <c:v>121922044985.49959</c:v>
                </c:pt>
                <c:pt idx="5">
                  <c:v>493149888469.67896</c:v>
                </c:pt>
                <c:pt idx="6">
                  <c:v>241723605867.83209</c:v>
                </c:pt>
                <c:pt idx="7">
                  <c:v>1804490357211.8433</c:v>
                </c:pt>
                <c:pt idx="8">
                  <c:v>5463853896039.3164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46052</c:v>
                </c:pt>
                <c:pt idx="1">
                  <c:v>46059</c:v>
                </c:pt>
                <c:pt idx="2">
                  <c:v>46066</c:v>
                </c:pt>
                <c:pt idx="3">
                  <c:v>46073</c:v>
                </c:pt>
                <c:pt idx="4">
                  <c:v>46080</c:v>
                </c:pt>
                <c:pt idx="5">
                  <c:v>46087</c:v>
                </c:pt>
                <c:pt idx="6">
                  <c:v>46094</c:v>
                </c:pt>
                <c:pt idx="7">
                  <c:v>46099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8081.3813988736874</c:v>
                </c:pt>
                <c:pt idx="1">
                  <c:v>8107.597332853632</c:v>
                </c:pt>
                <c:pt idx="2">
                  <c:v>8176.5089785345672</c:v>
                </c:pt>
                <c:pt idx="3">
                  <c:v>8210.0158947677137</c:v>
                </c:pt>
                <c:pt idx="4">
                  <c:v>8244.4012797571122</c:v>
                </c:pt>
                <c:pt idx="5">
                  <c:v>8344.3102028916874</c:v>
                </c:pt>
                <c:pt idx="6">
                  <c:v>8393.0672919223525</c:v>
                </c:pt>
                <c:pt idx="7">
                  <c:v>8449.6766702380482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46052</c:v>
                </c:pt>
                <c:pt idx="1">
                  <c:v>46059</c:v>
                </c:pt>
                <c:pt idx="2">
                  <c:v>46066</c:v>
                </c:pt>
                <c:pt idx="3">
                  <c:v>46073</c:v>
                </c:pt>
                <c:pt idx="4">
                  <c:v>46080</c:v>
                </c:pt>
                <c:pt idx="5">
                  <c:v>46087</c:v>
                </c:pt>
                <c:pt idx="6">
                  <c:v>46094</c:v>
                </c:pt>
                <c:pt idx="7">
                  <c:v>46099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19.641137987049994</c:v>
                </c:pt>
                <c:pt idx="1">
                  <c:v>20.41173907228</c:v>
                </c:pt>
                <c:pt idx="2">
                  <c:v>21.462872515840001</c:v>
                </c:pt>
                <c:pt idx="3">
                  <c:v>23.060251227759998</c:v>
                </c:pt>
                <c:pt idx="4">
                  <c:v>23.429388175410001</c:v>
                </c:pt>
                <c:pt idx="5">
                  <c:v>23.933072983509998</c:v>
                </c:pt>
                <c:pt idx="6">
                  <c:v>24.024073678480001</c:v>
                </c:pt>
                <c:pt idx="7">
                  <c:v>24.06611184246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202" t="s">
        <v>342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5" ht="14.4" customHeight="1">
      <c r="A2" s="24"/>
      <c r="B2" s="25"/>
      <c r="C2" s="26"/>
      <c r="D2" s="203" t="s">
        <v>334</v>
      </c>
      <c r="E2" s="203"/>
      <c r="F2" s="203"/>
      <c r="G2" s="203"/>
      <c r="H2" s="203"/>
      <c r="I2" s="203"/>
      <c r="J2" s="203"/>
      <c r="K2" s="203" t="s">
        <v>339</v>
      </c>
      <c r="L2" s="203"/>
      <c r="M2" s="203"/>
      <c r="N2" s="203"/>
      <c r="O2" s="203"/>
      <c r="P2" s="203"/>
      <c r="Q2" s="203"/>
      <c r="R2" s="203" t="s">
        <v>0</v>
      </c>
      <c r="S2" s="203"/>
      <c r="T2" s="203"/>
      <c r="U2" s="203" t="s">
        <v>1</v>
      </c>
      <c r="V2" s="203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6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</row>
    <row r="5" spans="1:25" ht="15" customHeight="1">
      <c r="A5" s="200" t="s">
        <v>17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</row>
    <row r="6" spans="1:25">
      <c r="A6" s="169">
        <v>1</v>
      </c>
      <c r="B6" s="149" t="s">
        <v>18</v>
      </c>
      <c r="C6" s="148" t="s">
        <v>19</v>
      </c>
      <c r="D6" s="145">
        <v>10134434378.08</v>
      </c>
      <c r="E6" s="143">
        <f t="shared" ref="E6:E24" si="0">(D6/$D$26)</f>
        <v>6.1969859843584996E-2</v>
      </c>
      <c r="F6" s="145">
        <v>785.81949999999995</v>
      </c>
      <c r="G6" s="145">
        <v>788.81449999999995</v>
      </c>
      <c r="H6" s="37">
        <v>1695</v>
      </c>
      <c r="I6" s="58">
        <v>1.6000000000000001E-3</v>
      </c>
      <c r="J6" s="58">
        <v>0.26960000000000001</v>
      </c>
      <c r="K6" s="145">
        <v>10167697187.870001</v>
      </c>
      <c r="L6" s="143">
        <f t="shared" ref="L6:L25" si="1">(K6/$K$26)</f>
        <v>6.0752503251501881E-2</v>
      </c>
      <c r="M6" s="145">
        <v>788.12300000000005</v>
      </c>
      <c r="N6" s="145">
        <v>791.69529999999997</v>
      </c>
      <c r="O6" s="37">
        <v>1695</v>
      </c>
      <c r="P6" s="58">
        <v>2.8999999999999998E-3</v>
      </c>
      <c r="Q6" s="58">
        <v>0.27329999999999999</v>
      </c>
      <c r="R6" s="63">
        <f>((K6-D6)/D6)</f>
        <v>3.2821574987890599E-3</v>
      </c>
      <c r="S6" s="63">
        <f>((N6-G6)/G6)</f>
        <v>3.6520626839390276E-3</v>
      </c>
      <c r="T6" s="63">
        <f>((O6-H6)/H6)</f>
        <v>0</v>
      </c>
      <c r="U6" s="63">
        <f>P6-I6</f>
        <v>1.2999999999999997E-3</v>
      </c>
      <c r="V6" s="64">
        <f>Q6-J6</f>
        <v>3.6999999999999811E-3</v>
      </c>
      <c r="W6" s="146"/>
    </row>
    <row r="7" spans="1:25">
      <c r="A7" s="169">
        <v>2</v>
      </c>
      <c r="B7" s="149" t="s">
        <v>20</v>
      </c>
      <c r="C7" s="148" t="s">
        <v>21</v>
      </c>
      <c r="D7" s="33">
        <v>1770791706.3699999</v>
      </c>
      <c r="E7" s="34">
        <f t="shared" si="0"/>
        <v>1.0828005763526527E-2</v>
      </c>
      <c r="F7" s="33">
        <v>527.45119999999997</v>
      </c>
      <c r="G7" s="33">
        <v>534.2826</v>
      </c>
      <c r="H7" s="35">
        <v>717</v>
      </c>
      <c r="I7" s="57">
        <v>9.9760000000000005E-3</v>
      </c>
      <c r="J7" s="57">
        <v>0.28749999999999998</v>
      </c>
      <c r="K7" s="33">
        <v>1798603921.4100001</v>
      </c>
      <c r="L7" s="34">
        <f t="shared" si="1"/>
        <v>1.0746749098112709E-2</v>
      </c>
      <c r="M7" s="33">
        <v>536.20090000000005</v>
      </c>
      <c r="N7" s="33">
        <v>543.16669999999999</v>
      </c>
      <c r="O7" s="35">
        <v>724</v>
      </c>
      <c r="P7" s="57">
        <v>-3.7940000000000001E-3</v>
      </c>
      <c r="Q7" s="57">
        <v>0.30890000000000001</v>
      </c>
      <c r="R7" s="62">
        <f t="shared" ref="R7:R26" si="2">((K7-D7)/D7)</f>
        <v>1.5706090637285234E-2</v>
      </c>
      <c r="S7" s="62">
        <f t="shared" ref="S7:S26" si="3">((N7-G7)/G7)</f>
        <v>1.6628091575507025E-2</v>
      </c>
      <c r="T7" s="62">
        <f t="shared" ref="T7:T26" si="4">((O7-H7)/H7)</f>
        <v>9.7629009762900971E-3</v>
      </c>
      <c r="U7" s="63">
        <f t="shared" ref="U7:U26" si="5">P7-I7</f>
        <v>-1.3770000000000001E-2</v>
      </c>
      <c r="V7" s="64">
        <f t="shared" ref="V7:V26" si="6">Q7-J7</f>
        <v>2.140000000000003E-2</v>
      </c>
    </row>
    <row r="8" spans="1:25">
      <c r="A8" s="169">
        <v>3</v>
      </c>
      <c r="B8" s="149" t="s">
        <v>22</v>
      </c>
      <c r="C8" s="148" t="s">
        <v>23</v>
      </c>
      <c r="D8" s="33">
        <v>12657621366.549999</v>
      </c>
      <c r="E8" s="34">
        <f t="shared" si="0"/>
        <v>7.7398598952384309E-2</v>
      </c>
      <c r="F8" s="33">
        <v>66.423100000000005</v>
      </c>
      <c r="G8" s="36">
        <v>68.425799999999995</v>
      </c>
      <c r="H8" s="37">
        <v>9685</v>
      </c>
      <c r="I8" s="58">
        <v>0.1114</v>
      </c>
      <c r="J8" s="58">
        <v>0.64829999999999999</v>
      </c>
      <c r="K8" s="33">
        <v>12882621751.620001</v>
      </c>
      <c r="L8" s="34">
        <f t="shared" si="1"/>
        <v>7.6974314379352413E-2</v>
      </c>
      <c r="M8" s="33">
        <v>66.742500000000007</v>
      </c>
      <c r="N8" s="147">
        <v>68.754800000000003</v>
      </c>
      <c r="O8" s="37">
        <v>9820</v>
      </c>
      <c r="P8" s="58">
        <v>0.25069999999999998</v>
      </c>
      <c r="Q8" s="58">
        <v>1.202</v>
      </c>
      <c r="R8" s="62">
        <f t="shared" si="2"/>
        <v>1.7775882099349636E-2</v>
      </c>
      <c r="S8" s="62">
        <f t="shared" si="3"/>
        <v>4.8081279283546229E-3</v>
      </c>
      <c r="T8" s="62">
        <f t="shared" si="4"/>
        <v>1.3939081053175014E-2</v>
      </c>
      <c r="U8" s="63">
        <f t="shared" si="5"/>
        <v>0.13929999999999998</v>
      </c>
      <c r="V8" s="64">
        <f t="shared" si="6"/>
        <v>0.55369999999999997</v>
      </c>
      <c r="X8" s="65"/>
      <c r="Y8" s="65"/>
    </row>
    <row r="9" spans="1:25">
      <c r="A9" s="169">
        <v>4</v>
      </c>
      <c r="B9" s="149" t="s">
        <v>24</v>
      </c>
      <c r="C9" s="148" t="s">
        <v>25</v>
      </c>
      <c r="D9" s="33">
        <v>2210937575.4200001</v>
      </c>
      <c r="E9" s="34">
        <f t="shared" si="0"/>
        <v>1.3519401928146905E-2</v>
      </c>
      <c r="F9" s="33">
        <v>316.80189999999999</v>
      </c>
      <c r="G9" s="33">
        <v>316.80189999999999</v>
      </c>
      <c r="H9" s="35">
        <v>2461</v>
      </c>
      <c r="I9" s="57">
        <v>-1.44E-2</v>
      </c>
      <c r="J9" s="57">
        <v>0.26590000000000003</v>
      </c>
      <c r="K9" s="33">
        <v>2245951819.9899998</v>
      </c>
      <c r="L9" s="34">
        <f t="shared" si="1"/>
        <v>1.3419675342951761E-2</v>
      </c>
      <c r="M9" s="33">
        <v>315.41570000000002</v>
      </c>
      <c r="N9" s="33">
        <v>315.41570000000002</v>
      </c>
      <c r="O9" s="35">
        <v>2474</v>
      </c>
      <c r="P9" s="57">
        <v>-4.4000000000000003E-3</v>
      </c>
      <c r="Q9" s="57">
        <v>0.26029999999999998</v>
      </c>
      <c r="R9" s="62">
        <f t="shared" si="2"/>
        <v>1.5836830926060055E-2</v>
      </c>
      <c r="S9" s="62">
        <f t="shared" si="3"/>
        <v>-4.375605070550315E-3</v>
      </c>
      <c r="T9" s="62">
        <f t="shared" si="4"/>
        <v>5.2824055262088582E-3</v>
      </c>
      <c r="U9" s="63">
        <f t="shared" si="5"/>
        <v>9.9999999999999985E-3</v>
      </c>
      <c r="V9" s="64">
        <f t="shared" si="6"/>
        <v>-5.6000000000000494E-3</v>
      </c>
    </row>
    <row r="10" spans="1:25">
      <c r="A10" s="169">
        <v>5</v>
      </c>
      <c r="B10" s="149" t="s">
        <v>26</v>
      </c>
      <c r="C10" s="148" t="s">
        <v>27</v>
      </c>
      <c r="D10" s="33">
        <v>5458397634.3100004</v>
      </c>
      <c r="E10" s="34">
        <f t="shared" si="0"/>
        <v>3.3376913180312121E-2</v>
      </c>
      <c r="F10" s="33">
        <v>2.4140999999999999</v>
      </c>
      <c r="G10" s="33">
        <v>2.4417</v>
      </c>
      <c r="H10" s="35">
        <v>1689</v>
      </c>
      <c r="I10" s="57">
        <v>5.7000000000000002E-3</v>
      </c>
      <c r="J10" s="57">
        <v>0.30430000000000001</v>
      </c>
      <c r="K10" s="33">
        <v>5677580470.4899998</v>
      </c>
      <c r="L10" s="34">
        <f>(K10/$K$26)</f>
        <v>3.3923829518212177E-2</v>
      </c>
      <c r="M10" s="33">
        <v>2.4281000000000001</v>
      </c>
      <c r="N10" s="33">
        <v>2.4556</v>
      </c>
      <c r="O10" s="35">
        <v>1739</v>
      </c>
      <c r="P10" s="57">
        <v>0</v>
      </c>
      <c r="Q10" s="57">
        <v>0.31180000000000002</v>
      </c>
      <c r="R10" s="62">
        <f t="shared" si="2"/>
        <v>4.0155161068199899E-2</v>
      </c>
      <c r="S10" s="62">
        <f t="shared" si="3"/>
        <v>5.6927550477126687E-3</v>
      </c>
      <c r="T10" s="62">
        <f t="shared" si="4"/>
        <v>2.9603315571343991E-2</v>
      </c>
      <c r="U10" s="63">
        <f t="shared" si="5"/>
        <v>-5.7000000000000002E-3</v>
      </c>
      <c r="V10" s="64">
        <f t="shared" si="6"/>
        <v>7.5000000000000067E-3</v>
      </c>
    </row>
    <row r="11" spans="1:25">
      <c r="A11" s="169">
        <v>6</v>
      </c>
      <c r="B11" s="149" t="s">
        <v>28</v>
      </c>
      <c r="C11" s="148" t="s">
        <v>29</v>
      </c>
      <c r="D11" s="38">
        <v>526765558.94999999</v>
      </c>
      <c r="E11" s="34">
        <f t="shared" si="0"/>
        <v>3.2210567102950284E-3</v>
      </c>
      <c r="F11" s="33">
        <v>283.44900000000001</v>
      </c>
      <c r="G11" s="33">
        <v>286.01350000000002</v>
      </c>
      <c r="H11" s="37">
        <v>167</v>
      </c>
      <c r="I11" s="58">
        <v>9.6109999999999998E-3</v>
      </c>
      <c r="J11" s="58">
        <v>0.32379999999999998</v>
      </c>
      <c r="K11" s="38">
        <v>526278308.56999999</v>
      </c>
      <c r="L11" s="34">
        <f t="shared" si="1"/>
        <v>3.1445394234140937E-3</v>
      </c>
      <c r="M11" s="33">
        <v>283.77300000000002</v>
      </c>
      <c r="N11" s="33">
        <v>286.34609999999998</v>
      </c>
      <c r="O11" s="37">
        <v>167</v>
      </c>
      <c r="P11" s="58">
        <v>9.3499999999999996E-4</v>
      </c>
      <c r="Q11" s="58">
        <v>0.32550000000000001</v>
      </c>
      <c r="R11" s="62">
        <f t="shared" si="2"/>
        <v>-9.2498526473756132E-4</v>
      </c>
      <c r="S11" s="62">
        <f t="shared" si="3"/>
        <v>1.1628821716455926E-3</v>
      </c>
      <c r="T11" s="62">
        <f t="shared" si="4"/>
        <v>0</v>
      </c>
      <c r="U11" s="63">
        <f t="shared" si="5"/>
        <v>-8.6759999999999997E-3</v>
      </c>
      <c r="V11" s="64">
        <f t="shared" si="6"/>
        <v>1.7000000000000348E-3</v>
      </c>
    </row>
    <row r="12" spans="1:25">
      <c r="A12" s="169">
        <v>7</v>
      </c>
      <c r="B12" s="149" t="s">
        <v>30</v>
      </c>
      <c r="C12" s="148" t="s">
        <v>31</v>
      </c>
      <c r="D12" s="33">
        <v>5126434036.1700001</v>
      </c>
      <c r="E12" s="34">
        <f t="shared" si="0"/>
        <v>3.134702804983034E-2</v>
      </c>
      <c r="F12" s="33">
        <v>559.57000000000005</v>
      </c>
      <c r="G12" s="33">
        <v>567.59</v>
      </c>
      <c r="H12" s="37">
        <v>2000</v>
      </c>
      <c r="I12" s="58">
        <v>-2.0899999999999998E-2</v>
      </c>
      <c r="J12" s="58">
        <v>0.2344</v>
      </c>
      <c r="K12" s="33">
        <v>5108270720.5699997</v>
      </c>
      <c r="L12" s="34">
        <f t="shared" si="1"/>
        <v>3.0522175063515337E-2</v>
      </c>
      <c r="M12" s="33">
        <v>557.39</v>
      </c>
      <c r="N12" s="33">
        <v>565.77</v>
      </c>
      <c r="O12" s="37">
        <v>2001</v>
      </c>
      <c r="P12" s="58">
        <v>3.5999999999999999E-3</v>
      </c>
      <c r="Q12" s="58">
        <v>0.2296</v>
      </c>
      <c r="R12" s="62">
        <f t="shared" si="2"/>
        <v>-3.5430701871608087E-3</v>
      </c>
      <c r="S12" s="62">
        <f t="shared" si="3"/>
        <v>-3.2065399319932521E-3</v>
      </c>
      <c r="T12" s="62">
        <f t="shared" si="4"/>
        <v>5.0000000000000001E-4</v>
      </c>
      <c r="U12" s="63">
        <f t="shared" si="5"/>
        <v>2.4499999999999997E-2</v>
      </c>
      <c r="V12" s="64">
        <f t="shared" si="6"/>
        <v>-4.7999999999999987E-3</v>
      </c>
    </row>
    <row r="13" spans="1:25">
      <c r="A13" s="166">
        <v>8</v>
      </c>
      <c r="B13" s="164" t="s">
        <v>32</v>
      </c>
      <c r="C13" s="148" t="s">
        <v>33</v>
      </c>
      <c r="D13" s="39">
        <v>580547645.80999994</v>
      </c>
      <c r="E13" s="34">
        <f t="shared" si="0"/>
        <v>3.5499224624891963E-3</v>
      </c>
      <c r="F13" s="33">
        <v>289.97000000000003</v>
      </c>
      <c r="G13" s="33">
        <v>302.95999999999998</v>
      </c>
      <c r="H13" s="35">
        <v>2469</v>
      </c>
      <c r="I13" s="57">
        <v>4.9199999999999999E-3</v>
      </c>
      <c r="J13" s="57">
        <v>0.14748</v>
      </c>
      <c r="K13" s="39">
        <v>581323927.76999998</v>
      </c>
      <c r="L13" s="34">
        <f t="shared" si="1"/>
        <v>3.4734397729857245E-3</v>
      </c>
      <c r="M13" s="33">
        <v>290.36</v>
      </c>
      <c r="N13" s="33">
        <v>303.36</v>
      </c>
      <c r="O13" s="35">
        <v>2469</v>
      </c>
      <c r="P13" s="57">
        <v>1.34E-3</v>
      </c>
      <c r="Q13" s="57">
        <v>0.14903</v>
      </c>
      <c r="R13" s="62">
        <f t="shared" si="2"/>
        <v>1.3371546084162359E-3</v>
      </c>
      <c r="S13" s="62">
        <f t="shared" si="3"/>
        <v>1.3203063110642796E-3</v>
      </c>
      <c r="T13" s="62">
        <f t="shared" si="4"/>
        <v>0</v>
      </c>
      <c r="U13" s="63">
        <f t="shared" si="5"/>
        <v>-3.5799999999999998E-3</v>
      </c>
      <c r="V13" s="64">
        <f t="shared" si="6"/>
        <v>1.5499999999999958E-3</v>
      </c>
    </row>
    <row r="14" spans="1:25">
      <c r="A14" s="166">
        <v>9</v>
      </c>
      <c r="B14" s="164" t="s">
        <v>34</v>
      </c>
      <c r="C14" s="148" t="s">
        <v>35</v>
      </c>
      <c r="D14" s="38">
        <v>117803100.8513</v>
      </c>
      <c r="E14" s="34">
        <f t="shared" si="0"/>
        <v>7.2034031466863401E-4</v>
      </c>
      <c r="F14" s="33">
        <v>410.73320000000001</v>
      </c>
      <c r="G14" s="33">
        <v>424.88040000000001</v>
      </c>
      <c r="H14" s="35">
        <v>38</v>
      </c>
      <c r="I14" s="57">
        <v>5.1999999999999998E-3</v>
      </c>
      <c r="J14" s="57">
        <v>0.29770000000000002</v>
      </c>
      <c r="K14" s="38">
        <v>118582026.0258</v>
      </c>
      <c r="L14" s="34">
        <f t="shared" si="1"/>
        <v>7.0853358322832502E-4</v>
      </c>
      <c r="M14" s="33">
        <v>412.99200000000002</v>
      </c>
      <c r="N14" s="33">
        <v>427.21469999999999</v>
      </c>
      <c r="O14" s="35">
        <v>38</v>
      </c>
      <c r="P14" s="57">
        <v>5.4999999999999997E-3</v>
      </c>
      <c r="Q14" s="57">
        <v>0.30480000000000002</v>
      </c>
      <c r="R14" s="62">
        <f t="shared" si="2"/>
        <v>6.6120939845481811E-3</v>
      </c>
      <c r="S14" s="62">
        <f t="shared" si="3"/>
        <v>5.4940166691614502E-3</v>
      </c>
      <c r="T14" s="62">
        <f t="shared" si="4"/>
        <v>0</v>
      </c>
      <c r="U14" s="63">
        <f t="shared" si="5"/>
        <v>2.9999999999999992E-4</v>
      </c>
      <c r="V14" s="64">
        <f t="shared" si="6"/>
        <v>7.0999999999999952E-3</v>
      </c>
    </row>
    <row r="15" spans="1:25" ht="14.25" customHeight="1">
      <c r="A15" s="169">
        <v>10</v>
      </c>
      <c r="B15" s="149" t="s">
        <v>36</v>
      </c>
      <c r="C15" s="148" t="s">
        <v>37</v>
      </c>
      <c r="D15" s="39">
        <v>14801186687.91</v>
      </c>
      <c r="E15" s="34">
        <f t="shared" si="0"/>
        <v>9.0506034214638653E-2</v>
      </c>
      <c r="F15" s="33">
        <v>5.2760189999999998</v>
      </c>
      <c r="G15" s="33">
        <v>5.3036529999999997</v>
      </c>
      <c r="H15" s="35">
        <v>7729</v>
      </c>
      <c r="I15" s="57">
        <v>5.1999999999999998E-3</v>
      </c>
      <c r="J15" s="57">
        <v>0.32619999999999999</v>
      </c>
      <c r="K15" s="39">
        <v>15685271850.76</v>
      </c>
      <c r="L15" s="34">
        <f t="shared" si="1"/>
        <v>9.3720290003405579E-2</v>
      </c>
      <c r="M15" s="33">
        <v>5.4249660000000004</v>
      </c>
      <c r="N15" s="33">
        <v>5.4540639999999998</v>
      </c>
      <c r="O15" s="35">
        <v>7974</v>
      </c>
      <c r="P15" s="57">
        <v>2.8199999999999999E-2</v>
      </c>
      <c r="Q15" s="57">
        <v>0.36359999999999998</v>
      </c>
      <c r="R15" s="62">
        <f t="shared" si="2"/>
        <v>5.9730694672755158E-2</v>
      </c>
      <c r="S15" s="62">
        <f t="shared" si="3"/>
        <v>2.8359887043892217E-2</v>
      </c>
      <c r="T15" s="62">
        <f t="shared" si="4"/>
        <v>3.1698796739552337E-2</v>
      </c>
      <c r="U15" s="63">
        <f t="shared" si="5"/>
        <v>2.3E-2</v>
      </c>
      <c r="V15" s="64">
        <f t="shared" si="6"/>
        <v>3.7399999999999989E-2</v>
      </c>
    </row>
    <row r="16" spans="1:25" ht="14.25" customHeight="1">
      <c r="A16" s="170">
        <v>11</v>
      </c>
      <c r="B16" s="149" t="s">
        <v>38</v>
      </c>
      <c r="C16" s="148" t="s">
        <v>39</v>
      </c>
      <c r="D16" s="39">
        <v>378118628.61000001</v>
      </c>
      <c r="E16" s="34">
        <f t="shared" si="0"/>
        <v>2.3121130933455732E-3</v>
      </c>
      <c r="F16" s="33">
        <v>38.29</v>
      </c>
      <c r="G16" s="33">
        <v>38.630000000000003</v>
      </c>
      <c r="H16" s="35">
        <v>107</v>
      </c>
      <c r="I16" s="57">
        <v>-0.01</v>
      </c>
      <c r="J16" s="57">
        <v>0.45</v>
      </c>
      <c r="K16" s="39">
        <v>364845050.13</v>
      </c>
      <c r="L16" s="34">
        <f t="shared" si="1"/>
        <v>2.179967566378766E-3</v>
      </c>
      <c r="M16" s="33">
        <v>36.770000000000003</v>
      </c>
      <c r="N16" s="33">
        <v>37.119999999999997</v>
      </c>
      <c r="O16" s="35">
        <v>107</v>
      </c>
      <c r="P16" s="57">
        <v>-0.05</v>
      </c>
      <c r="Q16" s="57">
        <v>0.4</v>
      </c>
      <c r="R16" s="62">
        <f t="shared" ref="R16" si="7">((K16-D16)/D16)</f>
        <v>-3.5104270130236516E-2</v>
      </c>
      <c r="S16" s="62">
        <f t="shared" ref="S16" si="8">((N16-G16)/G16)</f>
        <v>-3.9088791095004016E-2</v>
      </c>
      <c r="T16" s="62">
        <f t="shared" ref="T16" si="9">((O16-H16)/H16)</f>
        <v>0</v>
      </c>
      <c r="U16" s="63">
        <f t="shared" ref="U16" si="10">P16-I16</f>
        <v>-0.04</v>
      </c>
      <c r="V16" s="64">
        <f t="shared" ref="V16" si="11">Q16-J16</f>
        <v>-4.9999999999999989E-2</v>
      </c>
    </row>
    <row r="17" spans="1:24">
      <c r="A17" s="169">
        <v>12</v>
      </c>
      <c r="B17" s="149" t="s">
        <v>40</v>
      </c>
      <c r="C17" s="148" t="s">
        <v>41</v>
      </c>
      <c r="D17" s="40">
        <v>3753093443.9499998</v>
      </c>
      <c r="E17" s="34">
        <f t="shared" si="0"/>
        <v>2.2949349319830708E-2</v>
      </c>
      <c r="F17" s="33">
        <v>7.28</v>
      </c>
      <c r="G17" s="33">
        <v>7.44</v>
      </c>
      <c r="H17" s="35">
        <v>3773</v>
      </c>
      <c r="I17" s="57">
        <v>0.21290000000000001</v>
      </c>
      <c r="J17" s="57">
        <v>0.31569999999999998</v>
      </c>
      <c r="K17" s="40">
        <v>3714934790.9699998</v>
      </c>
      <c r="L17" s="34">
        <f t="shared" si="1"/>
        <v>2.2196922646041329E-2</v>
      </c>
      <c r="M17" s="33">
        <v>7.2</v>
      </c>
      <c r="N17" s="33">
        <v>7.36</v>
      </c>
      <c r="O17" s="35">
        <v>3777</v>
      </c>
      <c r="P17" s="57">
        <v>0.20030000000000001</v>
      </c>
      <c r="Q17" s="57">
        <v>0.3019</v>
      </c>
      <c r="R17" s="62">
        <f t="shared" si="2"/>
        <v>-1.0167253640196969E-2</v>
      </c>
      <c r="S17" s="62">
        <f t="shared" si="3"/>
        <v>-1.075268817204302E-2</v>
      </c>
      <c r="T17" s="62">
        <f t="shared" si="4"/>
        <v>1.0601643254704478E-3</v>
      </c>
      <c r="U17" s="63">
        <f t="shared" si="5"/>
        <v>-1.26E-2</v>
      </c>
      <c r="V17" s="64">
        <f t="shared" si="6"/>
        <v>-1.3799999999999979E-2</v>
      </c>
    </row>
    <row r="18" spans="1:24">
      <c r="A18" s="169">
        <v>13</v>
      </c>
      <c r="B18" s="149" t="s">
        <v>42</v>
      </c>
      <c r="C18" s="148" t="s">
        <v>43</v>
      </c>
      <c r="D18" s="33">
        <v>7301166124.1000004</v>
      </c>
      <c r="E18" s="34">
        <f t="shared" si="0"/>
        <v>4.4645041304310677E-2</v>
      </c>
      <c r="F18" s="33">
        <v>42.880826999999996</v>
      </c>
      <c r="G18" s="33">
        <v>43.050353999999999</v>
      </c>
      <c r="H18" s="35">
        <v>1522</v>
      </c>
      <c r="I18" s="57">
        <v>-5.1000000000000004E-3</v>
      </c>
      <c r="J18" s="57">
        <v>0.31819999999999998</v>
      </c>
      <c r="K18" s="33">
        <v>7305540066.6199999</v>
      </c>
      <c r="L18" s="34">
        <f>(K18/$K$26)</f>
        <v>4.3650970170590352E-2</v>
      </c>
      <c r="M18" s="33">
        <v>42.664099999999998</v>
      </c>
      <c r="N18" s="33">
        <v>42.847991</v>
      </c>
      <c r="O18" s="35">
        <v>1537</v>
      </c>
      <c r="P18" s="57">
        <v>-5.1000000000000004E-3</v>
      </c>
      <c r="Q18" s="57">
        <v>0.31159999999999999</v>
      </c>
      <c r="R18" s="62">
        <f t="shared" si="2"/>
        <v>5.9907451024320739E-4</v>
      </c>
      <c r="S18" s="62">
        <f t="shared" si="3"/>
        <v>-4.7006117533899558E-3</v>
      </c>
      <c r="T18" s="62">
        <f t="shared" si="4"/>
        <v>9.8554533508541393E-3</v>
      </c>
      <c r="U18" s="63">
        <f t="shared" si="5"/>
        <v>0</v>
      </c>
      <c r="V18" s="64">
        <f t="shared" si="6"/>
        <v>-6.5999999999999948E-3</v>
      </c>
    </row>
    <row r="19" spans="1:24">
      <c r="A19" s="169">
        <v>14</v>
      </c>
      <c r="B19" s="149" t="s">
        <v>44</v>
      </c>
      <c r="C19" s="148" t="s">
        <v>45</v>
      </c>
      <c r="D19" s="33">
        <v>235425377.53</v>
      </c>
      <c r="E19" s="34">
        <f t="shared" si="0"/>
        <v>1.4395749288892399E-3</v>
      </c>
      <c r="F19" s="33">
        <v>2.54</v>
      </c>
      <c r="G19" s="33">
        <v>2.5299999999999998</v>
      </c>
      <c r="H19" s="35">
        <v>26</v>
      </c>
      <c r="I19" s="57">
        <v>-5.7000000000000002E-3</v>
      </c>
      <c r="J19" s="57">
        <v>0.2888</v>
      </c>
      <c r="K19" s="33">
        <v>244707036.69</v>
      </c>
      <c r="L19" s="34">
        <f t="shared" si="1"/>
        <v>1.4621368799132152E-3</v>
      </c>
      <c r="M19" s="33">
        <v>2.62</v>
      </c>
      <c r="N19" s="33">
        <v>2.7</v>
      </c>
      <c r="O19" s="35">
        <v>27</v>
      </c>
      <c r="P19" s="57">
        <v>2.0400000000000001E-2</v>
      </c>
      <c r="Q19" s="57">
        <v>0.33900000000000002</v>
      </c>
      <c r="R19" s="62">
        <f t="shared" si="2"/>
        <v>3.9425057983892349E-2</v>
      </c>
      <c r="S19" s="62">
        <f t="shared" si="3"/>
        <v>6.7193675889328217E-2</v>
      </c>
      <c r="T19" s="62">
        <f t="shared" si="4"/>
        <v>3.8461538461538464E-2</v>
      </c>
      <c r="U19" s="63">
        <f t="shared" si="5"/>
        <v>2.6100000000000002E-2</v>
      </c>
      <c r="V19" s="64">
        <f t="shared" si="6"/>
        <v>5.0200000000000022E-2</v>
      </c>
    </row>
    <row r="20" spans="1:24">
      <c r="A20" s="169">
        <v>15</v>
      </c>
      <c r="B20" s="149" t="s">
        <v>46</v>
      </c>
      <c r="C20" s="148" t="s">
        <v>47</v>
      </c>
      <c r="D20" s="141">
        <v>15502756560.93</v>
      </c>
      <c r="E20" s="34">
        <f t="shared" si="0"/>
        <v>9.4795981248640554E-2</v>
      </c>
      <c r="F20" s="33">
        <v>66.39</v>
      </c>
      <c r="G20" s="33">
        <v>66.59</v>
      </c>
      <c r="H20" s="35">
        <v>16529</v>
      </c>
      <c r="I20" s="57">
        <v>-1.2999999999999999E-3</v>
      </c>
      <c r="J20" s="57">
        <v>0.39879999999999999</v>
      </c>
      <c r="K20" s="141">
        <v>15748901020</v>
      </c>
      <c r="L20" s="34">
        <f t="shared" si="1"/>
        <v>9.4100477497163271E-2</v>
      </c>
      <c r="M20" s="33">
        <v>66.12</v>
      </c>
      <c r="N20" s="33">
        <v>66.34</v>
      </c>
      <c r="O20" s="35">
        <v>16670</v>
      </c>
      <c r="P20" s="57">
        <v>-4.7000000000000002E-3</v>
      </c>
      <c r="Q20" s="57">
        <v>0.3931</v>
      </c>
      <c r="R20" s="62">
        <f t="shared" si="2"/>
        <v>1.5877463991812411E-2</v>
      </c>
      <c r="S20" s="62">
        <f t="shared" si="3"/>
        <v>-3.7543174650848474E-3</v>
      </c>
      <c r="T20" s="62">
        <f t="shared" si="4"/>
        <v>8.5304616129227417E-3</v>
      </c>
      <c r="U20" s="63">
        <f t="shared" si="5"/>
        <v>-3.4000000000000002E-3</v>
      </c>
      <c r="V20" s="64">
        <f t="shared" si="6"/>
        <v>-5.6999999999999829E-3</v>
      </c>
    </row>
    <row r="21" spans="1:24" ht="12.75" customHeight="1">
      <c r="A21" s="169">
        <v>16</v>
      </c>
      <c r="B21" s="149" t="s">
        <v>48</v>
      </c>
      <c r="C21" s="148" t="s">
        <v>49</v>
      </c>
      <c r="D21" s="33">
        <v>3450417620.21</v>
      </c>
      <c r="E21" s="34">
        <f t="shared" si="0"/>
        <v>2.109855255353274E-2</v>
      </c>
      <c r="F21" s="33">
        <v>15999.06</v>
      </c>
      <c r="G21" s="33">
        <v>16222.92</v>
      </c>
      <c r="H21" s="35">
        <v>56</v>
      </c>
      <c r="I21" s="57">
        <v>-2.5999999999999999E-3</v>
      </c>
      <c r="J21" s="57">
        <v>0.26140000000000002</v>
      </c>
      <c r="K21" s="33">
        <v>3545192376.7800002</v>
      </c>
      <c r="L21" s="34">
        <f t="shared" si="1"/>
        <v>2.1182703164534918E-2</v>
      </c>
      <c r="M21" s="33">
        <v>16118.79</v>
      </c>
      <c r="N21" s="33">
        <v>16340.21</v>
      </c>
      <c r="O21" s="35">
        <v>59</v>
      </c>
      <c r="P21" s="57">
        <v>7.3000000000000001E-3</v>
      </c>
      <c r="Q21" s="57">
        <v>0.27060000000000001</v>
      </c>
      <c r="R21" s="62">
        <f t="shared" si="2"/>
        <v>2.7467618996286011E-2</v>
      </c>
      <c r="S21" s="62">
        <f t="shared" si="3"/>
        <v>7.2298944949490632E-3</v>
      </c>
      <c r="T21" s="62">
        <f t="shared" si="4"/>
        <v>5.3571428571428568E-2</v>
      </c>
      <c r="U21" s="63">
        <f t="shared" si="5"/>
        <v>9.8999999999999991E-3</v>
      </c>
      <c r="V21" s="64">
        <f t="shared" si="6"/>
        <v>9.199999999999986E-3</v>
      </c>
      <c r="X21" s="135"/>
    </row>
    <row r="22" spans="1:24">
      <c r="A22" s="169">
        <v>17</v>
      </c>
      <c r="B22" s="149" t="s">
        <v>50</v>
      </c>
      <c r="C22" s="148" t="s">
        <v>49</v>
      </c>
      <c r="D22" s="33">
        <v>48471819883.739998</v>
      </c>
      <c r="E22" s="34">
        <f t="shared" si="0"/>
        <v>0.29639462573815012</v>
      </c>
      <c r="F22" s="33">
        <v>55071.25</v>
      </c>
      <c r="G22" s="33">
        <v>55810.080000000002</v>
      </c>
      <c r="H22" s="35">
        <v>26069</v>
      </c>
      <c r="I22" s="57">
        <v>-1.34E-2</v>
      </c>
      <c r="J22" s="57">
        <v>0.28960000000000002</v>
      </c>
      <c r="K22" s="33">
        <v>49793223757.739998</v>
      </c>
      <c r="L22" s="34">
        <f t="shared" si="1"/>
        <v>0.2975170220306857</v>
      </c>
      <c r="M22" s="33">
        <v>55175.040000000001</v>
      </c>
      <c r="N22" s="33">
        <v>55902.22</v>
      </c>
      <c r="O22" s="35">
        <v>26391</v>
      </c>
      <c r="P22" s="57">
        <v>1.6000000000000001E-3</v>
      </c>
      <c r="Q22" s="57">
        <v>0.29170000000000001</v>
      </c>
      <c r="R22" s="62">
        <f t="shared" si="2"/>
        <v>2.7261280413431899E-2</v>
      </c>
      <c r="S22" s="62">
        <f t="shared" si="3"/>
        <v>1.6509562430299224E-3</v>
      </c>
      <c r="T22" s="62">
        <f t="shared" si="4"/>
        <v>1.2351835513445089E-2</v>
      </c>
      <c r="U22" s="63">
        <f t="shared" si="5"/>
        <v>1.5000000000000001E-2</v>
      </c>
      <c r="V22" s="64">
        <f t="shared" si="6"/>
        <v>2.0999999999999908E-3</v>
      </c>
    </row>
    <row r="23" spans="1:24">
      <c r="A23" s="170">
        <v>18</v>
      </c>
      <c r="B23" s="148" t="s">
        <v>51</v>
      </c>
      <c r="C23" s="148" t="s">
        <v>52</v>
      </c>
      <c r="D23" s="33">
        <v>12886933870.799999</v>
      </c>
      <c r="E23" s="34">
        <f t="shared" si="0"/>
        <v>7.8800794992006429E-2</v>
      </c>
      <c r="F23" s="33">
        <v>2.4563199999999998</v>
      </c>
      <c r="G23" s="41">
        <v>2.4792700000000001</v>
      </c>
      <c r="H23" s="35">
        <v>7620</v>
      </c>
      <c r="I23" s="57">
        <v>-1E-3</v>
      </c>
      <c r="J23" s="57">
        <v>0.27779999999999999</v>
      </c>
      <c r="K23" s="33">
        <v>12829491497.33</v>
      </c>
      <c r="L23" s="34">
        <f t="shared" si="1"/>
        <v>7.6656858431671637E-2</v>
      </c>
      <c r="M23" s="33">
        <v>2.4458199999999999</v>
      </c>
      <c r="N23" s="41">
        <v>2.4691399999999999</v>
      </c>
      <c r="O23" s="35">
        <v>7714</v>
      </c>
      <c r="P23" s="57">
        <v>-4.3E-3</v>
      </c>
      <c r="Q23" s="57">
        <v>0.27229999999999999</v>
      </c>
      <c r="R23" s="62">
        <f t="shared" ref="R23:R24" si="12">((K23-D23)/D23)</f>
        <v>-4.457411983788925E-3</v>
      </c>
      <c r="S23" s="62">
        <f t="shared" ref="S23:S24" si="13">((N23-G23)/G23)</f>
        <v>-4.0858801179380197E-3</v>
      </c>
      <c r="T23" s="62">
        <f t="shared" ref="T23:T24" si="14">((O23-H23)/H23)</f>
        <v>1.2335958005249344E-2</v>
      </c>
      <c r="U23" s="63">
        <f t="shared" ref="U23:U24" si="15">P23-I23</f>
        <v>-3.3E-3</v>
      </c>
      <c r="V23" s="64">
        <f t="shared" ref="V23:V24" si="16">Q23-J23</f>
        <v>-5.5000000000000049E-3</v>
      </c>
    </row>
    <row r="24" spans="1:24">
      <c r="A24" s="170">
        <v>19</v>
      </c>
      <c r="B24" s="149" t="s">
        <v>327</v>
      </c>
      <c r="C24" s="148" t="s">
        <v>124</v>
      </c>
      <c r="D24" s="33">
        <v>2980806236.4899998</v>
      </c>
      <c r="E24" s="34">
        <f t="shared" si="0"/>
        <v>1.822698118167352E-2</v>
      </c>
      <c r="F24" s="33">
        <v>1.55</v>
      </c>
      <c r="G24" s="41">
        <v>1.55</v>
      </c>
      <c r="H24" s="35">
        <v>821</v>
      </c>
      <c r="I24" s="57">
        <v>1.15E-2</v>
      </c>
      <c r="J24" s="57">
        <v>0.52129999999999999</v>
      </c>
      <c r="K24" s="33">
        <v>3089096808.9200001</v>
      </c>
      <c r="L24" s="34">
        <f t="shared" si="1"/>
        <v>1.8457509154777538E-2</v>
      </c>
      <c r="M24" s="33">
        <v>1.54</v>
      </c>
      <c r="N24" s="41">
        <v>1.57</v>
      </c>
      <c r="O24" s="35">
        <v>919</v>
      </c>
      <c r="P24" s="57">
        <v>8.0999999999999996E-3</v>
      </c>
      <c r="Q24" s="57">
        <v>0.53339999999999999</v>
      </c>
      <c r="R24" s="62">
        <f t="shared" si="12"/>
        <v>3.6329289406451366E-2</v>
      </c>
      <c r="S24" s="62">
        <f t="shared" si="13"/>
        <v>1.2903225806451623E-2</v>
      </c>
      <c r="T24" s="62">
        <f t="shared" si="14"/>
        <v>0.11936662606577345</v>
      </c>
      <c r="U24" s="63">
        <f t="shared" si="15"/>
        <v>-3.4000000000000002E-3</v>
      </c>
      <c r="V24" s="64">
        <f t="shared" si="16"/>
        <v>1.21E-2</v>
      </c>
    </row>
    <row r="25" spans="1:24">
      <c r="A25" s="169">
        <v>20</v>
      </c>
      <c r="B25" s="148" t="s">
        <v>53</v>
      </c>
      <c r="C25" s="148" t="s">
        <v>54</v>
      </c>
      <c r="D25" s="33">
        <v>15192662605.120001</v>
      </c>
      <c r="E25" s="34">
        <f>(D25/$D$26)</f>
        <v>9.2899824219743868E-2</v>
      </c>
      <c r="F25" s="33">
        <v>290.5</v>
      </c>
      <c r="G25" s="41">
        <v>295.41000000000003</v>
      </c>
      <c r="H25" s="35">
        <v>109</v>
      </c>
      <c r="I25" s="57">
        <v>-5.7999999999999996E-3</v>
      </c>
      <c r="J25" s="57">
        <v>0.37530000000000002</v>
      </c>
      <c r="K25" s="33">
        <v>15934490336.959999</v>
      </c>
      <c r="L25" s="34">
        <f t="shared" si="1"/>
        <v>9.5209383021563357E-2</v>
      </c>
      <c r="M25" s="33">
        <v>299.48</v>
      </c>
      <c r="N25" s="41">
        <v>304.39999999999998</v>
      </c>
      <c r="O25" s="35">
        <v>114</v>
      </c>
      <c r="P25" s="57">
        <v>3.0599999999999999E-2</v>
      </c>
      <c r="Q25" s="57">
        <v>0.41749999999999998</v>
      </c>
      <c r="R25" s="62">
        <f t="shared" si="2"/>
        <v>4.8828026470488374E-2</v>
      </c>
      <c r="S25" s="62">
        <f t="shared" si="3"/>
        <v>3.0432280559222612E-2</v>
      </c>
      <c r="T25" s="62">
        <f t="shared" si="4"/>
        <v>4.5871559633027525E-2</v>
      </c>
      <c r="U25" s="63">
        <f t="shared" si="5"/>
        <v>3.6400000000000002E-2</v>
      </c>
      <c r="V25" s="64">
        <f t="shared" si="6"/>
        <v>4.219999999999996E-2</v>
      </c>
    </row>
    <row r="26" spans="1:24">
      <c r="A26" s="42"/>
      <c r="B26" s="43"/>
      <c r="C26" s="44" t="s">
        <v>55</v>
      </c>
      <c r="D26" s="45">
        <f>SUM(D6:D25)</f>
        <v>163538120041.90128</v>
      </c>
      <c r="E26" s="46">
        <f>(D26/$D$236)</f>
        <v>1.955697595528761E-2</v>
      </c>
      <c r="F26" s="47"/>
      <c r="G26" s="48"/>
      <c r="H26" s="49">
        <f>SUM(H6:H25)</f>
        <v>85282</v>
      </c>
      <c r="I26" s="59"/>
      <c r="J26" s="35">
        <v>0</v>
      </c>
      <c r="K26" s="45">
        <f>SUM(K6:K25)</f>
        <v>167362604727.21579</v>
      </c>
      <c r="L26" s="46">
        <f>(K26/$K$236)</f>
        <v>1.9879655110124489E-2</v>
      </c>
      <c r="M26" s="47"/>
      <c r="N26" s="48"/>
      <c r="O26" s="49">
        <f>SUM(O6:O25)</f>
        <v>86416</v>
      </c>
      <c r="P26" s="59"/>
      <c r="Q26" s="49"/>
      <c r="R26" s="62">
        <f t="shared" si="2"/>
        <v>2.3385891218112423E-2</v>
      </c>
      <c r="S26" s="62" t="e">
        <f t="shared" si="3"/>
        <v>#DIV/0!</v>
      </c>
      <c r="T26" s="62">
        <f t="shared" si="4"/>
        <v>1.3297061513566756E-2</v>
      </c>
      <c r="U26" s="63">
        <f t="shared" si="5"/>
        <v>0</v>
      </c>
      <c r="V26" s="64">
        <f t="shared" si="6"/>
        <v>0</v>
      </c>
    </row>
    <row r="27" spans="1:24" ht="4.5" customHeight="1">
      <c r="A27" s="42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</row>
    <row r="28" spans="1:24" ht="15" customHeight="1">
      <c r="A28" s="200" t="s">
        <v>56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</row>
    <row r="29" spans="1:24">
      <c r="A29" s="167">
        <v>21</v>
      </c>
      <c r="B29" s="149" t="s">
        <v>57</v>
      </c>
      <c r="C29" s="148" t="s">
        <v>19</v>
      </c>
      <c r="D29" s="51">
        <v>6007053536.9899998</v>
      </c>
      <c r="E29" s="34">
        <f t="shared" ref="E29:E36" si="17">(D29/$K$75)</f>
        <v>1.0994169410980118E-3</v>
      </c>
      <c r="F29" s="41">
        <v>100</v>
      </c>
      <c r="G29" s="41">
        <v>100</v>
      </c>
      <c r="H29" s="35">
        <v>908</v>
      </c>
      <c r="I29" s="57">
        <v>0.1482</v>
      </c>
      <c r="J29" s="57">
        <v>0.1482</v>
      </c>
      <c r="K29" s="51">
        <v>5958903826.8500004</v>
      </c>
      <c r="L29" s="34">
        <f t="shared" ref="L29:L36" si="18">(K29/$K$75)</f>
        <v>1.0906045330329093E-3</v>
      </c>
      <c r="M29" s="41">
        <v>100</v>
      </c>
      <c r="N29" s="41">
        <v>100</v>
      </c>
      <c r="O29" s="35">
        <v>908</v>
      </c>
      <c r="P29" s="57">
        <v>0.13719999999999999</v>
      </c>
      <c r="Q29" s="57">
        <v>0.13719999999999999</v>
      </c>
      <c r="R29" s="62">
        <f>((K29-D29)/D29)</f>
        <v>-8.0155287186147051E-3</v>
      </c>
      <c r="S29" s="62">
        <f>((N29-G29)/G29)</f>
        <v>0</v>
      </c>
      <c r="T29" s="62">
        <f>((O29-H29)/H29)</f>
        <v>0</v>
      </c>
      <c r="U29" s="62">
        <f>P29-I29</f>
        <v>-1.100000000000001E-2</v>
      </c>
      <c r="V29" s="109">
        <f>Q29-J29</f>
        <v>-1.100000000000001E-2</v>
      </c>
    </row>
    <row r="30" spans="1:24">
      <c r="A30" s="167">
        <v>22</v>
      </c>
      <c r="B30" s="149" t="s">
        <v>58</v>
      </c>
      <c r="C30" s="148" t="s">
        <v>59</v>
      </c>
      <c r="D30" s="51">
        <v>38820909700.620003</v>
      </c>
      <c r="E30" s="34">
        <f t="shared" si="17"/>
        <v>7.1050416865576921E-3</v>
      </c>
      <c r="F30" s="41">
        <v>100</v>
      </c>
      <c r="G30" s="41">
        <v>100</v>
      </c>
      <c r="H30" s="35">
        <v>4522</v>
      </c>
      <c r="I30" s="57">
        <v>0.168854</v>
      </c>
      <c r="J30" s="57">
        <v>0.168854</v>
      </c>
      <c r="K30" s="51">
        <v>39530173991.959999</v>
      </c>
      <c r="L30" s="34">
        <f t="shared" si="18"/>
        <v>7.23485194591586E-3</v>
      </c>
      <c r="M30" s="41">
        <v>100</v>
      </c>
      <c r="N30" s="41">
        <v>100</v>
      </c>
      <c r="O30" s="35">
        <v>4546</v>
      </c>
      <c r="P30" s="57">
        <v>0.17577699999999999</v>
      </c>
      <c r="Q30" s="57">
        <v>0.17577699999999999</v>
      </c>
      <c r="R30" s="62">
        <f t="shared" ref="R30:R75" si="19">((K30-D30)/D30)</f>
        <v>1.8270161539482646E-2</v>
      </c>
      <c r="S30" s="62">
        <f t="shared" ref="S30:S75" si="20">((N30-G30)/G30)</f>
        <v>0</v>
      </c>
      <c r="T30" s="62">
        <f t="shared" ref="T30:T75" si="21">((O30-H30)/H30)</f>
        <v>5.307386112339673E-3</v>
      </c>
      <c r="U30" s="63">
        <f t="shared" ref="U30:U75" si="22">P30-I30</f>
        <v>6.9229999999999847E-3</v>
      </c>
      <c r="V30" s="64">
        <f t="shared" ref="V30:V75" si="23">Q30-J30</f>
        <v>6.9229999999999847E-3</v>
      </c>
    </row>
    <row r="31" spans="1:24">
      <c r="A31" s="167">
        <v>23</v>
      </c>
      <c r="B31" s="149" t="s">
        <v>337</v>
      </c>
      <c r="C31" s="148" t="s">
        <v>336</v>
      </c>
      <c r="D31" s="51">
        <v>1625455636.5599999</v>
      </c>
      <c r="E31" s="34">
        <f t="shared" si="17"/>
        <v>2.9749251489654099E-4</v>
      </c>
      <c r="F31" s="41">
        <v>1</v>
      </c>
      <c r="G31" s="41">
        <v>1</v>
      </c>
      <c r="H31" s="35">
        <v>156</v>
      </c>
      <c r="I31" s="57">
        <v>0.19939999999999999</v>
      </c>
      <c r="J31" s="57">
        <v>0.19939999999999999</v>
      </c>
      <c r="K31" s="51">
        <v>1779498935.73</v>
      </c>
      <c r="L31" s="34">
        <f t="shared" si="18"/>
        <v>3.256856734437826E-4</v>
      </c>
      <c r="M31" s="41">
        <v>1</v>
      </c>
      <c r="N31" s="41">
        <v>1</v>
      </c>
      <c r="O31" s="35">
        <v>154</v>
      </c>
      <c r="P31" s="57">
        <v>0.17419999999999999</v>
      </c>
      <c r="Q31" s="57">
        <v>0.17419999999999999</v>
      </c>
      <c r="R31" s="62">
        <f t="shared" ref="R31" si="24">((K31-D31)/D31)</f>
        <v>9.4769303883313907E-2</v>
      </c>
      <c r="S31" s="62">
        <f t="shared" ref="S31" si="25">((N31-G31)/G31)</f>
        <v>0</v>
      </c>
      <c r="T31" s="62">
        <f t="shared" ref="T31" si="26">((O31-H31)/H31)</f>
        <v>-1.282051282051282E-2</v>
      </c>
      <c r="U31" s="63">
        <f t="shared" ref="U31" si="27">P31-I31</f>
        <v>-2.52E-2</v>
      </c>
      <c r="V31" s="64">
        <f t="shared" ref="V31" si="28">Q31-J31</f>
        <v>-2.52E-2</v>
      </c>
    </row>
    <row r="32" spans="1:24">
      <c r="A32" s="167">
        <v>24</v>
      </c>
      <c r="B32" s="149" t="s">
        <v>60</v>
      </c>
      <c r="C32" s="148" t="s">
        <v>21</v>
      </c>
      <c r="D32" s="51">
        <v>3528542943.4000001</v>
      </c>
      <c r="E32" s="34">
        <f t="shared" si="17"/>
        <v>6.4579745552087323E-4</v>
      </c>
      <c r="F32" s="41">
        <v>100</v>
      </c>
      <c r="G32" s="41">
        <v>100</v>
      </c>
      <c r="H32" s="35">
        <v>2468</v>
      </c>
      <c r="I32" s="57">
        <v>0.16220000000000001</v>
      </c>
      <c r="J32" s="57">
        <v>0.16220000000000001</v>
      </c>
      <c r="K32" s="51">
        <v>3597107470.6300001</v>
      </c>
      <c r="L32" s="34">
        <f t="shared" si="18"/>
        <v>6.5834620381000693E-4</v>
      </c>
      <c r="M32" s="41">
        <v>100</v>
      </c>
      <c r="N32" s="41">
        <v>100</v>
      </c>
      <c r="O32" s="35">
        <v>2476</v>
      </c>
      <c r="P32" s="57">
        <v>0.15920000000000001</v>
      </c>
      <c r="Q32" s="57">
        <v>0.15920000000000001</v>
      </c>
      <c r="R32" s="62">
        <f t="shared" si="19"/>
        <v>1.9431399399076964E-2</v>
      </c>
      <c r="S32" s="62">
        <f t="shared" si="20"/>
        <v>0</v>
      </c>
      <c r="T32" s="62">
        <f t="shared" si="21"/>
        <v>3.2414910858995136E-3</v>
      </c>
      <c r="U32" s="63">
        <f t="shared" si="22"/>
        <v>-3.0000000000000027E-3</v>
      </c>
      <c r="V32" s="64">
        <f t="shared" si="23"/>
        <v>-3.0000000000000027E-3</v>
      </c>
    </row>
    <row r="33" spans="1:22">
      <c r="A33" s="167">
        <v>25</v>
      </c>
      <c r="B33" s="149" t="s">
        <v>332</v>
      </c>
      <c r="C33" s="148" t="s">
        <v>333</v>
      </c>
      <c r="D33" s="51">
        <v>682128696.84000003</v>
      </c>
      <c r="E33" s="34">
        <v>0</v>
      </c>
      <c r="F33" s="41">
        <v>100</v>
      </c>
      <c r="G33" s="41">
        <v>100</v>
      </c>
      <c r="H33" s="35">
        <v>114</v>
      </c>
      <c r="I33" s="57">
        <v>0.15612699999999999</v>
      </c>
      <c r="J33" s="57">
        <v>0.15612699999999999</v>
      </c>
      <c r="K33" s="51">
        <v>729650096.84000003</v>
      </c>
      <c r="L33" s="34">
        <f t="shared" si="18"/>
        <v>1.3354128985200626E-4</v>
      </c>
      <c r="M33" s="41">
        <v>100</v>
      </c>
      <c r="N33" s="41">
        <v>100</v>
      </c>
      <c r="O33" s="35">
        <v>118</v>
      </c>
      <c r="P33" s="57">
        <v>0.14466899999999999</v>
      </c>
      <c r="Q33" s="57">
        <v>0.14466899999999999</v>
      </c>
      <c r="R33" s="62">
        <f t="shared" ref="R33" si="29">((K33-D33)/D33)</f>
        <v>6.9666325753696606E-2</v>
      </c>
      <c r="S33" s="62">
        <f t="shared" ref="S33" si="30">((N33-G33)/G33)</f>
        <v>0</v>
      </c>
      <c r="T33" s="62">
        <f t="shared" ref="T33" si="31">((O33-H33)/H33)</f>
        <v>3.5087719298245612E-2</v>
      </c>
      <c r="U33" s="63">
        <f t="shared" ref="U33" si="32">P33-I33</f>
        <v>-1.1457999999999996E-2</v>
      </c>
      <c r="V33" s="64">
        <f t="shared" ref="V33" si="33">Q33-J33</f>
        <v>-1.1457999999999996E-2</v>
      </c>
    </row>
    <row r="34" spans="1:22">
      <c r="A34" s="167">
        <v>26</v>
      </c>
      <c r="B34" s="149" t="s">
        <v>61</v>
      </c>
      <c r="C34" s="148" t="s">
        <v>23</v>
      </c>
      <c r="D34" s="51">
        <v>379780118659.31</v>
      </c>
      <c r="E34" s="34">
        <f t="shared" si="17"/>
        <v>6.9507736825578037E-2</v>
      </c>
      <c r="F34" s="41">
        <v>1</v>
      </c>
      <c r="G34" s="41">
        <v>1</v>
      </c>
      <c r="H34" s="35">
        <v>82111</v>
      </c>
      <c r="I34" s="57">
        <v>0.1754</v>
      </c>
      <c r="J34" s="57">
        <v>0.1754</v>
      </c>
      <c r="K34" s="51">
        <v>382642397263.64001</v>
      </c>
      <c r="L34" s="34">
        <f t="shared" si="18"/>
        <v>7.0031593915974397E-2</v>
      </c>
      <c r="M34" s="41">
        <v>1</v>
      </c>
      <c r="N34" s="41">
        <v>1</v>
      </c>
      <c r="O34" s="35">
        <v>82255</v>
      </c>
      <c r="P34" s="57">
        <v>0.17280000000000001</v>
      </c>
      <c r="Q34" s="57">
        <v>0.17280000000000001</v>
      </c>
      <c r="R34" s="62">
        <f t="shared" si="19"/>
        <v>7.5366731003043532E-3</v>
      </c>
      <c r="S34" s="62">
        <f t="shared" si="20"/>
        <v>0</v>
      </c>
      <c r="T34" s="62">
        <f t="shared" si="21"/>
        <v>1.753723618029253E-3</v>
      </c>
      <c r="U34" s="63">
        <f t="shared" si="22"/>
        <v>-2.5999999999999912E-3</v>
      </c>
      <c r="V34" s="64">
        <f t="shared" si="23"/>
        <v>-2.5999999999999912E-3</v>
      </c>
    </row>
    <row r="35" spans="1:22">
      <c r="A35" s="167">
        <v>27</v>
      </c>
      <c r="B35" s="149" t="s">
        <v>62</v>
      </c>
      <c r="C35" s="148" t="s">
        <v>63</v>
      </c>
      <c r="D35" s="51">
        <v>2157182383.0799999</v>
      </c>
      <c r="E35" s="34">
        <f t="shared" si="17"/>
        <v>3.9480967539115862E-4</v>
      </c>
      <c r="F35" s="41">
        <v>1</v>
      </c>
      <c r="G35" s="41">
        <v>1</v>
      </c>
      <c r="H35" s="35">
        <v>300</v>
      </c>
      <c r="I35" s="57">
        <v>0.16500000000000001</v>
      </c>
      <c r="J35" s="57">
        <v>0.16500000000000001</v>
      </c>
      <c r="K35" s="51">
        <v>2313730662.6599998</v>
      </c>
      <c r="L35" s="34">
        <f t="shared" si="18"/>
        <v>4.2346129795622759E-4</v>
      </c>
      <c r="M35" s="41">
        <v>1</v>
      </c>
      <c r="N35" s="41">
        <v>1</v>
      </c>
      <c r="O35" s="35">
        <v>300</v>
      </c>
      <c r="P35" s="57">
        <v>0.16500000000000001</v>
      </c>
      <c r="Q35" s="57">
        <v>0.16500000000000001</v>
      </c>
      <c r="R35" s="62">
        <f t="shared" si="19"/>
        <v>7.2570720402640274E-2</v>
      </c>
      <c r="S35" s="62">
        <f t="shared" si="20"/>
        <v>0</v>
      </c>
      <c r="T35" s="62">
        <f t="shared" si="21"/>
        <v>0</v>
      </c>
      <c r="U35" s="63">
        <f t="shared" si="22"/>
        <v>0</v>
      </c>
      <c r="V35" s="64">
        <f t="shared" si="23"/>
        <v>0</v>
      </c>
    </row>
    <row r="36" spans="1:22">
      <c r="A36" s="167">
        <v>28</v>
      </c>
      <c r="B36" s="149" t="s">
        <v>64</v>
      </c>
      <c r="C36" s="148" t="s">
        <v>25</v>
      </c>
      <c r="D36" s="51">
        <v>171370382457.41</v>
      </c>
      <c r="E36" s="34">
        <f t="shared" si="17"/>
        <v>3.1364378645196644E-2</v>
      </c>
      <c r="F36" s="41">
        <v>1</v>
      </c>
      <c r="G36" s="41">
        <v>1</v>
      </c>
      <c r="H36" s="35">
        <v>39249</v>
      </c>
      <c r="I36" s="57">
        <v>0.1605</v>
      </c>
      <c r="J36" s="57">
        <v>0.1605</v>
      </c>
      <c r="K36" s="51">
        <v>172306849388.82001</v>
      </c>
      <c r="L36" s="34">
        <f t="shared" si="18"/>
        <v>3.1535771758780598E-2</v>
      </c>
      <c r="M36" s="41">
        <v>1</v>
      </c>
      <c r="N36" s="41">
        <v>1</v>
      </c>
      <c r="O36" s="35">
        <v>39294</v>
      </c>
      <c r="P36" s="57">
        <v>0.13969999999999999</v>
      </c>
      <c r="Q36" s="57">
        <v>0.13969999999999999</v>
      </c>
      <c r="R36" s="62">
        <f t="shared" si="19"/>
        <v>5.464578639443371E-3</v>
      </c>
      <c r="S36" s="62">
        <f t="shared" si="20"/>
        <v>0</v>
      </c>
      <c r="T36" s="62">
        <f t="shared" si="21"/>
        <v>1.1465260261407934E-3</v>
      </c>
      <c r="U36" s="63">
        <f t="shared" si="22"/>
        <v>-2.0800000000000013E-2</v>
      </c>
      <c r="V36" s="64">
        <f t="shared" si="23"/>
        <v>-2.0800000000000013E-2</v>
      </c>
    </row>
    <row r="37" spans="1:22">
      <c r="A37" s="167">
        <v>29</v>
      </c>
      <c r="B37" s="149" t="s">
        <v>65</v>
      </c>
      <c r="C37" s="148" t="s">
        <v>27</v>
      </c>
      <c r="D37" s="33">
        <v>19802128530.970001</v>
      </c>
      <c r="E37" s="34">
        <f t="shared" ref="E37" si="34">(D37/$D$26)</f>
        <v>0.12108570482463878</v>
      </c>
      <c r="F37" s="33">
        <v>1</v>
      </c>
      <c r="G37" s="33">
        <v>1</v>
      </c>
      <c r="H37" s="35">
        <v>1738</v>
      </c>
      <c r="I37" s="57">
        <v>0.17150000000000001</v>
      </c>
      <c r="J37" s="57">
        <v>0.17150000000000001</v>
      </c>
      <c r="K37" s="33">
        <v>20965249599.360001</v>
      </c>
      <c r="L37" s="34">
        <f t="shared" ref="L37" si="35">(K37/$K$26)</f>
        <v>0.12526842321515758</v>
      </c>
      <c r="M37" s="33">
        <v>1</v>
      </c>
      <c r="N37" s="33">
        <v>1</v>
      </c>
      <c r="O37" s="35">
        <v>1751</v>
      </c>
      <c r="P37" s="57">
        <v>0.17449999999999999</v>
      </c>
      <c r="Q37" s="57">
        <v>0.17449999999999999</v>
      </c>
      <c r="R37" s="62">
        <f t="shared" si="19"/>
        <v>5.8737173964450794E-2</v>
      </c>
      <c r="S37" s="62">
        <f t="shared" si="20"/>
        <v>0</v>
      </c>
      <c r="T37" s="62">
        <f t="shared" si="21"/>
        <v>7.4798619102416572E-3</v>
      </c>
      <c r="U37" s="63">
        <f t="shared" si="22"/>
        <v>2.9999999999999749E-3</v>
      </c>
      <c r="V37" s="64">
        <f t="shared" si="23"/>
        <v>2.9999999999999749E-3</v>
      </c>
    </row>
    <row r="38" spans="1:22" ht="15" customHeight="1">
      <c r="A38" s="167">
        <v>30</v>
      </c>
      <c r="B38" s="149" t="s">
        <v>66</v>
      </c>
      <c r="C38" s="148" t="s">
        <v>47</v>
      </c>
      <c r="D38" s="51">
        <v>40158210775.029999</v>
      </c>
      <c r="E38" s="34">
        <f>(D38/$K$75)</f>
        <v>7.349795865541027E-3</v>
      </c>
      <c r="F38" s="41">
        <v>100</v>
      </c>
      <c r="G38" s="41">
        <v>100</v>
      </c>
      <c r="H38" s="35">
        <v>13674</v>
      </c>
      <c r="I38" s="57">
        <v>0.17849999999999999</v>
      </c>
      <c r="J38" s="57">
        <v>0.17849999999999999</v>
      </c>
      <c r="K38" s="51">
        <v>40308747570</v>
      </c>
      <c r="L38" s="34">
        <f t="shared" ref="L38:L52" si="36">(K38/$K$75)</f>
        <v>7.3773472601855877E-3</v>
      </c>
      <c r="M38" s="41">
        <v>100</v>
      </c>
      <c r="N38" s="41">
        <v>100</v>
      </c>
      <c r="O38" s="35">
        <v>13832</v>
      </c>
      <c r="P38" s="57">
        <v>0.1822</v>
      </c>
      <c r="Q38" s="57">
        <v>0.1822</v>
      </c>
      <c r="R38" s="62">
        <f t="shared" si="19"/>
        <v>3.7485931784491653E-3</v>
      </c>
      <c r="S38" s="62">
        <f t="shared" si="20"/>
        <v>0</v>
      </c>
      <c r="T38" s="62">
        <f t="shared" si="21"/>
        <v>1.1554775486324411E-2</v>
      </c>
      <c r="U38" s="63">
        <f t="shared" si="22"/>
        <v>3.7000000000000088E-3</v>
      </c>
      <c r="V38" s="64">
        <f t="shared" si="23"/>
        <v>3.7000000000000088E-3</v>
      </c>
    </row>
    <row r="39" spans="1:22" ht="15" customHeight="1">
      <c r="A39" s="167">
        <v>31</v>
      </c>
      <c r="B39" s="149" t="s">
        <v>67</v>
      </c>
      <c r="C39" s="148" t="s">
        <v>68</v>
      </c>
      <c r="D39" s="51">
        <v>3284525634.1399999</v>
      </c>
      <c r="E39" s="34">
        <f>(D39/$K$75)</f>
        <v>6.0113716373728693E-4</v>
      </c>
      <c r="F39" s="41">
        <v>1</v>
      </c>
      <c r="G39" s="41">
        <v>1</v>
      </c>
      <c r="H39" s="35">
        <v>688</v>
      </c>
      <c r="I39" s="57">
        <v>0.15570000000000001</v>
      </c>
      <c r="J39" s="57">
        <v>0.15570000000000001</v>
      </c>
      <c r="K39" s="51">
        <v>3289488135.1999998</v>
      </c>
      <c r="L39" s="34">
        <f t="shared" si="36"/>
        <v>6.0204540564024074E-4</v>
      </c>
      <c r="M39" s="41">
        <v>1</v>
      </c>
      <c r="N39" s="41">
        <v>1</v>
      </c>
      <c r="O39" s="35">
        <v>691</v>
      </c>
      <c r="P39" s="57">
        <v>0.15540000000000001</v>
      </c>
      <c r="Q39" s="57">
        <v>0.15540000000000001</v>
      </c>
      <c r="R39" s="62">
        <f t="shared" si="19"/>
        <v>1.5108729882996616E-3</v>
      </c>
      <c r="S39" s="62">
        <f t="shared" si="20"/>
        <v>0</v>
      </c>
      <c r="T39" s="62">
        <f t="shared" si="21"/>
        <v>4.3604651162790697E-3</v>
      </c>
      <c r="U39" s="63">
        <f t="shared" si="22"/>
        <v>-2.9999999999999472E-4</v>
      </c>
      <c r="V39" s="64">
        <f t="shared" si="23"/>
        <v>-2.9999999999999472E-4</v>
      </c>
    </row>
    <row r="40" spans="1:22">
      <c r="A40" s="167">
        <v>32</v>
      </c>
      <c r="B40" s="149" t="s">
        <v>69</v>
      </c>
      <c r="C40" s="148" t="s">
        <v>70</v>
      </c>
      <c r="D40" s="51">
        <v>93124657191.169998</v>
      </c>
      <c r="E40" s="34">
        <f>(D40/$K$75)</f>
        <v>1.7043767817194924E-2</v>
      </c>
      <c r="F40" s="41">
        <v>100</v>
      </c>
      <c r="G40" s="41">
        <v>100</v>
      </c>
      <c r="H40" s="35">
        <v>5946</v>
      </c>
      <c r="I40" s="57">
        <v>0.1636</v>
      </c>
      <c r="J40" s="57">
        <v>0.1636</v>
      </c>
      <c r="K40" s="51">
        <v>93004953354.300003</v>
      </c>
      <c r="L40" s="34">
        <f t="shared" si="36"/>
        <v>1.7021859501352737E-2</v>
      </c>
      <c r="M40" s="41">
        <v>100</v>
      </c>
      <c r="N40" s="41">
        <v>100</v>
      </c>
      <c r="O40" s="35">
        <v>5968</v>
      </c>
      <c r="P40" s="57">
        <v>0.16389999999999999</v>
      </c>
      <c r="Q40" s="57">
        <v>0.16389999999999999</v>
      </c>
      <c r="R40" s="62">
        <f t="shared" si="19"/>
        <v>-1.2854150606349329E-3</v>
      </c>
      <c r="S40" s="62">
        <f t="shared" si="20"/>
        <v>0</v>
      </c>
      <c r="T40" s="62">
        <f t="shared" si="21"/>
        <v>3.6999663639421458E-3</v>
      </c>
      <c r="U40" s="63">
        <f t="shared" si="22"/>
        <v>2.9999999999999472E-4</v>
      </c>
      <c r="V40" s="64">
        <f t="shared" si="23"/>
        <v>2.9999999999999472E-4</v>
      </c>
    </row>
    <row r="41" spans="1:22">
      <c r="A41" s="163">
        <v>33</v>
      </c>
      <c r="B41" s="164" t="s">
        <v>71</v>
      </c>
      <c r="C41" s="148" t="s">
        <v>72</v>
      </c>
      <c r="D41" s="51">
        <v>41621986381.980003</v>
      </c>
      <c r="E41" s="34">
        <f>(D41/$K$75)</f>
        <v>7.6176975398539286E-3</v>
      </c>
      <c r="F41" s="41">
        <v>100</v>
      </c>
      <c r="G41" s="41">
        <v>100</v>
      </c>
      <c r="H41" s="35">
        <v>5809</v>
      </c>
      <c r="I41" s="57">
        <v>0.156</v>
      </c>
      <c r="J41" s="57">
        <v>0.156</v>
      </c>
      <c r="K41" s="51">
        <v>41476416358.849998</v>
      </c>
      <c r="L41" s="34">
        <f>(K41/$K$75)</f>
        <v>7.5910551687547439E-3</v>
      </c>
      <c r="M41" s="41">
        <v>100</v>
      </c>
      <c r="N41" s="41">
        <v>100</v>
      </c>
      <c r="O41" s="35">
        <v>5822</v>
      </c>
      <c r="P41" s="57">
        <v>0.16070000000000001</v>
      </c>
      <c r="Q41" s="57">
        <v>0.16070000000000001</v>
      </c>
      <c r="R41" s="62">
        <f t="shared" si="19"/>
        <v>-3.4974309441662922E-3</v>
      </c>
      <c r="S41" s="62">
        <f t="shared" si="20"/>
        <v>0</v>
      </c>
      <c r="T41" s="62">
        <f t="shared" si="21"/>
        <v>2.2379066965054228E-3</v>
      </c>
      <c r="U41" s="63">
        <f t="shared" si="22"/>
        <v>4.7000000000000097E-3</v>
      </c>
      <c r="V41" s="64">
        <f t="shared" si="23"/>
        <v>4.7000000000000097E-3</v>
      </c>
    </row>
    <row r="42" spans="1:22">
      <c r="A42" s="167">
        <v>34</v>
      </c>
      <c r="B42" s="149" t="s">
        <v>73</v>
      </c>
      <c r="C42" s="148" t="s">
        <v>74</v>
      </c>
      <c r="D42" s="51">
        <v>69747984794.559998</v>
      </c>
      <c r="E42" s="34">
        <f>(D42/$K$75)</f>
        <v>1.2765345875210809E-2</v>
      </c>
      <c r="F42" s="41">
        <v>1</v>
      </c>
      <c r="G42" s="41">
        <v>1</v>
      </c>
      <c r="H42" s="35">
        <v>15706</v>
      </c>
      <c r="I42" s="57">
        <v>0.1608</v>
      </c>
      <c r="J42" s="57">
        <v>0.1608</v>
      </c>
      <c r="K42" s="51">
        <v>68279172509.790001</v>
      </c>
      <c r="L42" s="34">
        <f t="shared" si="36"/>
        <v>1.2496522383090217E-2</v>
      </c>
      <c r="M42" s="41">
        <v>1</v>
      </c>
      <c r="N42" s="41">
        <v>1</v>
      </c>
      <c r="O42" s="35">
        <v>15816</v>
      </c>
      <c r="P42" s="57">
        <v>0.1673</v>
      </c>
      <c r="Q42" s="57">
        <v>0.1673</v>
      </c>
      <c r="R42" s="62">
        <f t="shared" si="19"/>
        <v>-2.1058849070640918E-2</v>
      </c>
      <c r="S42" s="62">
        <f t="shared" si="20"/>
        <v>0</v>
      </c>
      <c r="T42" s="62">
        <f t="shared" si="21"/>
        <v>7.0036928562332863E-3</v>
      </c>
      <c r="U42" s="63">
        <f t="shared" si="22"/>
        <v>6.5000000000000058E-3</v>
      </c>
      <c r="V42" s="64">
        <f t="shared" si="23"/>
        <v>6.5000000000000058E-3</v>
      </c>
    </row>
    <row r="43" spans="1:22">
      <c r="A43" s="167">
        <v>35</v>
      </c>
      <c r="B43" s="149" t="s">
        <v>75</v>
      </c>
      <c r="C43" s="148" t="s">
        <v>76</v>
      </c>
      <c r="D43" s="51">
        <v>1287186259.3199999</v>
      </c>
      <c r="E43" s="34">
        <v>0</v>
      </c>
      <c r="F43" s="41">
        <v>1000</v>
      </c>
      <c r="G43" s="41">
        <v>1000</v>
      </c>
      <c r="H43" s="35">
        <v>88</v>
      </c>
      <c r="I43" s="57">
        <v>0.1963</v>
      </c>
      <c r="J43" s="57">
        <v>0.1963</v>
      </c>
      <c r="K43" s="51">
        <v>1346659882.79</v>
      </c>
      <c r="L43" s="34">
        <f t="shared" si="36"/>
        <v>2.46467037445159E-4</v>
      </c>
      <c r="M43" s="41">
        <v>1000</v>
      </c>
      <c r="N43" s="41">
        <v>1000</v>
      </c>
      <c r="O43" s="35">
        <v>97</v>
      </c>
      <c r="P43" s="57">
        <v>0.2001</v>
      </c>
      <c r="Q43" s="57">
        <v>0.2001</v>
      </c>
      <c r="R43" s="62">
        <f t="shared" si="19"/>
        <v>4.6204364783554323E-2</v>
      </c>
      <c r="S43" s="62">
        <f t="shared" si="20"/>
        <v>0</v>
      </c>
      <c r="T43" s="62">
        <f t="shared" si="21"/>
        <v>0.10227272727272728</v>
      </c>
      <c r="U43" s="63">
        <f t="shared" si="22"/>
        <v>3.7999999999999978E-3</v>
      </c>
      <c r="V43" s="64">
        <f t="shared" si="23"/>
        <v>3.7999999999999978E-3</v>
      </c>
    </row>
    <row r="44" spans="1:22">
      <c r="A44" s="167">
        <v>36</v>
      </c>
      <c r="B44" s="149" t="s">
        <v>77</v>
      </c>
      <c r="C44" s="148" t="s">
        <v>78</v>
      </c>
      <c r="D44" s="51">
        <v>87776763974.330002</v>
      </c>
      <c r="E44" s="34">
        <f t="shared" ref="E44:E52" si="37">(D44/$K$75)</f>
        <v>1.6064991056579742E-2</v>
      </c>
      <c r="F44" s="52">
        <v>100</v>
      </c>
      <c r="G44" s="52">
        <v>100</v>
      </c>
      <c r="H44" s="35">
        <v>4863</v>
      </c>
      <c r="I44" s="57">
        <v>0.15640000000000001</v>
      </c>
      <c r="J44" s="57">
        <v>0.15640000000000001</v>
      </c>
      <c r="K44" s="51">
        <v>87831746104.320007</v>
      </c>
      <c r="L44" s="34">
        <f t="shared" si="36"/>
        <v>1.6075053940953328E-2</v>
      </c>
      <c r="M44" s="52">
        <v>100</v>
      </c>
      <c r="N44" s="52">
        <v>100</v>
      </c>
      <c r="O44" s="35">
        <v>4863</v>
      </c>
      <c r="P44" s="57">
        <v>0.15459999999999999</v>
      </c>
      <c r="Q44" s="57">
        <v>0.15459999999999999</v>
      </c>
      <c r="R44" s="62">
        <f t="shared" si="19"/>
        <v>6.2638593063290443E-4</v>
      </c>
      <c r="S44" s="62">
        <f t="shared" si="20"/>
        <v>0</v>
      </c>
      <c r="T44" s="62">
        <f t="shared" si="21"/>
        <v>0</v>
      </c>
      <c r="U44" s="63">
        <f t="shared" si="22"/>
        <v>-1.8000000000000238E-3</v>
      </c>
      <c r="V44" s="64">
        <f t="shared" si="23"/>
        <v>-1.8000000000000238E-3</v>
      </c>
    </row>
    <row r="45" spans="1:22">
      <c r="A45" s="167">
        <v>37</v>
      </c>
      <c r="B45" s="149" t="s">
        <v>79</v>
      </c>
      <c r="C45" s="148" t="s">
        <v>78</v>
      </c>
      <c r="D45" s="51">
        <v>9513793832.8500004</v>
      </c>
      <c r="E45" s="34">
        <f t="shared" si="37"/>
        <v>1.7412240542790571E-3</v>
      </c>
      <c r="F45" s="52">
        <v>1000000</v>
      </c>
      <c r="G45" s="52">
        <v>1000000</v>
      </c>
      <c r="H45" s="35">
        <v>46</v>
      </c>
      <c r="I45" s="57">
        <v>0.1467</v>
      </c>
      <c r="J45" s="57">
        <v>0.1467</v>
      </c>
      <c r="K45" s="51">
        <v>9676896475.1399994</v>
      </c>
      <c r="L45" s="34">
        <f t="shared" si="36"/>
        <v>1.771075262856986E-3</v>
      </c>
      <c r="M45" s="52">
        <v>1000000</v>
      </c>
      <c r="N45" s="52">
        <v>1000000</v>
      </c>
      <c r="O45" s="35">
        <v>46</v>
      </c>
      <c r="P45" s="57">
        <v>0.1522</v>
      </c>
      <c r="Q45" s="57">
        <v>0.1522</v>
      </c>
      <c r="R45" s="62">
        <f t="shared" si="19"/>
        <v>1.7143806682758351E-2</v>
      </c>
      <c r="S45" s="62">
        <f t="shared" si="20"/>
        <v>0</v>
      </c>
      <c r="T45" s="62">
        <f t="shared" si="21"/>
        <v>0</v>
      </c>
      <c r="U45" s="63">
        <f t="shared" si="22"/>
        <v>5.5000000000000049E-3</v>
      </c>
      <c r="V45" s="64">
        <f t="shared" si="23"/>
        <v>5.5000000000000049E-3</v>
      </c>
    </row>
    <row r="46" spans="1:22">
      <c r="A46" s="167">
        <v>38</v>
      </c>
      <c r="B46" s="149" t="s">
        <v>80</v>
      </c>
      <c r="C46" s="148" t="s">
        <v>81</v>
      </c>
      <c r="D46" s="51">
        <v>8216097025.5</v>
      </c>
      <c r="E46" s="34">
        <f t="shared" si="37"/>
        <v>1.5037182878289905E-3</v>
      </c>
      <c r="F46" s="41">
        <v>1</v>
      </c>
      <c r="G46" s="41">
        <v>1</v>
      </c>
      <c r="H46" s="35">
        <v>1209</v>
      </c>
      <c r="I46" s="57">
        <v>0.17960000000000001</v>
      </c>
      <c r="J46" s="57">
        <v>0.17960000000000001</v>
      </c>
      <c r="K46" s="51">
        <v>8188915482.3800001</v>
      </c>
      <c r="L46" s="34">
        <f t="shared" si="36"/>
        <v>1.4987434946450615E-3</v>
      </c>
      <c r="M46" s="41">
        <v>1</v>
      </c>
      <c r="N46" s="41">
        <v>1</v>
      </c>
      <c r="O46" s="35">
        <v>1219</v>
      </c>
      <c r="P46" s="57">
        <v>0.18210000000000001</v>
      </c>
      <c r="Q46" s="57">
        <v>0.18210000000000001</v>
      </c>
      <c r="R46" s="62">
        <f t="shared" si="19"/>
        <v>-3.3083279123454269E-3</v>
      </c>
      <c r="S46" s="62">
        <f t="shared" si="20"/>
        <v>0</v>
      </c>
      <c r="T46" s="62">
        <f t="shared" si="21"/>
        <v>8.271298593879239E-3</v>
      </c>
      <c r="U46" s="63">
        <f t="shared" si="22"/>
        <v>2.5000000000000022E-3</v>
      </c>
      <c r="V46" s="64">
        <f t="shared" si="23"/>
        <v>2.5000000000000022E-3</v>
      </c>
    </row>
    <row r="47" spans="1:22">
      <c r="A47" s="167">
        <v>39</v>
      </c>
      <c r="B47" s="149" t="s">
        <v>82</v>
      </c>
      <c r="C47" s="148" t="s">
        <v>83</v>
      </c>
      <c r="D47" s="51">
        <v>746206813040.40002</v>
      </c>
      <c r="E47" s="34">
        <f t="shared" si="37"/>
        <v>0.13657151659588054</v>
      </c>
      <c r="F47" s="41">
        <v>100</v>
      </c>
      <c r="G47" s="41">
        <v>100</v>
      </c>
      <c r="H47" s="35">
        <v>33082</v>
      </c>
      <c r="I47" s="57">
        <v>0.1643</v>
      </c>
      <c r="J47" s="57">
        <v>0.1643</v>
      </c>
      <c r="K47" s="51">
        <v>748189537877.33997</v>
      </c>
      <c r="L47" s="34">
        <f t="shared" si="36"/>
        <v>0.13693439687684433</v>
      </c>
      <c r="M47" s="41">
        <v>100</v>
      </c>
      <c r="N47" s="41">
        <v>100</v>
      </c>
      <c r="O47" s="35">
        <v>33076</v>
      </c>
      <c r="P47" s="57">
        <v>0.1643</v>
      </c>
      <c r="Q47" s="57">
        <v>0.1643</v>
      </c>
      <c r="R47" s="62">
        <f t="shared" si="19"/>
        <v>2.6570714744098638E-3</v>
      </c>
      <c r="S47" s="62">
        <f t="shared" si="20"/>
        <v>0</v>
      </c>
      <c r="T47" s="62">
        <f t="shared" si="21"/>
        <v>-1.8136751103319025E-4</v>
      </c>
      <c r="U47" s="63">
        <f t="shared" si="22"/>
        <v>0</v>
      </c>
      <c r="V47" s="64">
        <f t="shared" si="23"/>
        <v>0</v>
      </c>
    </row>
    <row r="48" spans="1:22">
      <c r="A48" s="167">
        <v>40</v>
      </c>
      <c r="B48" s="149" t="s">
        <v>84</v>
      </c>
      <c r="C48" s="148" t="s">
        <v>85</v>
      </c>
      <c r="D48" s="51">
        <v>5719931237.21</v>
      </c>
      <c r="E48" s="34">
        <f t="shared" si="37"/>
        <v>1.0468675308752877E-3</v>
      </c>
      <c r="F48" s="41">
        <v>1</v>
      </c>
      <c r="G48" s="41">
        <v>1</v>
      </c>
      <c r="H48" s="53">
        <v>2149</v>
      </c>
      <c r="I48" s="60">
        <v>0.17879999999999999</v>
      </c>
      <c r="J48" s="60">
        <v>0.17879999999999999</v>
      </c>
      <c r="K48" s="51">
        <v>5892550666.8000002</v>
      </c>
      <c r="L48" s="34">
        <f t="shared" si="36"/>
        <v>1.0784605113748449E-3</v>
      </c>
      <c r="M48" s="41">
        <v>1</v>
      </c>
      <c r="N48" s="41">
        <v>1</v>
      </c>
      <c r="O48" s="53">
        <v>2164</v>
      </c>
      <c r="P48" s="60">
        <v>0.1827</v>
      </c>
      <c r="Q48" s="60">
        <v>0.1827</v>
      </c>
      <c r="R48" s="62">
        <f t="shared" si="19"/>
        <v>3.0178584747147835E-2</v>
      </c>
      <c r="S48" s="62">
        <f t="shared" si="20"/>
        <v>0</v>
      </c>
      <c r="T48" s="62">
        <f t="shared" si="21"/>
        <v>6.9799906933457421E-3</v>
      </c>
      <c r="U48" s="63">
        <f t="shared" si="22"/>
        <v>3.9000000000000146E-3</v>
      </c>
      <c r="V48" s="64">
        <f t="shared" si="23"/>
        <v>3.9000000000000146E-3</v>
      </c>
    </row>
    <row r="49" spans="1:22">
      <c r="A49" s="163">
        <v>41</v>
      </c>
      <c r="B49" s="164" t="s">
        <v>86</v>
      </c>
      <c r="C49" s="148" t="s">
        <v>87</v>
      </c>
      <c r="D49" s="51">
        <v>4225164069.4400001</v>
      </c>
      <c r="E49" s="34">
        <f t="shared" si="37"/>
        <v>7.7329375013171053E-4</v>
      </c>
      <c r="F49" s="41">
        <v>1</v>
      </c>
      <c r="G49" s="41">
        <v>1</v>
      </c>
      <c r="H49" s="53">
        <v>723</v>
      </c>
      <c r="I49" s="60">
        <v>0.17</v>
      </c>
      <c r="J49" s="60">
        <v>0.17</v>
      </c>
      <c r="K49" s="51">
        <v>4253787201.6700001</v>
      </c>
      <c r="L49" s="34">
        <f>(K49/$K$75)</f>
        <v>7.7853238439510989E-4</v>
      </c>
      <c r="M49" s="41">
        <v>1</v>
      </c>
      <c r="N49" s="41">
        <v>1</v>
      </c>
      <c r="O49" s="53">
        <v>681</v>
      </c>
      <c r="P49" s="60">
        <v>0.17</v>
      </c>
      <c r="Q49" s="60">
        <v>0.17</v>
      </c>
      <c r="R49" s="62">
        <f t="shared" si="19"/>
        <v>6.774442781293865E-3</v>
      </c>
      <c r="S49" s="62">
        <f t="shared" si="20"/>
        <v>0</v>
      </c>
      <c r="T49" s="62">
        <f t="shared" si="21"/>
        <v>-5.8091286307053944E-2</v>
      </c>
      <c r="U49" s="63">
        <f t="shared" si="22"/>
        <v>0</v>
      </c>
      <c r="V49" s="64">
        <f t="shared" si="23"/>
        <v>0</v>
      </c>
    </row>
    <row r="50" spans="1:22">
      <c r="A50" s="167">
        <v>42</v>
      </c>
      <c r="B50" s="149" t="s">
        <v>88</v>
      </c>
      <c r="C50" s="148" t="s">
        <v>89</v>
      </c>
      <c r="D50" s="51">
        <v>8498998.5899999999</v>
      </c>
      <c r="E50" s="34">
        <f t="shared" si="37"/>
        <v>1.555495214863052E-6</v>
      </c>
      <c r="F50" s="41">
        <v>1</v>
      </c>
      <c r="G50" s="41">
        <v>1</v>
      </c>
      <c r="H50" s="53">
        <v>24</v>
      </c>
      <c r="I50" s="60">
        <v>0.105</v>
      </c>
      <c r="J50" s="60">
        <v>0.105</v>
      </c>
      <c r="K50" s="51">
        <v>8498998.5899999999</v>
      </c>
      <c r="L50" s="34">
        <f t="shared" si="36"/>
        <v>1.555495214863052E-6</v>
      </c>
      <c r="M50" s="41">
        <v>1</v>
      </c>
      <c r="N50" s="41">
        <v>1</v>
      </c>
      <c r="O50" s="53">
        <v>24</v>
      </c>
      <c r="P50" s="60">
        <v>0.105</v>
      </c>
      <c r="Q50" s="60">
        <v>0.105</v>
      </c>
      <c r="R50" s="62">
        <f t="shared" si="19"/>
        <v>0</v>
      </c>
      <c r="S50" s="62">
        <f t="shared" si="20"/>
        <v>0</v>
      </c>
      <c r="T50" s="62">
        <f t="shared" si="21"/>
        <v>0</v>
      </c>
      <c r="U50" s="63">
        <f t="shared" si="22"/>
        <v>0</v>
      </c>
      <c r="V50" s="64">
        <f t="shared" si="23"/>
        <v>0</v>
      </c>
    </row>
    <row r="51" spans="1:22">
      <c r="A51" s="167">
        <v>43</v>
      </c>
      <c r="B51" s="149" t="s">
        <v>90</v>
      </c>
      <c r="C51" s="148" t="s">
        <v>91</v>
      </c>
      <c r="D51" s="51">
        <v>1999006520.21</v>
      </c>
      <c r="E51" s="34">
        <f t="shared" si="37"/>
        <v>3.6586017090593445E-4</v>
      </c>
      <c r="F51" s="41">
        <v>10</v>
      </c>
      <c r="G51" s="41">
        <v>10</v>
      </c>
      <c r="H51" s="35">
        <v>566</v>
      </c>
      <c r="I51" s="57">
        <v>0.16769999999999999</v>
      </c>
      <c r="J51" s="57">
        <v>0.16769999999999999</v>
      </c>
      <c r="K51" s="51">
        <v>1966161612.3800001</v>
      </c>
      <c r="L51" s="34">
        <f t="shared" si="36"/>
        <v>3.5984886305346627E-4</v>
      </c>
      <c r="M51" s="41">
        <v>10</v>
      </c>
      <c r="N51" s="41">
        <v>10</v>
      </c>
      <c r="O51" s="35">
        <v>566</v>
      </c>
      <c r="P51" s="57">
        <v>0.16800000000000001</v>
      </c>
      <c r="Q51" s="57">
        <v>0.16800000000000001</v>
      </c>
      <c r="R51" s="62">
        <f t="shared" si="19"/>
        <v>-1.6430615657296352E-2</v>
      </c>
      <c r="S51" s="62">
        <f t="shared" si="20"/>
        <v>0</v>
      </c>
      <c r="T51" s="62">
        <f t="shared" si="21"/>
        <v>0</v>
      </c>
      <c r="U51" s="63">
        <f t="shared" si="22"/>
        <v>3.0000000000002247E-4</v>
      </c>
      <c r="V51" s="64">
        <f t="shared" si="23"/>
        <v>3.0000000000002247E-4</v>
      </c>
    </row>
    <row r="52" spans="1:22">
      <c r="A52" s="167">
        <v>44</v>
      </c>
      <c r="B52" s="149" t="s">
        <v>92</v>
      </c>
      <c r="C52" s="148" t="s">
        <v>93</v>
      </c>
      <c r="D52" s="51">
        <v>11919553765.940001</v>
      </c>
      <c r="E52" s="34">
        <f t="shared" si="37"/>
        <v>2.1815286412728467E-3</v>
      </c>
      <c r="F52" s="41">
        <v>100</v>
      </c>
      <c r="G52" s="41">
        <v>100</v>
      </c>
      <c r="H52" s="35">
        <v>1050</v>
      </c>
      <c r="I52" s="57">
        <v>0.1847</v>
      </c>
      <c r="J52" s="57">
        <v>0.1847</v>
      </c>
      <c r="K52" s="51">
        <v>11846343330.91</v>
      </c>
      <c r="L52" s="34">
        <f t="shared" si="36"/>
        <v>2.1681295942955715E-3</v>
      </c>
      <c r="M52" s="41">
        <v>100</v>
      </c>
      <c r="N52" s="41">
        <v>100</v>
      </c>
      <c r="O52" s="35">
        <v>1051</v>
      </c>
      <c r="P52" s="57">
        <v>0.18529999999999999</v>
      </c>
      <c r="Q52" s="57">
        <v>0.1583</v>
      </c>
      <c r="R52" s="62">
        <f t="shared" si="19"/>
        <v>-6.142044951313424E-3</v>
      </c>
      <c r="S52" s="62">
        <f t="shared" si="20"/>
        <v>0</v>
      </c>
      <c r="T52" s="62">
        <f t="shared" si="21"/>
        <v>9.5238095238095238E-4</v>
      </c>
      <c r="U52" s="63">
        <f t="shared" si="22"/>
        <v>5.9999999999998943E-4</v>
      </c>
      <c r="V52" s="64">
        <f t="shared" si="23"/>
        <v>-2.6400000000000007E-2</v>
      </c>
    </row>
    <row r="53" spans="1:22">
      <c r="A53" s="167">
        <v>45</v>
      </c>
      <c r="B53" s="149" t="s">
        <v>94</v>
      </c>
      <c r="C53" s="149" t="s">
        <v>95</v>
      </c>
      <c r="D53" s="54">
        <v>222302890.46000001</v>
      </c>
      <c r="E53" s="34">
        <v>0</v>
      </c>
      <c r="F53" s="33">
        <v>1</v>
      </c>
      <c r="G53" s="33">
        <v>1</v>
      </c>
      <c r="H53" s="35">
        <v>140</v>
      </c>
      <c r="I53" s="57">
        <v>0.1545</v>
      </c>
      <c r="J53" s="57">
        <v>0.1545</v>
      </c>
      <c r="K53" s="54">
        <v>222367890.52000001</v>
      </c>
      <c r="L53" s="61">
        <f>(K53/$K$201)</f>
        <v>1.8238530246638058E-3</v>
      </c>
      <c r="M53" s="33">
        <v>1</v>
      </c>
      <c r="N53" s="33">
        <v>1</v>
      </c>
      <c r="O53" s="35">
        <v>144</v>
      </c>
      <c r="P53" s="57">
        <v>0.15409999999999999</v>
      </c>
      <c r="Q53" s="57">
        <v>0.15409999999999999</v>
      </c>
      <c r="R53" s="63">
        <f t="shared" si="19"/>
        <v>2.9239412886400662E-4</v>
      </c>
      <c r="S53" s="63">
        <f t="shared" si="20"/>
        <v>0</v>
      </c>
      <c r="T53" s="63">
        <f t="shared" si="21"/>
        <v>2.8571428571428571E-2</v>
      </c>
      <c r="U53" s="63">
        <f t="shared" si="22"/>
        <v>-4.0000000000001146E-4</v>
      </c>
      <c r="V53" s="64">
        <f t="shared" si="23"/>
        <v>-4.0000000000001146E-4</v>
      </c>
    </row>
    <row r="54" spans="1:22">
      <c r="A54" s="167">
        <v>46</v>
      </c>
      <c r="B54" s="149" t="s">
        <v>96</v>
      </c>
      <c r="C54" s="148" t="s">
        <v>37</v>
      </c>
      <c r="D54" s="51">
        <v>2174843430.3099999</v>
      </c>
      <c r="E54" s="34">
        <f t="shared" ref="E54:E74" si="38">(D54/$K$75)</f>
        <v>3.9804201790361168E-4</v>
      </c>
      <c r="F54" s="41">
        <v>100</v>
      </c>
      <c r="G54" s="41">
        <v>100</v>
      </c>
      <c r="H54" s="35">
        <v>8015</v>
      </c>
      <c r="I54" s="57">
        <v>0.16070000000000001</v>
      </c>
      <c r="J54" s="57">
        <v>0.16070000000000001</v>
      </c>
      <c r="K54" s="51">
        <v>2228519666.0900002</v>
      </c>
      <c r="L54" s="34">
        <f t="shared" ref="L54:L66" si="39">(K54/$K$75)</f>
        <v>4.0786589621392109E-4</v>
      </c>
      <c r="M54" s="41">
        <v>100</v>
      </c>
      <c r="N54" s="41">
        <v>100</v>
      </c>
      <c r="O54" s="35">
        <v>8058</v>
      </c>
      <c r="P54" s="57">
        <v>0.1573</v>
      </c>
      <c r="Q54" s="57">
        <v>0.1573</v>
      </c>
      <c r="R54" s="62">
        <f t="shared" ref="R54" si="40">((K54-D54)/D54)</f>
        <v>2.4680505746728285E-2</v>
      </c>
      <c r="S54" s="62">
        <f t="shared" ref="S54" si="41">((N54-G54)/G54)</f>
        <v>0</v>
      </c>
      <c r="T54" s="62">
        <f t="shared" ref="T54" si="42">((O54-H54)/H54)</f>
        <v>5.3649407361197757E-3</v>
      </c>
      <c r="U54" s="63">
        <f t="shared" ref="U54" si="43">P54-I54</f>
        <v>-3.4000000000000141E-3</v>
      </c>
      <c r="V54" s="64">
        <f t="shared" ref="V54" si="44">Q54-J54</f>
        <v>-3.4000000000000141E-3</v>
      </c>
    </row>
    <row r="55" spans="1:22">
      <c r="A55" s="167">
        <v>47</v>
      </c>
      <c r="B55" s="149" t="s">
        <v>97</v>
      </c>
      <c r="C55" s="148" t="s">
        <v>37</v>
      </c>
      <c r="D55" s="51">
        <v>365648194573.23999</v>
      </c>
      <c r="E55" s="34">
        <f t="shared" si="38"/>
        <v>6.692129795752666E-2</v>
      </c>
      <c r="F55" s="41">
        <v>100</v>
      </c>
      <c r="G55" s="41">
        <v>100</v>
      </c>
      <c r="H55" s="35">
        <v>35462</v>
      </c>
      <c r="I55" s="57">
        <v>0.1691</v>
      </c>
      <c r="J55" s="57">
        <v>0.1691</v>
      </c>
      <c r="K55" s="51">
        <v>405559426637.12</v>
      </c>
      <c r="L55" s="34">
        <f t="shared" si="39"/>
        <v>7.4225891532550908E-2</v>
      </c>
      <c r="M55" s="41">
        <v>100</v>
      </c>
      <c r="N55" s="41">
        <v>100</v>
      </c>
      <c r="O55" s="35">
        <v>35944</v>
      </c>
      <c r="P55" s="57">
        <v>0.15590000000000001</v>
      </c>
      <c r="Q55" s="57">
        <v>0.15590000000000001</v>
      </c>
      <c r="R55" s="62">
        <f t="shared" si="19"/>
        <v>0.10915200090201926</v>
      </c>
      <c r="S55" s="62">
        <f t="shared" si="20"/>
        <v>0</v>
      </c>
      <c r="T55" s="62">
        <f t="shared" si="21"/>
        <v>1.3592013986802775E-2</v>
      </c>
      <c r="U55" s="63">
        <f t="shared" si="22"/>
        <v>-1.319999999999999E-2</v>
      </c>
      <c r="V55" s="64">
        <f t="shared" si="23"/>
        <v>-1.319999999999999E-2</v>
      </c>
    </row>
    <row r="56" spans="1:22">
      <c r="A56" s="167">
        <v>48</v>
      </c>
      <c r="B56" s="149" t="s">
        <v>98</v>
      </c>
      <c r="C56" s="148" t="s">
        <v>41</v>
      </c>
      <c r="D56" s="51">
        <v>60009396895.480003</v>
      </c>
      <c r="E56" s="34">
        <f t="shared" si="38"/>
        <v>1.0982979786297016E-2</v>
      </c>
      <c r="F56" s="41">
        <v>1</v>
      </c>
      <c r="G56" s="41">
        <v>1</v>
      </c>
      <c r="H56" s="35">
        <v>3422</v>
      </c>
      <c r="I56" s="57">
        <v>0.16259999999999999</v>
      </c>
      <c r="J56" s="57">
        <v>0.16259999999999999</v>
      </c>
      <c r="K56" s="51">
        <v>60536705731.75</v>
      </c>
      <c r="L56" s="34">
        <f t="shared" si="39"/>
        <v>1.1079488376442926E-2</v>
      </c>
      <c r="M56" s="41">
        <v>1</v>
      </c>
      <c r="N56" s="41">
        <v>1</v>
      </c>
      <c r="O56" s="35">
        <v>3450</v>
      </c>
      <c r="P56" s="57">
        <v>0.16250000000000001</v>
      </c>
      <c r="Q56" s="57">
        <v>0.16250000000000001</v>
      </c>
      <c r="R56" s="62">
        <f t="shared" si="19"/>
        <v>8.7871044128042947E-3</v>
      </c>
      <c r="S56" s="62">
        <f t="shared" si="20"/>
        <v>0</v>
      </c>
      <c r="T56" s="62">
        <f t="shared" si="21"/>
        <v>8.1823495032144946E-3</v>
      </c>
      <c r="U56" s="63">
        <f t="shared" si="22"/>
        <v>-9.9999999999988987E-5</v>
      </c>
      <c r="V56" s="64">
        <f t="shared" si="23"/>
        <v>-9.9999999999988987E-5</v>
      </c>
    </row>
    <row r="57" spans="1:22">
      <c r="A57" s="167">
        <v>49</v>
      </c>
      <c r="B57" s="149" t="s">
        <v>99</v>
      </c>
      <c r="C57" s="148" t="s">
        <v>100</v>
      </c>
      <c r="D57" s="51">
        <v>5824898421.2349997</v>
      </c>
      <c r="E57" s="34">
        <f t="shared" si="38"/>
        <v>1.0660787297876687E-3</v>
      </c>
      <c r="F57" s="41">
        <v>100</v>
      </c>
      <c r="G57" s="41">
        <v>100</v>
      </c>
      <c r="H57" s="35">
        <v>960</v>
      </c>
      <c r="I57" s="57">
        <v>0.19980000000000001</v>
      </c>
      <c r="J57" s="57">
        <v>0.19980000000000001</v>
      </c>
      <c r="K57" s="51">
        <v>5831535220.3179998</v>
      </c>
      <c r="L57" s="34">
        <f t="shared" si="39"/>
        <v>1.0672934033878927E-3</v>
      </c>
      <c r="M57" s="41">
        <v>100</v>
      </c>
      <c r="N57" s="41">
        <v>100</v>
      </c>
      <c r="O57" s="35">
        <v>960</v>
      </c>
      <c r="P57" s="57">
        <v>0.1709</v>
      </c>
      <c r="Q57" s="57">
        <v>0.1709</v>
      </c>
      <c r="R57" s="62">
        <f t="shared" si="19"/>
        <v>1.1393845185017053E-3</v>
      </c>
      <c r="S57" s="62">
        <f t="shared" si="20"/>
        <v>0</v>
      </c>
      <c r="T57" s="62">
        <f t="shared" si="21"/>
        <v>0</v>
      </c>
      <c r="U57" s="63">
        <f t="shared" si="22"/>
        <v>-2.8900000000000009E-2</v>
      </c>
      <c r="V57" s="64">
        <f t="shared" si="23"/>
        <v>-2.8900000000000009E-2</v>
      </c>
    </row>
    <row r="58" spans="1:22">
      <c r="A58" s="167">
        <v>50</v>
      </c>
      <c r="B58" s="149" t="s">
        <v>101</v>
      </c>
      <c r="C58" s="148" t="s">
        <v>43</v>
      </c>
      <c r="D58" s="55">
        <v>99919539406.039993</v>
      </c>
      <c r="E58" s="34">
        <f t="shared" si="38"/>
        <v>1.8287373950183861E-2</v>
      </c>
      <c r="F58" s="41">
        <v>10</v>
      </c>
      <c r="G58" s="41">
        <v>10</v>
      </c>
      <c r="H58" s="35">
        <v>7557</v>
      </c>
      <c r="I58" s="57">
        <v>0.1769</v>
      </c>
      <c r="J58" s="57">
        <v>0.1769</v>
      </c>
      <c r="K58" s="55">
        <v>101851335899.21001</v>
      </c>
      <c r="L58" s="34">
        <f t="shared" si="39"/>
        <v>1.8640933274778969E-2</v>
      </c>
      <c r="M58" s="41">
        <v>10</v>
      </c>
      <c r="N58" s="41">
        <v>10</v>
      </c>
      <c r="O58" s="35">
        <v>7564</v>
      </c>
      <c r="P58" s="57">
        <v>0.17469999999999999</v>
      </c>
      <c r="Q58" s="57">
        <v>0.17469999999999999</v>
      </c>
      <c r="R58" s="62">
        <f t="shared" si="19"/>
        <v>1.9333520797367078E-2</v>
      </c>
      <c r="S58" s="62">
        <f t="shared" si="20"/>
        <v>0</v>
      </c>
      <c r="T58" s="62">
        <f t="shared" si="21"/>
        <v>9.2629350271271674E-4</v>
      </c>
      <c r="U58" s="63">
        <f t="shared" si="22"/>
        <v>-2.2000000000000075E-3</v>
      </c>
      <c r="V58" s="64">
        <f t="shared" si="23"/>
        <v>-2.2000000000000075E-3</v>
      </c>
    </row>
    <row r="59" spans="1:22">
      <c r="A59" s="167">
        <v>51</v>
      </c>
      <c r="B59" s="149" t="s">
        <v>102</v>
      </c>
      <c r="C59" s="148" t="s">
        <v>103</v>
      </c>
      <c r="D59" s="51">
        <v>39491282874</v>
      </c>
      <c r="E59" s="34">
        <f t="shared" si="38"/>
        <v>7.2277340546435124E-3</v>
      </c>
      <c r="F59" s="41">
        <v>100</v>
      </c>
      <c r="G59" s="41">
        <v>100</v>
      </c>
      <c r="H59" s="35">
        <v>6033</v>
      </c>
      <c r="I59" s="57">
        <v>0.17499999999999999</v>
      </c>
      <c r="J59" s="57">
        <v>0.17499999999999999</v>
      </c>
      <c r="K59" s="51">
        <v>39753115774</v>
      </c>
      <c r="L59" s="34">
        <f t="shared" si="39"/>
        <v>7.2756549736471849E-3</v>
      </c>
      <c r="M59" s="41">
        <v>100</v>
      </c>
      <c r="N59" s="41">
        <v>100</v>
      </c>
      <c r="O59" s="35">
        <v>6074</v>
      </c>
      <c r="P59" s="57">
        <v>0.17860000000000001</v>
      </c>
      <c r="Q59" s="57">
        <v>0.17860000000000001</v>
      </c>
      <c r="R59" s="62">
        <f t="shared" si="19"/>
        <v>6.6301441975283046E-3</v>
      </c>
      <c r="S59" s="62">
        <f t="shared" si="20"/>
        <v>0</v>
      </c>
      <c r="T59" s="62">
        <f t="shared" si="21"/>
        <v>6.7959555776562243E-3</v>
      </c>
      <c r="U59" s="63">
        <f t="shared" si="22"/>
        <v>3.6000000000000199E-3</v>
      </c>
      <c r="V59" s="64">
        <f t="shared" si="23"/>
        <v>3.6000000000000199E-3</v>
      </c>
    </row>
    <row r="60" spans="1:22">
      <c r="A60" s="167">
        <v>52</v>
      </c>
      <c r="B60" s="149" t="s">
        <v>104</v>
      </c>
      <c r="C60" s="148" t="s">
        <v>105</v>
      </c>
      <c r="D60" s="51">
        <v>191790484.25</v>
      </c>
      <c r="E60" s="34">
        <f t="shared" si="38"/>
        <v>3.510168608077655E-5</v>
      </c>
      <c r="F60" s="41">
        <v>1</v>
      </c>
      <c r="G60" s="41">
        <v>1</v>
      </c>
      <c r="H60" s="35">
        <v>95</v>
      </c>
      <c r="I60" s="57">
        <v>0.1202</v>
      </c>
      <c r="J60" s="57">
        <v>0.1202</v>
      </c>
      <c r="K60" s="51">
        <v>191897906.69999999</v>
      </c>
      <c r="L60" s="34">
        <f t="shared" si="39"/>
        <v>3.5121346644921187E-5</v>
      </c>
      <c r="M60" s="41">
        <v>1</v>
      </c>
      <c r="N60" s="41">
        <v>1</v>
      </c>
      <c r="O60" s="35">
        <v>97</v>
      </c>
      <c r="P60" s="57">
        <v>0.1202</v>
      </c>
      <c r="Q60" s="57">
        <v>0.1202</v>
      </c>
      <c r="R60" s="62">
        <f t="shared" si="19"/>
        <v>5.6010312722273696E-4</v>
      </c>
      <c r="S60" s="62">
        <f t="shared" si="20"/>
        <v>0</v>
      </c>
      <c r="T60" s="62">
        <f t="shared" si="21"/>
        <v>2.1052631578947368E-2</v>
      </c>
      <c r="U60" s="63">
        <f t="shared" si="22"/>
        <v>0</v>
      </c>
      <c r="V60" s="64">
        <f t="shared" si="23"/>
        <v>0</v>
      </c>
    </row>
    <row r="61" spans="1:22">
      <c r="A61" s="167">
        <v>53</v>
      </c>
      <c r="B61" s="149" t="s">
        <v>106</v>
      </c>
      <c r="C61" s="148" t="s">
        <v>45</v>
      </c>
      <c r="D61" s="55">
        <v>2604556441.5999999</v>
      </c>
      <c r="E61" s="34">
        <f t="shared" si="38"/>
        <v>4.7668852263564593E-4</v>
      </c>
      <c r="F61" s="41">
        <v>10</v>
      </c>
      <c r="G61" s="41">
        <v>10</v>
      </c>
      <c r="H61" s="35">
        <v>972</v>
      </c>
      <c r="I61" s="57">
        <v>0.14990000000000001</v>
      </c>
      <c r="J61" s="57">
        <v>0.14990000000000001</v>
      </c>
      <c r="K61" s="55">
        <v>2704089407.79</v>
      </c>
      <c r="L61" s="34">
        <f t="shared" si="39"/>
        <v>4.9490514556953333E-4</v>
      </c>
      <c r="M61" s="41">
        <v>10</v>
      </c>
      <c r="N61" s="41">
        <v>10</v>
      </c>
      <c r="O61" s="35">
        <v>971</v>
      </c>
      <c r="P61" s="57">
        <v>0.14990000000000001</v>
      </c>
      <c r="Q61" s="57">
        <v>0.14990000000000001</v>
      </c>
      <c r="R61" s="62">
        <f t="shared" si="19"/>
        <v>3.8214939250406935E-2</v>
      </c>
      <c r="S61" s="62">
        <f t="shared" si="20"/>
        <v>0</v>
      </c>
      <c r="T61" s="62">
        <f t="shared" si="21"/>
        <v>-1.02880658436214E-3</v>
      </c>
      <c r="U61" s="63">
        <f t="shared" si="22"/>
        <v>0</v>
      </c>
      <c r="V61" s="64">
        <f t="shared" si="23"/>
        <v>0</v>
      </c>
    </row>
    <row r="62" spans="1:22">
      <c r="A62" s="167">
        <v>54</v>
      </c>
      <c r="B62" s="149" t="s">
        <v>107</v>
      </c>
      <c r="C62" s="148" t="s">
        <v>108</v>
      </c>
      <c r="D62" s="55">
        <v>1412139117</v>
      </c>
      <c r="E62" s="34">
        <f t="shared" si="38"/>
        <v>2.5845111232268548E-4</v>
      </c>
      <c r="F62" s="41">
        <v>1</v>
      </c>
      <c r="G62" s="41">
        <v>1</v>
      </c>
      <c r="H62" s="35">
        <v>226</v>
      </c>
      <c r="I62" s="57">
        <v>0.20319999999999999</v>
      </c>
      <c r="J62" s="57">
        <v>0.20319999999999999</v>
      </c>
      <c r="K62" s="55">
        <v>1542110519</v>
      </c>
      <c r="L62" s="34">
        <f t="shared" si="39"/>
        <v>2.8223860819518945E-4</v>
      </c>
      <c r="M62" s="41">
        <v>1</v>
      </c>
      <c r="N62" s="41">
        <v>1</v>
      </c>
      <c r="O62" s="35">
        <v>230</v>
      </c>
      <c r="P62" s="57">
        <v>0.2</v>
      </c>
      <c r="Q62" s="57">
        <v>0.2</v>
      </c>
      <c r="R62" s="62">
        <f t="shared" si="19"/>
        <v>9.2038667037363853E-2</v>
      </c>
      <c r="S62" s="62">
        <f t="shared" si="20"/>
        <v>0</v>
      </c>
      <c r="T62" s="62">
        <f t="shared" si="21"/>
        <v>1.7699115044247787E-2</v>
      </c>
      <c r="U62" s="63">
        <f t="shared" si="22"/>
        <v>-3.1999999999999806E-3</v>
      </c>
      <c r="V62" s="64">
        <f t="shared" si="23"/>
        <v>-3.1999999999999806E-3</v>
      </c>
    </row>
    <row r="63" spans="1:22">
      <c r="A63" s="167">
        <v>55</v>
      </c>
      <c r="B63" s="149" t="s">
        <v>109</v>
      </c>
      <c r="C63" s="148" t="s">
        <v>110</v>
      </c>
      <c r="D63" s="55">
        <v>2170839553.1500001</v>
      </c>
      <c r="E63" s="34">
        <f t="shared" si="38"/>
        <v>3.9730922430477439E-4</v>
      </c>
      <c r="F63" s="41">
        <v>1</v>
      </c>
      <c r="G63" s="41">
        <v>1</v>
      </c>
      <c r="H63" s="35">
        <v>2479</v>
      </c>
      <c r="I63" s="57">
        <v>0.16819999999999999</v>
      </c>
      <c r="J63" s="57">
        <v>0.10639999999999999</v>
      </c>
      <c r="K63" s="55">
        <v>2175395985.3299999</v>
      </c>
      <c r="L63" s="34">
        <f t="shared" si="39"/>
        <v>3.9814314707553198E-4</v>
      </c>
      <c r="M63" s="41">
        <v>1</v>
      </c>
      <c r="N63" s="41">
        <v>1</v>
      </c>
      <c r="O63" s="35">
        <v>2516</v>
      </c>
      <c r="P63" s="57">
        <v>0.1686</v>
      </c>
      <c r="Q63" s="57">
        <v>0.1686</v>
      </c>
      <c r="R63" s="62">
        <f t="shared" si="19"/>
        <v>2.0989262764206642E-3</v>
      </c>
      <c r="S63" s="62">
        <f t="shared" si="20"/>
        <v>0</v>
      </c>
      <c r="T63" s="62">
        <f t="shared" si="21"/>
        <v>1.4925373134328358E-2</v>
      </c>
      <c r="U63" s="63">
        <f t="shared" si="22"/>
        <v>4.0000000000001146E-4</v>
      </c>
      <c r="V63" s="64">
        <f t="shared" si="23"/>
        <v>6.2200000000000005E-2</v>
      </c>
    </row>
    <row r="64" spans="1:22">
      <c r="A64" s="167">
        <v>56</v>
      </c>
      <c r="B64" s="149" t="s">
        <v>111</v>
      </c>
      <c r="C64" s="148" t="s">
        <v>112</v>
      </c>
      <c r="D64" s="55">
        <v>14027154173.415199</v>
      </c>
      <c r="E64" s="34">
        <f t="shared" si="38"/>
        <v>2.5672637739422937E-3</v>
      </c>
      <c r="F64" s="41">
        <v>100</v>
      </c>
      <c r="G64" s="41">
        <v>100</v>
      </c>
      <c r="H64" s="35">
        <v>160</v>
      </c>
      <c r="I64" s="57">
        <v>0.16389999999999999</v>
      </c>
      <c r="J64" s="57">
        <v>0.16389999999999999</v>
      </c>
      <c r="K64" s="55">
        <v>14600403588.0495</v>
      </c>
      <c r="L64" s="34">
        <f t="shared" si="39"/>
        <v>2.6721804546481669E-3</v>
      </c>
      <c r="M64" s="41">
        <v>100</v>
      </c>
      <c r="N64" s="41">
        <v>100</v>
      </c>
      <c r="O64" s="35">
        <v>162</v>
      </c>
      <c r="P64" s="57">
        <v>0.1459</v>
      </c>
      <c r="Q64" s="57">
        <v>0.1459</v>
      </c>
      <c r="R64" s="62">
        <f t="shared" si="19"/>
        <v>4.0867121552049704E-2</v>
      </c>
      <c r="S64" s="62">
        <f t="shared" si="20"/>
        <v>0</v>
      </c>
      <c r="T64" s="62">
        <f t="shared" si="21"/>
        <v>1.2500000000000001E-2</v>
      </c>
      <c r="U64" s="63">
        <f t="shared" si="22"/>
        <v>-1.7999999999999988E-2</v>
      </c>
      <c r="V64" s="64">
        <f t="shared" si="23"/>
        <v>-1.7999999999999988E-2</v>
      </c>
    </row>
    <row r="65" spans="1:22">
      <c r="A65" s="167">
        <v>57</v>
      </c>
      <c r="B65" s="149" t="s">
        <v>329</v>
      </c>
      <c r="C65" s="148" t="s">
        <v>76</v>
      </c>
      <c r="D65" s="55">
        <v>83867091.870000005</v>
      </c>
      <c r="E65" s="34">
        <f t="shared" si="38"/>
        <v>1.5349438961168834E-5</v>
      </c>
      <c r="F65" s="41">
        <v>1000</v>
      </c>
      <c r="G65" s="41">
        <v>1000</v>
      </c>
      <c r="H65" s="35">
        <v>26</v>
      </c>
      <c r="I65" s="57">
        <v>0.20960000000000001</v>
      </c>
      <c r="J65" s="57">
        <v>0.20960000000000001</v>
      </c>
      <c r="K65" s="55">
        <v>91248685.599999994</v>
      </c>
      <c r="L65" s="34">
        <f t="shared" si="39"/>
        <v>1.6700425621948841E-5</v>
      </c>
      <c r="M65" s="41">
        <v>1000</v>
      </c>
      <c r="N65" s="41">
        <v>1000</v>
      </c>
      <c r="O65" s="35">
        <v>26</v>
      </c>
      <c r="P65" s="57">
        <v>0.2165</v>
      </c>
      <c r="Q65" s="57">
        <v>0.2165</v>
      </c>
      <c r="R65" s="62">
        <f t="shared" si="19"/>
        <v>8.8015377252402979E-2</v>
      </c>
      <c r="S65" s="62">
        <f t="shared" si="20"/>
        <v>0</v>
      </c>
      <c r="T65" s="62">
        <f t="shared" si="21"/>
        <v>0</v>
      </c>
      <c r="U65" s="63">
        <f t="shared" si="22"/>
        <v>6.8999999999999895E-3</v>
      </c>
      <c r="V65" s="64">
        <f t="shared" si="23"/>
        <v>6.8999999999999895E-3</v>
      </c>
    </row>
    <row r="66" spans="1:22">
      <c r="A66" s="163">
        <v>58</v>
      </c>
      <c r="B66" s="164" t="s">
        <v>331</v>
      </c>
      <c r="C66" s="148" t="s">
        <v>33</v>
      </c>
      <c r="D66" s="39">
        <v>1866820082</v>
      </c>
      <c r="E66" s="34">
        <f t="shared" si="38"/>
        <v>3.4166727689282392E-4</v>
      </c>
      <c r="F66" s="33">
        <v>1</v>
      </c>
      <c r="G66" s="33">
        <v>1</v>
      </c>
      <c r="H66" s="35">
        <v>345</v>
      </c>
      <c r="I66" s="57">
        <v>0.1772</v>
      </c>
      <c r="J66" s="57">
        <v>0.1772</v>
      </c>
      <c r="K66" s="39">
        <v>1866820082</v>
      </c>
      <c r="L66" s="34">
        <f t="shared" si="39"/>
        <v>3.4166727689282392E-4</v>
      </c>
      <c r="M66" s="33">
        <v>1</v>
      </c>
      <c r="N66" s="33">
        <v>1</v>
      </c>
      <c r="O66" s="35">
        <v>345</v>
      </c>
      <c r="P66" s="57">
        <v>0.1772</v>
      </c>
      <c r="Q66" s="57">
        <v>0.1772</v>
      </c>
      <c r="R66" s="62">
        <f t="shared" si="19"/>
        <v>0</v>
      </c>
      <c r="S66" s="62">
        <f t="shared" si="20"/>
        <v>0</v>
      </c>
      <c r="T66" s="62">
        <f t="shared" si="21"/>
        <v>0</v>
      </c>
      <c r="U66" s="63">
        <f t="shared" si="22"/>
        <v>0</v>
      </c>
      <c r="V66" s="64">
        <f t="shared" si="23"/>
        <v>0</v>
      </c>
    </row>
    <row r="67" spans="1:22">
      <c r="A67" s="167">
        <v>59</v>
      </c>
      <c r="B67" s="149" t="s">
        <v>113</v>
      </c>
      <c r="C67" s="148" t="s">
        <v>49</v>
      </c>
      <c r="D67" s="51">
        <v>2628034238966.5698</v>
      </c>
      <c r="E67" s="34">
        <f t="shared" si="38"/>
        <v>0.48098545257068476</v>
      </c>
      <c r="F67" s="41">
        <v>100</v>
      </c>
      <c r="G67" s="41">
        <v>100</v>
      </c>
      <c r="H67" s="35">
        <v>301000</v>
      </c>
      <c r="I67" s="57">
        <v>0.15509999999999999</v>
      </c>
      <c r="J67" s="57">
        <v>0.15509999999999999</v>
      </c>
      <c r="K67" s="51">
        <v>2645898651941.0498</v>
      </c>
      <c r="L67" s="34">
        <f>(K67/$K$75)</f>
        <v>0.48425501528491283</v>
      </c>
      <c r="M67" s="41">
        <v>100</v>
      </c>
      <c r="N67" s="41">
        <v>100</v>
      </c>
      <c r="O67" s="35">
        <v>302929</v>
      </c>
      <c r="P67" s="57">
        <v>0.15260000000000001</v>
      </c>
      <c r="Q67" s="57">
        <v>0.15260000000000001</v>
      </c>
      <c r="R67" s="62">
        <f t="shared" si="19"/>
        <v>6.7976332688514975E-3</v>
      </c>
      <c r="S67" s="62">
        <f t="shared" si="20"/>
        <v>0</v>
      </c>
      <c r="T67" s="62">
        <f t="shared" si="21"/>
        <v>6.4086378737541532E-3</v>
      </c>
      <c r="U67" s="63">
        <f t="shared" si="22"/>
        <v>-2.4999999999999745E-3</v>
      </c>
      <c r="V67" s="64">
        <f t="shared" si="23"/>
        <v>-2.4999999999999745E-3</v>
      </c>
    </row>
    <row r="68" spans="1:22">
      <c r="A68" s="167">
        <v>60</v>
      </c>
      <c r="B68" s="149" t="s">
        <v>114</v>
      </c>
      <c r="C68" s="149" t="s">
        <v>115</v>
      </c>
      <c r="D68" s="51">
        <v>10219187969.16</v>
      </c>
      <c r="E68" s="34">
        <f t="shared" si="38"/>
        <v>1.8703259939962468E-3</v>
      </c>
      <c r="F68" s="41">
        <v>100</v>
      </c>
      <c r="G68" s="41">
        <v>100</v>
      </c>
      <c r="H68" s="35">
        <v>1257</v>
      </c>
      <c r="I68" s="57">
        <v>0.21820000000000001</v>
      </c>
      <c r="J68" s="57">
        <v>0.21820000000000001</v>
      </c>
      <c r="K68" s="51">
        <v>10280415113.389999</v>
      </c>
      <c r="L68" s="34">
        <f t="shared" ref="L68:L74" si="45">(K68/$K$75)</f>
        <v>1.881531847116584E-3</v>
      </c>
      <c r="M68" s="41">
        <v>100</v>
      </c>
      <c r="N68" s="41">
        <v>100</v>
      </c>
      <c r="O68" s="35">
        <v>1280</v>
      </c>
      <c r="P68" s="57">
        <v>0.20300000000000001</v>
      </c>
      <c r="Q68" s="57">
        <v>0.20300000000000001</v>
      </c>
      <c r="R68" s="62">
        <f t="shared" si="19"/>
        <v>5.9913903545735746E-3</v>
      </c>
      <c r="S68" s="62">
        <f t="shared" si="20"/>
        <v>0</v>
      </c>
      <c r="T68" s="62">
        <f t="shared" si="21"/>
        <v>1.8297533810660304E-2</v>
      </c>
      <c r="U68" s="63">
        <f t="shared" si="22"/>
        <v>-1.5199999999999991E-2</v>
      </c>
      <c r="V68" s="64">
        <f t="shared" si="23"/>
        <v>-1.5199999999999991E-2</v>
      </c>
    </row>
    <row r="69" spans="1:22">
      <c r="A69" s="163">
        <v>61</v>
      </c>
      <c r="B69" s="165" t="s">
        <v>116</v>
      </c>
      <c r="C69" s="148" t="s">
        <v>117</v>
      </c>
      <c r="D69" s="51">
        <v>15255483659.799999</v>
      </c>
      <c r="E69" s="34">
        <f t="shared" si="38"/>
        <v>2.7920738639915905E-3</v>
      </c>
      <c r="F69" s="41">
        <v>1</v>
      </c>
      <c r="G69" s="41">
        <v>1</v>
      </c>
      <c r="H69" s="35">
        <v>803</v>
      </c>
      <c r="I69" s="57">
        <v>0.19909399999999999</v>
      </c>
      <c r="J69" s="57">
        <v>0.19909399999999999</v>
      </c>
      <c r="K69" s="51">
        <v>15387381109.49</v>
      </c>
      <c r="L69" s="34">
        <f t="shared" si="45"/>
        <v>2.8162138670369888E-3</v>
      </c>
      <c r="M69" s="41">
        <v>1</v>
      </c>
      <c r="N69" s="41">
        <v>1</v>
      </c>
      <c r="O69" s="35">
        <v>816</v>
      </c>
      <c r="P69" s="57">
        <v>0.19859199999999999</v>
      </c>
      <c r="Q69" s="57">
        <v>0.19859199999999999</v>
      </c>
      <c r="R69" s="62">
        <f t="shared" si="19"/>
        <v>8.6459041634691595E-3</v>
      </c>
      <c r="S69" s="62">
        <f t="shared" si="20"/>
        <v>0</v>
      </c>
      <c r="T69" s="62">
        <f t="shared" si="21"/>
        <v>1.61892901618929E-2</v>
      </c>
      <c r="U69" s="63">
        <f t="shared" si="22"/>
        <v>-5.0200000000000244E-4</v>
      </c>
      <c r="V69" s="64">
        <f t="shared" si="23"/>
        <v>-5.0200000000000244E-4</v>
      </c>
    </row>
    <row r="70" spans="1:22">
      <c r="A70" s="167">
        <v>62</v>
      </c>
      <c r="B70" s="149" t="s">
        <v>118</v>
      </c>
      <c r="C70" s="148" t="s">
        <v>52</v>
      </c>
      <c r="D70" s="51">
        <v>214487185140.04999</v>
      </c>
      <c r="E70" s="34">
        <f t="shared" si="38"/>
        <v>3.9255658958144771E-2</v>
      </c>
      <c r="F70" s="41">
        <v>1</v>
      </c>
      <c r="G70" s="41">
        <v>1</v>
      </c>
      <c r="H70" s="35">
        <v>84031</v>
      </c>
      <c r="I70" s="57">
        <v>0.15709999999999999</v>
      </c>
      <c r="J70" s="57">
        <v>0.15709999999999999</v>
      </c>
      <c r="K70" s="51">
        <v>216381908656.01001</v>
      </c>
      <c r="L70" s="34">
        <f t="shared" si="45"/>
        <v>3.960243314940444E-2</v>
      </c>
      <c r="M70" s="41">
        <v>1</v>
      </c>
      <c r="N70" s="41">
        <v>1</v>
      </c>
      <c r="O70" s="35">
        <v>84440</v>
      </c>
      <c r="P70" s="57">
        <v>0.15459999999999999</v>
      </c>
      <c r="Q70" s="57">
        <v>0.15459999999999999</v>
      </c>
      <c r="R70" s="62">
        <f t="shared" si="19"/>
        <v>8.8337376180439731E-3</v>
      </c>
      <c r="S70" s="62">
        <f t="shared" si="20"/>
        <v>0</v>
      </c>
      <c r="T70" s="62">
        <f t="shared" si="21"/>
        <v>4.8672513715176538E-3</v>
      </c>
      <c r="U70" s="63">
        <f t="shared" si="22"/>
        <v>-2.5000000000000022E-3</v>
      </c>
      <c r="V70" s="64">
        <f t="shared" si="23"/>
        <v>-2.5000000000000022E-3</v>
      </c>
    </row>
    <row r="71" spans="1:22">
      <c r="A71" s="167">
        <v>63</v>
      </c>
      <c r="B71" s="149" t="s">
        <v>119</v>
      </c>
      <c r="C71" s="148" t="s">
        <v>120</v>
      </c>
      <c r="D71" s="51">
        <v>2675016737.3899999</v>
      </c>
      <c r="E71" s="34">
        <f t="shared" si="38"/>
        <v>4.895842363810438E-4</v>
      </c>
      <c r="F71" s="41">
        <v>1</v>
      </c>
      <c r="G71" s="41">
        <v>1</v>
      </c>
      <c r="H71" s="35">
        <v>161</v>
      </c>
      <c r="I71" s="57">
        <v>0.15490000000000001</v>
      </c>
      <c r="J71" s="57">
        <v>0.15490000000000001</v>
      </c>
      <c r="K71" s="51">
        <v>2663299964.0799999</v>
      </c>
      <c r="L71" s="34">
        <f t="shared" si="45"/>
        <v>4.8743982082145258E-4</v>
      </c>
      <c r="M71" s="41">
        <v>1</v>
      </c>
      <c r="N71" s="41">
        <v>1</v>
      </c>
      <c r="O71" s="35">
        <v>161</v>
      </c>
      <c r="P71" s="57">
        <v>0.15609999999999999</v>
      </c>
      <c r="Q71" s="57">
        <v>0.15609999999999999</v>
      </c>
      <c r="R71" s="62">
        <f t="shared" si="19"/>
        <v>-4.3800747659739651E-3</v>
      </c>
      <c r="S71" s="62">
        <f t="shared" si="20"/>
        <v>0</v>
      </c>
      <c r="T71" s="62">
        <f t="shared" si="21"/>
        <v>0</v>
      </c>
      <c r="U71" s="63">
        <f t="shared" si="22"/>
        <v>1.1999999999999789E-3</v>
      </c>
      <c r="V71" s="64">
        <f t="shared" si="23"/>
        <v>1.1999999999999789E-3</v>
      </c>
    </row>
    <row r="72" spans="1:22">
      <c r="A72" s="167">
        <v>64</v>
      </c>
      <c r="B72" s="149" t="s">
        <v>121</v>
      </c>
      <c r="C72" s="148" t="s">
        <v>122</v>
      </c>
      <c r="D72" s="51">
        <v>9380525687.1800003</v>
      </c>
      <c r="E72" s="34">
        <f t="shared" si="38"/>
        <v>1.7168331850856834E-3</v>
      </c>
      <c r="F72" s="41">
        <v>1</v>
      </c>
      <c r="G72" s="41">
        <v>1</v>
      </c>
      <c r="H72" s="35">
        <v>560</v>
      </c>
      <c r="I72" s="57">
        <v>0.16569999999999999</v>
      </c>
      <c r="J72" s="57">
        <v>0.16569999999999999</v>
      </c>
      <c r="K72" s="51">
        <v>9404061240.9300003</v>
      </c>
      <c r="L72" s="34">
        <f>(K72/$K$75)</f>
        <v>1.7211406856517328E-3</v>
      </c>
      <c r="M72" s="41">
        <v>1</v>
      </c>
      <c r="N72" s="41">
        <v>1</v>
      </c>
      <c r="O72" s="35">
        <v>560</v>
      </c>
      <c r="P72" s="57">
        <v>0.15989999999999999</v>
      </c>
      <c r="Q72" s="57">
        <v>0.15989999999999999</v>
      </c>
      <c r="R72" s="62">
        <f t="shared" si="19"/>
        <v>2.5089802570622587E-3</v>
      </c>
      <c r="S72" s="62">
        <f t="shared" si="20"/>
        <v>0</v>
      </c>
      <c r="T72" s="62">
        <f t="shared" si="21"/>
        <v>0</v>
      </c>
      <c r="U72" s="63">
        <f t="shared" si="22"/>
        <v>-5.7999999999999996E-3</v>
      </c>
      <c r="V72" s="64">
        <f t="shared" si="23"/>
        <v>-5.7999999999999996E-3</v>
      </c>
    </row>
    <row r="73" spans="1:22">
      <c r="A73" s="167">
        <v>65</v>
      </c>
      <c r="B73" s="149" t="s">
        <v>123</v>
      </c>
      <c r="C73" s="148" t="s">
        <v>124</v>
      </c>
      <c r="D73" s="51">
        <v>14838677975.52</v>
      </c>
      <c r="E73" s="34">
        <f t="shared" si="38"/>
        <v>2.7157896711470239E-3</v>
      </c>
      <c r="F73" s="41">
        <v>1</v>
      </c>
      <c r="G73" s="41">
        <v>1</v>
      </c>
      <c r="H73" s="35">
        <v>6528</v>
      </c>
      <c r="I73" s="57">
        <v>0.18129999999999999</v>
      </c>
      <c r="J73" s="57">
        <v>0.18129999999999999</v>
      </c>
      <c r="K73" s="51">
        <v>15129017253.02</v>
      </c>
      <c r="L73" s="34">
        <f t="shared" si="45"/>
        <v>2.7689278558467399E-3</v>
      </c>
      <c r="M73" s="41">
        <v>1</v>
      </c>
      <c r="N73" s="41">
        <v>1</v>
      </c>
      <c r="O73" s="35">
        <v>6528</v>
      </c>
      <c r="P73" s="57">
        <v>0.19969999999999999</v>
      </c>
      <c r="Q73" s="57">
        <v>0.19969999999999999</v>
      </c>
      <c r="R73" s="62">
        <f t="shared" si="19"/>
        <v>1.9566384416387032E-2</v>
      </c>
      <c r="S73" s="62">
        <f t="shared" si="20"/>
        <v>0</v>
      </c>
      <c r="T73" s="62">
        <f t="shared" si="21"/>
        <v>0</v>
      </c>
      <c r="U73" s="63">
        <f t="shared" si="22"/>
        <v>1.84E-2</v>
      </c>
      <c r="V73" s="64">
        <f t="shared" si="23"/>
        <v>1.84E-2</v>
      </c>
    </row>
    <row r="74" spans="1:22">
      <c r="A74" s="167">
        <v>66</v>
      </c>
      <c r="B74" s="149" t="s">
        <v>125</v>
      </c>
      <c r="C74" s="148" t="s">
        <v>126</v>
      </c>
      <c r="D74" s="51">
        <v>152265922679.92001</v>
      </c>
      <c r="E74" s="34">
        <f t="shared" si="38"/>
        <v>2.7867861325921579E-2</v>
      </c>
      <c r="F74" s="41">
        <v>1</v>
      </c>
      <c r="G74" s="41">
        <v>1</v>
      </c>
      <c r="H74" s="35">
        <v>7987</v>
      </c>
      <c r="I74" s="57">
        <v>0.16619999999999999</v>
      </c>
      <c r="J74" s="57">
        <v>0.16619999999999999</v>
      </c>
      <c r="K74" s="51">
        <v>154170750970.92001</v>
      </c>
      <c r="L74" s="34">
        <f t="shared" si="45"/>
        <v>2.8216484903206614E-2</v>
      </c>
      <c r="M74" s="41">
        <v>1</v>
      </c>
      <c r="N74" s="41">
        <v>1</v>
      </c>
      <c r="O74" s="35">
        <v>8038</v>
      </c>
      <c r="P74" s="57">
        <v>0.1653</v>
      </c>
      <c r="Q74" s="57">
        <v>0.1653</v>
      </c>
      <c r="R74" s="62">
        <f t="shared" si="19"/>
        <v>1.2509879147444973E-2</v>
      </c>
      <c r="S74" s="62">
        <f t="shared" si="20"/>
        <v>0</v>
      </c>
      <c r="T74" s="62">
        <f t="shared" si="21"/>
        <v>6.385376236384124E-3</v>
      </c>
      <c r="U74" s="63">
        <f t="shared" si="22"/>
        <v>-8.9999999999998415E-4</v>
      </c>
      <c r="V74" s="64">
        <f t="shared" si="23"/>
        <v>-8.9999999999998415E-4</v>
      </c>
    </row>
    <row r="75" spans="1:22">
      <c r="A75" s="42"/>
      <c r="B75" s="43"/>
      <c r="C75" s="44" t="s">
        <v>55</v>
      </c>
      <c r="D75" s="66">
        <f>SUM(D29:D74)</f>
        <v>5391387940295.4883</v>
      </c>
      <c r="E75" s="46">
        <f>(D75/$D$236)</f>
        <v>0.6447380236911805</v>
      </c>
      <c r="F75" s="47"/>
      <c r="G75" s="52"/>
      <c r="H75" s="49">
        <f>SUM(H29:H74)</f>
        <v>685408</v>
      </c>
      <c r="I75" s="70"/>
      <c r="J75" s="70"/>
      <c r="K75" s="66">
        <f>SUM(K29:K74)</f>
        <v>5463853896039.3164</v>
      </c>
      <c r="L75" s="46">
        <f>(K75/$K$236)</f>
        <v>0.6490071733910362</v>
      </c>
      <c r="M75" s="47"/>
      <c r="N75" s="52"/>
      <c r="O75" s="49">
        <f>SUM(O29:O74)</f>
        <v>689011</v>
      </c>
      <c r="P75" s="70"/>
      <c r="Q75" s="70"/>
      <c r="R75" s="62">
        <f t="shared" si="19"/>
        <v>1.3441057580407848E-2</v>
      </c>
      <c r="S75" s="62" t="e">
        <f t="shared" si="20"/>
        <v>#DIV/0!</v>
      </c>
      <c r="T75" s="62">
        <f t="shared" si="21"/>
        <v>5.2567230029413135E-3</v>
      </c>
      <c r="U75" s="63">
        <f t="shared" si="22"/>
        <v>0</v>
      </c>
      <c r="V75" s="64">
        <f t="shared" si="23"/>
        <v>0</v>
      </c>
    </row>
    <row r="76" spans="1:22" ht="3" customHeight="1">
      <c r="A76" s="42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</row>
    <row r="77" spans="1:22" ht="15" customHeight="1">
      <c r="A77" s="200" t="s">
        <v>127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</row>
    <row r="78" spans="1:22">
      <c r="A78" s="167">
        <v>67</v>
      </c>
      <c r="B78" s="149" t="s">
        <v>128</v>
      </c>
      <c r="C78" s="148" t="s">
        <v>21</v>
      </c>
      <c r="D78" s="39">
        <v>774924589.11000001</v>
      </c>
      <c r="E78" s="34">
        <f>(D78/$D$117)</f>
        <v>3.192597928194746E-3</v>
      </c>
      <c r="F78" s="67">
        <v>1.7650999999999999</v>
      </c>
      <c r="G78" s="67">
        <v>1.7650999999999999</v>
      </c>
      <c r="H78" s="35">
        <v>553</v>
      </c>
      <c r="I78" s="57">
        <v>1.5319999999999999E-3</v>
      </c>
      <c r="J78" s="57">
        <v>5.74E-2</v>
      </c>
      <c r="K78" s="39">
        <v>776153097.86000001</v>
      </c>
      <c r="L78" s="34">
        <f t="shared" ref="L78:L101" si="46">(K78/$K$117)</f>
        <v>3.2109114667285719E-3</v>
      </c>
      <c r="M78" s="67">
        <v>1.7682</v>
      </c>
      <c r="N78" s="67">
        <v>1.7682</v>
      </c>
      <c r="O78" s="35">
        <v>554</v>
      </c>
      <c r="P78" s="57">
        <v>1.0189999999999999E-3</v>
      </c>
      <c r="Q78" s="57">
        <v>5.9200000000000003E-2</v>
      </c>
      <c r="R78" s="62">
        <f>((K78-D78)/D78)</f>
        <v>1.5853268398812082E-3</v>
      </c>
      <c r="S78" s="62">
        <f>((N78-G78)/G78)</f>
        <v>1.7562744320435686E-3</v>
      </c>
      <c r="T78" s="62">
        <f>((O78-H78)/H78)</f>
        <v>1.8083182640144665E-3</v>
      </c>
      <c r="U78" s="63">
        <f>P78-I78</f>
        <v>-5.13E-4</v>
      </c>
      <c r="V78" s="64">
        <f>Q78-J78</f>
        <v>1.800000000000003E-3</v>
      </c>
    </row>
    <row r="79" spans="1:22">
      <c r="A79" s="167">
        <v>68</v>
      </c>
      <c r="B79" s="149" t="s">
        <v>129</v>
      </c>
      <c r="C79" s="148" t="s">
        <v>23</v>
      </c>
      <c r="D79" s="39">
        <v>1197493577.8199999</v>
      </c>
      <c r="E79" s="34">
        <f>(D79/$D$117)</f>
        <v>4.9335323324370042E-3</v>
      </c>
      <c r="F79" s="67">
        <v>1.3594999999999999</v>
      </c>
      <c r="G79" s="67">
        <v>1.3594999999999999</v>
      </c>
      <c r="H79" s="35">
        <v>1509</v>
      </c>
      <c r="I79" s="57">
        <v>0.1076</v>
      </c>
      <c r="J79" s="57">
        <v>0.11559999999999999</v>
      </c>
      <c r="K79" s="39">
        <v>1201329815.8900001</v>
      </c>
      <c r="L79" s="34">
        <f t="shared" si="46"/>
        <v>4.9698489792794776E-3</v>
      </c>
      <c r="M79" s="67">
        <v>1.3628</v>
      </c>
      <c r="N79" s="67">
        <v>1.3628</v>
      </c>
      <c r="O79" s="35">
        <v>1507</v>
      </c>
      <c r="P79" s="57">
        <v>0.12659999999999999</v>
      </c>
      <c r="Q79" s="57">
        <v>0.1168</v>
      </c>
      <c r="R79" s="62">
        <f t="shared" ref="R79:R117" si="47">((K79-D79)/D79)</f>
        <v>3.203556278760112E-3</v>
      </c>
      <c r="S79" s="62">
        <f t="shared" ref="S79:S117" si="48">((N79-G79)/G79)</f>
        <v>2.4273630011034061E-3</v>
      </c>
      <c r="T79" s="62">
        <f t="shared" ref="T79:T117" si="49">((O79-H79)/H79)</f>
        <v>-1.3253810470510272E-3</v>
      </c>
      <c r="U79" s="63">
        <f t="shared" ref="U79:U117" si="50">P79-I79</f>
        <v>1.8999999999999989E-2</v>
      </c>
      <c r="V79" s="64">
        <f t="shared" ref="V79:V117" si="51">Q79-J79</f>
        <v>1.2000000000000066E-3</v>
      </c>
    </row>
    <row r="80" spans="1:22">
      <c r="A80" s="167">
        <v>69</v>
      </c>
      <c r="B80" s="149" t="s">
        <v>130</v>
      </c>
      <c r="C80" s="148" t="s">
        <v>23</v>
      </c>
      <c r="D80" s="39">
        <v>642610396.13</v>
      </c>
      <c r="E80" s="34">
        <f>(D80/$D$117)</f>
        <v>2.6474790555779102E-3</v>
      </c>
      <c r="F80" s="67">
        <v>1.2112000000000001</v>
      </c>
      <c r="G80" s="67">
        <v>1.2112000000000001</v>
      </c>
      <c r="H80" s="35">
        <v>725</v>
      </c>
      <c r="I80" s="57">
        <v>0.15540000000000001</v>
      </c>
      <c r="J80" s="57">
        <v>0.12479999999999999</v>
      </c>
      <c r="K80" s="39">
        <v>646254242.13999999</v>
      </c>
      <c r="L80" s="34">
        <f t="shared" si="46"/>
        <v>2.6735255740531782E-3</v>
      </c>
      <c r="M80" s="67">
        <v>1.2141999999999999</v>
      </c>
      <c r="N80" s="67">
        <v>1.2141999999999999</v>
      </c>
      <c r="O80" s="35">
        <v>735</v>
      </c>
      <c r="P80" s="57">
        <v>0.12920000000000001</v>
      </c>
      <c r="Q80" s="57">
        <v>0.1255</v>
      </c>
      <c r="R80" s="62">
        <f t="shared" si="47"/>
        <v>5.6703813569533986E-3</v>
      </c>
      <c r="S80" s="62">
        <f t="shared" si="48"/>
        <v>2.4768824306472025E-3</v>
      </c>
      <c r="T80" s="62">
        <f t="shared" si="49"/>
        <v>1.3793103448275862E-2</v>
      </c>
      <c r="U80" s="63">
        <f t="shared" si="50"/>
        <v>-2.6200000000000001E-2</v>
      </c>
      <c r="V80" s="64">
        <f t="shared" si="51"/>
        <v>7.0000000000000617E-4</v>
      </c>
    </row>
    <row r="81" spans="1:22">
      <c r="A81" s="167">
        <v>70</v>
      </c>
      <c r="B81" s="149" t="s">
        <v>131</v>
      </c>
      <c r="C81" s="148" t="s">
        <v>63</v>
      </c>
      <c r="D81" s="39">
        <v>329603702.69999999</v>
      </c>
      <c r="E81" s="34">
        <f>(D81/$D$117)</f>
        <v>1.3579283883272994E-3</v>
      </c>
      <c r="F81" s="38">
        <v>1316.62</v>
      </c>
      <c r="G81" s="38">
        <v>1316.62</v>
      </c>
      <c r="H81" s="35">
        <v>109</v>
      </c>
      <c r="I81" s="57">
        <v>-2.5499999999999998E-2</v>
      </c>
      <c r="J81" s="57">
        <v>0.21820000000000001</v>
      </c>
      <c r="K81" s="39">
        <v>329326590.63999999</v>
      </c>
      <c r="L81" s="34">
        <f t="shared" si="46"/>
        <v>1.3624097218707999E-3</v>
      </c>
      <c r="M81" s="38">
        <v>1313.07</v>
      </c>
      <c r="N81" s="38">
        <v>1313.07</v>
      </c>
      <c r="O81" s="35">
        <v>109</v>
      </c>
      <c r="P81" s="57">
        <v>1.5E-3</v>
      </c>
      <c r="Q81" s="57">
        <v>0.18229999999999999</v>
      </c>
      <c r="R81" s="62">
        <f t="shared" si="47"/>
        <v>-8.407431643819407E-4</v>
      </c>
      <c r="S81" s="62">
        <f t="shared" si="48"/>
        <v>-2.6962980966413657E-3</v>
      </c>
      <c r="T81" s="62">
        <f t="shared" si="49"/>
        <v>0</v>
      </c>
      <c r="U81" s="63">
        <f t="shared" si="50"/>
        <v>2.7E-2</v>
      </c>
      <c r="V81" s="64">
        <f t="shared" si="51"/>
        <v>-3.5900000000000015E-2</v>
      </c>
    </row>
    <row r="82" spans="1:22" ht="15" customHeight="1">
      <c r="A82" s="167">
        <v>71</v>
      </c>
      <c r="B82" s="149" t="s">
        <v>132</v>
      </c>
      <c r="C82" s="148" t="s">
        <v>27</v>
      </c>
      <c r="D82" s="39">
        <v>1855463069.27</v>
      </c>
      <c r="E82" s="34">
        <f>(D82/$K$117)</f>
        <v>7.6759696787103071E-3</v>
      </c>
      <c r="F82" s="38">
        <v>1.1520999999999999</v>
      </c>
      <c r="G82" s="38">
        <v>1.1520999999999999</v>
      </c>
      <c r="H82" s="35">
        <v>1081</v>
      </c>
      <c r="I82" s="57">
        <v>2.5999999999999999E-3</v>
      </c>
      <c r="J82" s="57">
        <v>6.2300000000000001E-2</v>
      </c>
      <c r="K82" s="39">
        <v>1860963780.05</v>
      </c>
      <c r="L82" s="34">
        <f t="shared" si="46"/>
        <v>7.6987258789591468E-3</v>
      </c>
      <c r="M82" s="38">
        <v>1.5556000000000001</v>
      </c>
      <c r="N82" s="38">
        <v>1.556</v>
      </c>
      <c r="O82" s="35">
        <v>1081</v>
      </c>
      <c r="P82" s="57">
        <v>5.7000000000000002E-3</v>
      </c>
      <c r="Q82" s="57">
        <v>6.54E-2</v>
      </c>
      <c r="R82" s="62">
        <f t="shared" si="47"/>
        <v>2.9646026757967924E-3</v>
      </c>
      <c r="S82" s="62">
        <f t="shared" si="48"/>
        <v>0.35057720683968419</v>
      </c>
      <c r="T82" s="62">
        <f t="shared" si="49"/>
        <v>0</v>
      </c>
      <c r="U82" s="63">
        <f t="shared" si="50"/>
        <v>3.1000000000000003E-3</v>
      </c>
      <c r="V82" s="64">
        <f t="shared" si="51"/>
        <v>3.0999999999999986E-3</v>
      </c>
    </row>
    <row r="83" spans="1:22">
      <c r="A83" s="167">
        <v>72</v>
      </c>
      <c r="B83" s="149" t="s">
        <v>133</v>
      </c>
      <c r="C83" s="148" t="s">
        <v>134</v>
      </c>
      <c r="D83" s="39">
        <v>493952418.602911</v>
      </c>
      <c r="E83" s="34">
        <f t="shared" ref="E83:E101" si="52">(D83/$D$117)</f>
        <v>2.0350257178825752E-3</v>
      </c>
      <c r="F83" s="38">
        <v>2.8142999999999998</v>
      </c>
      <c r="G83" s="38">
        <v>2.8142999999999998</v>
      </c>
      <c r="H83" s="35">
        <v>1390</v>
      </c>
      <c r="I83" s="57">
        <v>0.13189999999999999</v>
      </c>
      <c r="J83" s="57">
        <v>0.13750000000000001</v>
      </c>
      <c r="K83" s="39">
        <v>494873715.16000003</v>
      </c>
      <c r="L83" s="34">
        <f t="shared" si="46"/>
        <v>2.0472709456046405E-3</v>
      </c>
      <c r="M83" s="38">
        <v>2.8195000000000001</v>
      </c>
      <c r="N83" s="38">
        <v>2.8195000000000001</v>
      </c>
      <c r="O83" s="35">
        <v>1390</v>
      </c>
      <c r="P83" s="57">
        <v>0.13489999999999999</v>
      </c>
      <c r="Q83" s="57">
        <v>0.13750000000000001</v>
      </c>
      <c r="R83" s="62">
        <f t="shared" si="47"/>
        <v>1.8651524365338968E-3</v>
      </c>
      <c r="S83" s="62">
        <f t="shared" si="48"/>
        <v>1.8477063568206359E-3</v>
      </c>
      <c r="T83" s="62">
        <f t="shared" si="49"/>
        <v>0</v>
      </c>
      <c r="U83" s="63">
        <f t="shared" si="50"/>
        <v>3.0000000000000027E-3</v>
      </c>
      <c r="V83" s="64">
        <f t="shared" si="51"/>
        <v>0</v>
      </c>
    </row>
    <row r="84" spans="1:22">
      <c r="A84" s="167">
        <v>73</v>
      </c>
      <c r="B84" s="148" t="s">
        <v>135</v>
      </c>
      <c r="C84" s="148" t="s">
        <v>136</v>
      </c>
      <c r="D84" s="39">
        <v>3010750811.2600002</v>
      </c>
      <c r="E84" s="34">
        <f t="shared" si="52"/>
        <v>1.2403938315312503E-2</v>
      </c>
      <c r="F84" s="38">
        <v>1170.76</v>
      </c>
      <c r="G84" s="38">
        <v>1170.76</v>
      </c>
      <c r="H84" s="35">
        <v>296</v>
      </c>
      <c r="I84" s="57">
        <v>2.3400000000000001E-3</v>
      </c>
      <c r="J84" s="57">
        <v>4.6249999999999999E-2</v>
      </c>
      <c r="K84" s="39">
        <v>2772959972.6199999</v>
      </c>
      <c r="L84" s="34">
        <f t="shared" si="46"/>
        <v>1.1471614295445267E-2</v>
      </c>
      <c r="M84" s="38">
        <v>1173.55</v>
      </c>
      <c r="N84" s="38">
        <v>1173.55</v>
      </c>
      <c r="O84" s="35">
        <v>298</v>
      </c>
      <c r="P84" s="57">
        <v>1.6199999999999999E-3</v>
      </c>
      <c r="Q84" s="57">
        <v>4.8739999999999999E-2</v>
      </c>
      <c r="R84" s="62">
        <f t="shared" ref="R84" si="53">((K84-D84)/D84)</f>
        <v>-7.8980577785009318E-2</v>
      </c>
      <c r="S84" s="62">
        <f t="shared" si="48"/>
        <v>2.3830674092042464E-3</v>
      </c>
      <c r="T84" s="62">
        <f t="shared" ref="T84" si="54">((O84-H84)/H84)</f>
        <v>6.7567567567567571E-3</v>
      </c>
      <c r="U84" s="63">
        <f t="shared" si="50"/>
        <v>-7.2000000000000015E-4</v>
      </c>
      <c r="V84" s="64">
        <f t="shared" si="51"/>
        <v>2.4899999999999992E-3</v>
      </c>
    </row>
    <row r="85" spans="1:22">
      <c r="A85" s="167">
        <v>74</v>
      </c>
      <c r="B85" s="149" t="s">
        <v>137</v>
      </c>
      <c r="C85" s="148" t="s">
        <v>68</v>
      </c>
      <c r="D85" s="39">
        <v>213125155.80000001</v>
      </c>
      <c r="E85" s="34">
        <f t="shared" si="52"/>
        <v>8.7805051022413346E-4</v>
      </c>
      <c r="F85" s="38">
        <v>12.008100000000001</v>
      </c>
      <c r="G85" s="38">
        <v>12.054500000000001</v>
      </c>
      <c r="H85" s="35">
        <v>46</v>
      </c>
      <c r="I85" s="57">
        <v>3.8999999999999999E-4</v>
      </c>
      <c r="J85" s="57">
        <v>0.23930000000000001</v>
      </c>
      <c r="K85" s="39">
        <v>213487095.19999999</v>
      </c>
      <c r="L85" s="34">
        <f t="shared" si="46"/>
        <v>8.8318678861976324E-4</v>
      </c>
      <c r="M85" s="38">
        <v>12.028499999999999</v>
      </c>
      <c r="N85" s="38">
        <v>12.0959</v>
      </c>
      <c r="O85" s="35">
        <v>46</v>
      </c>
      <c r="P85" s="57">
        <v>9.1E-4</v>
      </c>
      <c r="Q85" s="57">
        <v>0.22470000000000001</v>
      </c>
      <c r="R85" s="62">
        <f t="shared" si="47"/>
        <v>1.6982481426998969E-3</v>
      </c>
      <c r="S85" s="62">
        <f t="shared" si="48"/>
        <v>3.4344020905055735E-3</v>
      </c>
      <c r="T85" s="62">
        <f t="shared" si="49"/>
        <v>0</v>
      </c>
      <c r="U85" s="63">
        <f t="shared" si="50"/>
        <v>5.2000000000000006E-4</v>
      </c>
      <c r="V85" s="64">
        <f t="shared" si="51"/>
        <v>-1.4600000000000002E-2</v>
      </c>
    </row>
    <row r="86" spans="1:22">
      <c r="A86" s="167">
        <v>75</v>
      </c>
      <c r="B86" s="149" t="s">
        <v>138</v>
      </c>
      <c r="C86" s="148" t="s">
        <v>70</v>
      </c>
      <c r="D86" s="39">
        <v>2106667019.75734</v>
      </c>
      <c r="E86" s="34">
        <f t="shared" si="52"/>
        <v>8.6792197036849594E-3</v>
      </c>
      <c r="F86" s="39">
        <v>4895.8005560147403</v>
      </c>
      <c r="G86" s="39">
        <v>4895.8005560147403</v>
      </c>
      <c r="H86" s="35">
        <v>1198</v>
      </c>
      <c r="I86" s="57">
        <v>0.1487</v>
      </c>
      <c r="J86" s="57">
        <v>0.1527</v>
      </c>
      <c r="K86" s="39">
        <v>2109745892.5703399</v>
      </c>
      <c r="L86" s="34">
        <f t="shared" si="46"/>
        <v>8.7279266126945483E-3</v>
      </c>
      <c r="M86" s="39">
        <v>4907.3687780201399</v>
      </c>
      <c r="N86" s="39">
        <v>4907.3687780201399</v>
      </c>
      <c r="O86" s="35">
        <v>1199</v>
      </c>
      <c r="P86" s="57">
        <v>0.1232</v>
      </c>
      <c r="Q86" s="57">
        <v>0.15040000000000001</v>
      </c>
      <c r="R86" s="62">
        <f t="shared" si="47"/>
        <v>1.4614900143804449E-3</v>
      </c>
      <c r="S86" s="62">
        <f t="shared" si="48"/>
        <v>2.362886697087241E-3</v>
      </c>
      <c r="T86" s="62">
        <f t="shared" si="49"/>
        <v>8.3472454090150253E-4</v>
      </c>
      <c r="U86" s="63">
        <f t="shared" si="50"/>
        <v>-2.5499999999999995E-2</v>
      </c>
      <c r="V86" s="64">
        <f t="shared" si="51"/>
        <v>-2.2999999999999965E-3</v>
      </c>
    </row>
    <row r="87" spans="1:22">
      <c r="A87" s="163">
        <v>76</v>
      </c>
      <c r="B87" s="164" t="s">
        <v>139</v>
      </c>
      <c r="C87" s="148" t="s">
        <v>72</v>
      </c>
      <c r="D87" s="39">
        <v>382016086.54000002</v>
      </c>
      <c r="E87" s="34">
        <f t="shared" si="52"/>
        <v>1.5738612292912338E-3</v>
      </c>
      <c r="F87" s="67">
        <v>114.72</v>
      </c>
      <c r="G87" s="67">
        <v>114.72</v>
      </c>
      <c r="H87" s="35">
        <v>98</v>
      </c>
      <c r="I87" s="57">
        <v>2.7000000000000001E-3</v>
      </c>
      <c r="J87" s="57">
        <v>0.1198</v>
      </c>
      <c r="K87" s="39">
        <v>380189732.22000003</v>
      </c>
      <c r="L87" s="34">
        <f t="shared" si="46"/>
        <v>1.5728283170981549E-3</v>
      </c>
      <c r="M87" s="67">
        <v>114.91</v>
      </c>
      <c r="N87" s="67">
        <v>114.91</v>
      </c>
      <c r="O87" s="35">
        <v>98</v>
      </c>
      <c r="P87" s="57">
        <v>1.6999999999999999E-3</v>
      </c>
      <c r="Q87" s="57">
        <v>0.1198</v>
      </c>
      <c r="R87" s="62">
        <f t="shared" si="47"/>
        <v>-4.780830924010734E-3</v>
      </c>
      <c r="S87" s="62">
        <f t="shared" si="48"/>
        <v>1.6562064156206218E-3</v>
      </c>
      <c r="T87" s="62">
        <f t="shared" si="49"/>
        <v>0</v>
      </c>
      <c r="U87" s="63">
        <f t="shared" si="50"/>
        <v>-1.0000000000000002E-3</v>
      </c>
      <c r="V87" s="64">
        <f t="shared" si="51"/>
        <v>0</v>
      </c>
    </row>
    <row r="88" spans="1:22" ht="13.5" customHeight="1">
      <c r="A88" s="167">
        <v>77</v>
      </c>
      <c r="B88" s="149" t="s">
        <v>140</v>
      </c>
      <c r="C88" s="148" t="s">
        <v>74</v>
      </c>
      <c r="D88" s="39">
        <v>1407451036.3800001</v>
      </c>
      <c r="E88" s="34">
        <f t="shared" si="52"/>
        <v>5.7985323035665056E-3</v>
      </c>
      <c r="F88" s="67">
        <v>1.5519000000000001</v>
      </c>
      <c r="G88" s="67">
        <v>1.5519000000000001</v>
      </c>
      <c r="H88" s="35">
        <v>2590</v>
      </c>
      <c r="I88" s="57">
        <v>4.0000000000000001E-3</v>
      </c>
      <c r="J88" s="57">
        <v>8.09E-2</v>
      </c>
      <c r="K88" s="39">
        <v>1406277151.03</v>
      </c>
      <c r="L88" s="34">
        <f t="shared" si="46"/>
        <v>5.8177071535119914E-3</v>
      </c>
      <c r="M88" s="67">
        <v>1.5571999999999999</v>
      </c>
      <c r="N88" s="67">
        <v>1.5571999999999999</v>
      </c>
      <c r="O88" s="35">
        <v>2615</v>
      </c>
      <c r="P88" s="57">
        <v>3.3999999999999998E-3</v>
      </c>
      <c r="Q88" s="57">
        <v>0.1983</v>
      </c>
      <c r="R88" s="62">
        <f t="shared" si="47"/>
        <v>-8.3405057771629909E-4</v>
      </c>
      <c r="S88" s="62">
        <f t="shared" si="48"/>
        <v>3.4151685031251111E-3</v>
      </c>
      <c r="T88" s="62">
        <f t="shared" si="49"/>
        <v>9.6525096525096523E-3</v>
      </c>
      <c r="U88" s="63">
        <f t="shared" si="50"/>
        <v>-6.0000000000000027E-4</v>
      </c>
      <c r="V88" s="64">
        <f t="shared" si="51"/>
        <v>0.1174</v>
      </c>
    </row>
    <row r="89" spans="1:22" ht="13.5" customHeight="1">
      <c r="A89" s="167">
        <v>78</v>
      </c>
      <c r="B89" s="149" t="s">
        <v>141</v>
      </c>
      <c r="C89" s="148" t="s">
        <v>74</v>
      </c>
      <c r="D89" s="39">
        <v>133775977.53</v>
      </c>
      <c r="E89" s="34">
        <f t="shared" si="52"/>
        <v>5.5114125258952048E-4</v>
      </c>
      <c r="F89" s="67">
        <v>1.0435000000000001</v>
      </c>
      <c r="G89" s="67">
        <v>1.0435000000000001</v>
      </c>
      <c r="H89" s="35">
        <v>96</v>
      </c>
      <c r="I89" s="57">
        <v>5.0000000000000001E-3</v>
      </c>
      <c r="J89" s="57">
        <v>-0.28720000000000001</v>
      </c>
      <c r="K89" s="39">
        <v>134756945.99000001</v>
      </c>
      <c r="L89" s="34">
        <f t="shared" si="46"/>
        <v>5.5748359994133739E-4</v>
      </c>
      <c r="M89" s="67">
        <v>1.5571999999999999</v>
      </c>
      <c r="N89" s="67">
        <v>1.5571999999999999</v>
      </c>
      <c r="O89" s="35">
        <v>101</v>
      </c>
      <c r="P89" s="57">
        <v>0.49228557738380418</v>
      </c>
      <c r="Q89" s="57">
        <v>6.3733861602568401E-2</v>
      </c>
      <c r="R89" s="62">
        <f t="shared" ref="R89" si="55">((K89-D89)/D89)</f>
        <v>7.3329193933942341E-3</v>
      </c>
      <c r="S89" s="62">
        <f t="shared" ref="S89" si="56">((N89-G89)/G89)</f>
        <v>0.4922855773838043</v>
      </c>
      <c r="T89" s="62">
        <f t="shared" ref="T89" si="57">((O89-H89)/H89)</f>
        <v>5.2083333333333336E-2</v>
      </c>
      <c r="U89" s="63">
        <f t="shared" ref="U89" si="58">P89-I89</f>
        <v>0.48728557738380418</v>
      </c>
      <c r="V89" s="64">
        <f t="shared" ref="V89" si="59">Q89-J89</f>
        <v>0.3509338616025684</v>
      </c>
    </row>
    <row r="90" spans="1:22">
      <c r="A90" s="167">
        <v>79</v>
      </c>
      <c r="B90" s="149" t="s">
        <v>142</v>
      </c>
      <c r="C90" s="148" t="s">
        <v>29</v>
      </c>
      <c r="D90" s="39">
        <v>230488782.38</v>
      </c>
      <c r="E90" s="34">
        <f t="shared" si="52"/>
        <v>9.4958660421867584E-4</v>
      </c>
      <c r="F90" s="67">
        <v>144.43510000000001</v>
      </c>
      <c r="G90" s="67">
        <v>144.43510000000001</v>
      </c>
      <c r="H90" s="35">
        <v>435</v>
      </c>
      <c r="I90" s="57">
        <v>8.0999999999999996E-4</v>
      </c>
      <c r="J90" s="57">
        <v>7.8899999999999998E-2</v>
      </c>
      <c r="K90" s="39">
        <v>230940904.74000001</v>
      </c>
      <c r="L90" s="34">
        <f t="shared" si="46"/>
        <v>9.5539243637740633E-4</v>
      </c>
      <c r="M90" s="67">
        <v>1144.7514000000001</v>
      </c>
      <c r="N90" s="67">
        <v>1144.7514000000001</v>
      </c>
      <c r="O90" s="35">
        <v>437</v>
      </c>
      <c r="P90" s="57">
        <v>4.3600000000000003E-4</v>
      </c>
      <c r="Q90" s="57">
        <v>7.9500000000000001E-2</v>
      </c>
      <c r="R90" s="62">
        <f t="shared" si="47"/>
        <v>1.9615807560413663E-3</v>
      </c>
      <c r="S90" s="62">
        <f t="shared" si="48"/>
        <v>6.9257147327761741</v>
      </c>
      <c r="T90" s="62">
        <f t="shared" si="49"/>
        <v>4.5977011494252873E-3</v>
      </c>
      <c r="U90" s="63">
        <f t="shared" si="50"/>
        <v>-3.7399999999999993E-4</v>
      </c>
      <c r="V90" s="64">
        <f t="shared" si="51"/>
        <v>6.0000000000000331E-4</v>
      </c>
    </row>
    <row r="91" spans="1:22">
      <c r="A91" s="167">
        <v>80</v>
      </c>
      <c r="B91" s="149" t="s">
        <v>143</v>
      </c>
      <c r="C91" s="148" t="s">
        <v>76</v>
      </c>
      <c r="D91" s="39">
        <v>2712163929.52</v>
      </c>
      <c r="E91" s="34">
        <f t="shared" si="52"/>
        <v>1.1173795571843642E-2</v>
      </c>
      <c r="F91" s="38">
        <v>1332.03</v>
      </c>
      <c r="G91" s="38">
        <v>1332.033923</v>
      </c>
      <c r="H91" s="35">
        <v>324</v>
      </c>
      <c r="I91" s="57">
        <v>1.47E-2</v>
      </c>
      <c r="J91" s="57">
        <v>0.2079</v>
      </c>
      <c r="K91" s="39">
        <v>2716548166.2399998</v>
      </c>
      <c r="L91" s="34">
        <f t="shared" si="46"/>
        <v>1.1238241116282762E-2</v>
      </c>
      <c r="M91" s="38">
        <v>1337.2007060000001</v>
      </c>
      <c r="N91" s="38">
        <v>1337.2007060000001</v>
      </c>
      <c r="O91" s="35">
        <v>315</v>
      </c>
      <c r="P91" s="57">
        <v>3.8999999999999998E-3</v>
      </c>
      <c r="Q91" s="57">
        <v>0.19220000000000001</v>
      </c>
      <c r="R91" s="62">
        <f t="shared" si="47"/>
        <v>1.6165087487081632E-3</v>
      </c>
      <c r="S91" s="62">
        <f t="shared" si="48"/>
        <v>3.8788674303155291E-3</v>
      </c>
      <c r="T91" s="62">
        <f t="shared" si="49"/>
        <v>-2.7777777777777776E-2</v>
      </c>
      <c r="U91" s="63">
        <f t="shared" si="50"/>
        <v>-1.0800000000000001E-2</v>
      </c>
      <c r="V91" s="64">
        <f t="shared" si="51"/>
        <v>-1.5699999999999992E-2</v>
      </c>
    </row>
    <row r="92" spans="1:22">
      <c r="A92" s="167">
        <v>81</v>
      </c>
      <c r="B92" s="149" t="s">
        <v>144</v>
      </c>
      <c r="C92" s="148" t="s">
        <v>78</v>
      </c>
      <c r="D92" s="39">
        <v>147664768.72</v>
      </c>
      <c r="E92" s="34">
        <f t="shared" si="52"/>
        <v>6.0836143452909399E-4</v>
      </c>
      <c r="F92" s="38">
        <v>997.45</v>
      </c>
      <c r="G92" s="38">
        <v>1005.83</v>
      </c>
      <c r="H92" s="35">
        <v>70</v>
      </c>
      <c r="I92" s="57">
        <v>2.0999999999999999E-3</v>
      </c>
      <c r="J92" s="57">
        <v>2.2599999999999999E-2</v>
      </c>
      <c r="K92" s="39">
        <v>148403375.81</v>
      </c>
      <c r="L92" s="34">
        <f t="shared" si="46"/>
        <v>6.139382840877483E-4</v>
      </c>
      <c r="M92" s="38">
        <v>999.09</v>
      </c>
      <c r="N92" s="38">
        <v>1008.27</v>
      </c>
      <c r="O92" s="35">
        <v>70</v>
      </c>
      <c r="P92" s="57">
        <v>2.0999999999999999E-3</v>
      </c>
      <c r="Q92" s="57">
        <v>2.46E-2</v>
      </c>
      <c r="R92" s="62">
        <f t="shared" si="47"/>
        <v>5.0019181718324477E-3</v>
      </c>
      <c r="S92" s="62">
        <f t="shared" si="48"/>
        <v>2.4258572522195009E-3</v>
      </c>
      <c r="T92" s="62">
        <f t="shared" si="49"/>
        <v>0</v>
      </c>
      <c r="U92" s="63">
        <f t="shared" si="50"/>
        <v>0</v>
      </c>
      <c r="V92" s="64">
        <f t="shared" si="51"/>
        <v>2.0000000000000018E-3</v>
      </c>
    </row>
    <row r="93" spans="1:22">
      <c r="A93" s="167">
        <v>82</v>
      </c>
      <c r="B93" s="149" t="s">
        <v>145</v>
      </c>
      <c r="C93" s="148" t="s">
        <v>81</v>
      </c>
      <c r="D93" s="39">
        <v>737420872.96000004</v>
      </c>
      <c r="E93" s="34">
        <f t="shared" si="52"/>
        <v>3.0380870400867708E-3</v>
      </c>
      <c r="F93" s="68">
        <v>1.2210300000000001</v>
      </c>
      <c r="G93" s="68">
        <v>1.2210300000000001</v>
      </c>
      <c r="H93" s="35">
        <v>63</v>
      </c>
      <c r="I93" s="57">
        <v>0.13557</v>
      </c>
      <c r="J93" s="57">
        <v>0.14499999999999999</v>
      </c>
      <c r="K93" s="39">
        <v>739109355.30999994</v>
      </c>
      <c r="L93" s="34">
        <f t="shared" si="46"/>
        <v>3.057663121714827E-3</v>
      </c>
      <c r="M93" s="68">
        <v>1.2258</v>
      </c>
      <c r="N93" s="68">
        <v>1.2258</v>
      </c>
      <c r="O93" s="35">
        <v>61</v>
      </c>
      <c r="P93" s="57">
        <v>0.13557</v>
      </c>
      <c r="Q93" s="57">
        <v>0.15590000000000001</v>
      </c>
      <c r="R93" s="62">
        <f t="shared" si="47"/>
        <v>2.2897132586203496E-3</v>
      </c>
      <c r="S93" s="62">
        <f t="shared" si="48"/>
        <v>3.9065379229011087E-3</v>
      </c>
      <c r="T93" s="62">
        <f t="shared" si="49"/>
        <v>-3.1746031746031744E-2</v>
      </c>
      <c r="U93" s="63">
        <f t="shared" si="50"/>
        <v>0</v>
      </c>
      <c r="V93" s="64">
        <f t="shared" si="51"/>
        <v>1.0900000000000021E-2</v>
      </c>
    </row>
    <row r="94" spans="1:22">
      <c r="A94" s="167">
        <v>83</v>
      </c>
      <c r="B94" s="149" t="s">
        <v>146</v>
      </c>
      <c r="C94" s="148" t="s">
        <v>31</v>
      </c>
      <c r="D94" s="68">
        <v>11592053166.52</v>
      </c>
      <c r="E94" s="34">
        <f t="shared" si="52"/>
        <v>4.7757892113682469E-2</v>
      </c>
      <c r="F94" s="68">
        <v>1691.28</v>
      </c>
      <c r="G94" s="68">
        <v>1691.28</v>
      </c>
      <c r="H94" s="35">
        <v>2034</v>
      </c>
      <c r="I94" s="57">
        <v>2.2000000000000001E-3</v>
      </c>
      <c r="J94" s="57">
        <v>1.4999999999999999E-2</v>
      </c>
      <c r="K94" s="68">
        <v>11605737891.870001</v>
      </c>
      <c r="L94" s="34">
        <f t="shared" si="46"/>
        <v>4.8012430768618039E-2</v>
      </c>
      <c r="M94" s="68">
        <v>1693.94</v>
      </c>
      <c r="N94" s="68">
        <v>1693.94</v>
      </c>
      <c r="O94" s="35">
        <v>2035</v>
      </c>
      <c r="P94" s="57">
        <v>-1.6000000000000001E-3</v>
      </c>
      <c r="Q94" s="57">
        <v>1.66E-2</v>
      </c>
      <c r="R94" s="62">
        <f t="shared" si="47"/>
        <v>1.1805264480259981E-3</v>
      </c>
      <c r="S94" s="62">
        <f t="shared" si="48"/>
        <v>1.5727732841398715E-3</v>
      </c>
      <c r="T94" s="62">
        <f t="shared" si="49"/>
        <v>4.9164208456243857E-4</v>
      </c>
      <c r="U94" s="63">
        <f t="shared" si="50"/>
        <v>-3.8000000000000004E-3</v>
      </c>
      <c r="V94" s="64">
        <f t="shared" si="51"/>
        <v>1.6000000000000007E-3</v>
      </c>
    </row>
    <row r="95" spans="1:22">
      <c r="A95" s="167">
        <v>84</v>
      </c>
      <c r="B95" s="149" t="s">
        <v>147</v>
      </c>
      <c r="C95" s="148" t="s">
        <v>91</v>
      </c>
      <c r="D95" s="39">
        <v>24408249.91</v>
      </c>
      <c r="E95" s="34">
        <f t="shared" si="52"/>
        <v>1.0055911141369665E-4</v>
      </c>
      <c r="F95" s="67">
        <v>0.74560000000000004</v>
      </c>
      <c r="G95" s="67">
        <v>0.74560000000000004</v>
      </c>
      <c r="H95" s="35">
        <v>744</v>
      </c>
      <c r="I95" s="57">
        <v>2.2000000000000001E-3</v>
      </c>
      <c r="J95" s="57">
        <v>2.2200000000000001E-2</v>
      </c>
      <c r="K95" s="39">
        <v>24446497.469999999</v>
      </c>
      <c r="L95" s="34">
        <f t="shared" si="46"/>
        <v>1.0113409231271637E-4</v>
      </c>
      <c r="M95" s="67">
        <v>0.74680000000000002</v>
      </c>
      <c r="N95" s="67">
        <v>0.74680000000000002</v>
      </c>
      <c r="O95" s="35">
        <v>744</v>
      </c>
      <c r="P95" s="57">
        <v>1.6000000000000001E-3</v>
      </c>
      <c r="Q95" s="57">
        <v>2.3900000000000001E-2</v>
      </c>
      <c r="R95" s="62">
        <f t="shared" si="47"/>
        <v>1.5669931331016374E-3</v>
      </c>
      <c r="S95" s="62">
        <f t="shared" si="48"/>
        <v>1.6094420600858085E-3</v>
      </c>
      <c r="T95" s="62">
        <f t="shared" si="49"/>
        <v>0</v>
      </c>
      <c r="U95" s="63">
        <f t="shared" si="50"/>
        <v>-6.0000000000000006E-4</v>
      </c>
      <c r="V95" s="64">
        <f t="shared" si="51"/>
        <v>1.7000000000000001E-3</v>
      </c>
    </row>
    <row r="96" spans="1:22">
      <c r="A96" s="167">
        <v>85</v>
      </c>
      <c r="B96" s="149" t="s">
        <v>148</v>
      </c>
      <c r="C96" s="148" t="s">
        <v>37</v>
      </c>
      <c r="D96" s="39">
        <v>11926136735.389999</v>
      </c>
      <c r="E96" s="34">
        <f t="shared" si="52"/>
        <v>4.9134277022365322E-2</v>
      </c>
      <c r="F96" s="67">
        <v>1</v>
      </c>
      <c r="G96" s="67">
        <v>1</v>
      </c>
      <c r="H96" s="35">
        <v>5701</v>
      </c>
      <c r="I96" s="57">
        <v>0.06</v>
      </c>
      <c r="J96" s="57">
        <v>0.06</v>
      </c>
      <c r="K96" s="39">
        <v>11972238941.280001</v>
      </c>
      <c r="L96" s="34">
        <f t="shared" si="46"/>
        <v>4.9528629602795582E-2</v>
      </c>
      <c r="M96" s="67">
        <v>1</v>
      </c>
      <c r="N96" s="67">
        <v>1</v>
      </c>
      <c r="O96" s="35">
        <v>5714</v>
      </c>
      <c r="P96" s="57">
        <v>0.06</v>
      </c>
      <c r="Q96" s="57">
        <v>0.06</v>
      </c>
      <c r="R96" s="62">
        <f t="shared" si="47"/>
        <v>3.8656445849053647E-3</v>
      </c>
      <c r="S96" s="62">
        <f t="shared" si="48"/>
        <v>0</v>
      </c>
      <c r="T96" s="62">
        <f t="shared" si="49"/>
        <v>2.2803017014558849E-3</v>
      </c>
      <c r="U96" s="63">
        <f t="shared" si="50"/>
        <v>0</v>
      </c>
      <c r="V96" s="64">
        <f t="shared" si="51"/>
        <v>0</v>
      </c>
    </row>
    <row r="97" spans="1:22">
      <c r="A97" s="167">
        <v>86</v>
      </c>
      <c r="B97" s="149" t="s">
        <v>149</v>
      </c>
      <c r="C97" s="148" t="s">
        <v>150</v>
      </c>
      <c r="D97" s="39">
        <v>1614756495.3399999</v>
      </c>
      <c r="E97" s="34">
        <f t="shared" si="52"/>
        <v>6.6526063490672197E-3</v>
      </c>
      <c r="F97" s="39">
        <v>277.08</v>
      </c>
      <c r="G97" s="39">
        <v>277.08</v>
      </c>
      <c r="H97" s="35">
        <v>562</v>
      </c>
      <c r="I97" s="57">
        <v>3.0000000000000001E-3</v>
      </c>
      <c r="J97" s="57">
        <v>0.1686</v>
      </c>
      <c r="K97" s="39">
        <v>1618181397.05</v>
      </c>
      <c r="L97" s="34">
        <f t="shared" si="46"/>
        <v>6.6943457642063206E-3</v>
      </c>
      <c r="M97" s="39">
        <v>277.68</v>
      </c>
      <c r="N97" s="39">
        <v>277.08</v>
      </c>
      <c r="O97" s="35">
        <v>562</v>
      </c>
      <c r="P97" s="57">
        <v>3.0000000000000001E-3</v>
      </c>
      <c r="Q97" s="57">
        <v>0.16969999999999999</v>
      </c>
      <c r="R97" s="62">
        <f t="shared" si="47"/>
        <v>2.121001971432787E-3</v>
      </c>
      <c r="S97" s="62">
        <f t="shared" si="48"/>
        <v>0</v>
      </c>
      <c r="T97" s="62">
        <f t="shared" si="49"/>
        <v>0</v>
      </c>
      <c r="U97" s="63">
        <f t="shared" si="50"/>
        <v>0</v>
      </c>
      <c r="V97" s="64">
        <f t="shared" si="51"/>
        <v>1.0999999999999899E-3</v>
      </c>
    </row>
    <row r="98" spans="1:22">
      <c r="A98" s="167">
        <v>87</v>
      </c>
      <c r="B98" s="149" t="s">
        <v>151</v>
      </c>
      <c r="C98" s="148" t="s">
        <v>41</v>
      </c>
      <c r="D98" s="39">
        <v>1111965503.6500001</v>
      </c>
      <c r="E98" s="34">
        <f t="shared" si="52"/>
        <v>4.5811667523084484E-3</v>
      </c>
      <c r="F98" s="67">
        <v>3.73</v>
      </c>
      <c r="G98" s="67">
        <v>3.77</v>
      </c>
      <c r="H98" s="53">
        <v>806</v>
      </c>
      <c r="I98" s="60">
        <v>3.1099999999999999E-2</v>
      </c>
      <c r="J98" s="60">
        <v>0.1734</v>
      </c>
      <c r="K98" s="39">
        <v>1115239806.8299999</v>
      </c>
      <c r="L98" s="34">
        <f t="shared" si="46"/>
        <v>4.6136983718494699E-3</v>
      </c>
      <c r="M98" s="67">
        <v>3.74</v>
      </c>
      <c r="N98" s="67">
        <v>3.78</v>
      </c>
      <c r="O98" s="53">
        <v>805</v>
      </c>
      <c r="P98" s="60">
        <v>3.3500000000000002E-2</v>
      </c>
      <c r="Q98" s="60">
        <v>0.16889999999999999</v>
      </c>
      <c r="R98" s="62">
        <f t="shared" si="47"/>
        <v>2.94460859554726E-3</v>
      </c>
      <c r="S98" s="62">
        <f t="shared" si="48"/>
        <v>2.6525198938991477E-3</v>
      </c>
      <c r="T98" s="62">
        <f t="shared" si="49"/>
        <v>-1.2406947890818859E-3</v>
      </c>
      <c r="U98" s="63">
        <f t="shared" si="50"/>
        <v>2.4000000000000028E-3</v>
      </c>
      <c r="V98" s="64">
        <f t="shared" si="51"/>
        <v>-4.500000000000004E-3</v>
      </c>
    </row>
    <row r="99" spans="1:22">
      <c r="A99" s="167">
        <v>88</v>
      </c>
      <c r="B99" s="149" t="s">
        <v>152</v>
      </c>
      <c r="C99" s="148" t="s">
        <v>43</v>
      </c>
      <c r="D99" s="39">
        <v>758723739.41999996</v>
      </c>
      <c r="E99" s="34">
        <f t="shared" si="52"/>
        <v>3.1258523378726059E-3</v>
      </c>
      <c r="F99" s="67">
        <v>112.29</v>
      </c>
      <c r="G99" s="67">
        <v>112.29</v>
      </c>
      <c r="H99" s="53">
        <v>246</v>
      </c>
      <c r="I99" s="60">
        <v>0.1469</v>
      </c>
      <c r="J99" s="60">
        <v>0.16889999999999999</v>
      </c>
      <c r="K99" s="39">
        <v>783275259.14999998</v>
      </c>
      <c r="L99" s="34">
        <f t="shared" si="46"/>
        <v>3.2403755369191109E-3</v>
      </c>
      <c r="M99" s="67">
        <v>112.65</v>
      </c>
      <c r="N99" s="67">
        <v>112.65</v>
      </c>
      <c r="O99" s="53">
        <v>248</v>
      </c>
      <c r="P99" s="60">
        <v>0.14879999999999999</v>
      </c>
      <c r="Q99" s="60">
        <v>0.17080000000000001</v>
      </c>
      <c r="R99" s="62">
        <f t="shared" si="47"/>
        <v>3.2358971328310122E-2</v>
      </c>
      <c r="S99" s="62">
        <f t="shared" si="48"/>
        <v>3.2059845044082234E-3</v>
      </c>
      <c r="T99" s="62">
        <f t="shared" si="49"/>
        <v>8.130081300813009E-3</v>
      </c>
      <c r="U99" s="63">
        <f t="shared" si="50"/>
        <v>1.899999999999985E-3</v>
      </c>
      <c r="V99" s="64">
        <f t="shared" si="51"/>
        <v>1.9000000000000128E-3</v>
      </c>
    </row>
    <row r="100" spans="1:22">
      <c r="A100" s="167">
        <v>89</v>
      </c>
      <c r="B100" s="148" t="s">
        <v>153</v>
      </c>
      <c r="C100" s="151" t="s">
        <v>47</v>
      </c>
      <c r="D100" s="39">
        <v>1158960419.76</v>
      </c>
      <c r="E100" s="34">
        <f t="shared" si="52"/>
        <v>4.7747802650513942E-3</v>
      </c>
      <c r="F100" s="67">
        <v>115.06</v>
      </c>
      <c r="G100" s="67">
        <v>115.82</v>
      </c>
      <c r="H100" s="35">
        <v>3023</v>
      </c>
      <c r="I100" s="57">
        <v>-2.0999999999999999E-3</v>
      </c>
      <c r="J100" s="57">
        <v>4.1500000000000002E-2</v>
      </c>
      <c r="K100" s="39">
        <v>1167221623</v>
      </c>
      <c r="L100" s="34">
        <f t="shared" si="46"/>
        <v>4.8287448749966318E-3</v>
      </c>
      <c r="M100" s="67">
        <v>115.56</v>
      </c>
      <c r="N100" s="67">
        <v>116.35</v>
      </c>
      <c r="O100" s="35">
        <v>3064</v>
      </c>
      <c r="P100" s="57">
        <v>1.8E-3</v>
      </c>
      <c r="Q100" s="57">
        <v>4.5699999999999998E-2</v>
      </c>
      <c r="R100" s="62">
        <f t="shared" si="47"/>
        <v>7.1281150755008156E-3</v>
      </c>
      <c r="S100" s="62">
        <f t="shared" si="48"/>
        <v>4.5760663097910654E-3</v>
      </c>
      <c r="T100" s="62">
        <f t="shared" si="49"/>
        <v>1.3562686073436983E-2</v>
      </c>
      <c r="U100" s="63">
        <f t="shared" si="50"/>
        <v>3.8999999999999998E-3</v>
      </c>
      <c r="V100" s="64">
        <f t="shared" si="51"/>
        <v>4.1999999999999954E-3</v>
      </c>
    </row>
    <row r="101" spans="1:22">
      <c r="A101" s="167">
        <v>90</v>
      </c>
      <c r="B101" s="149" t="s">
        <v>154</v>
      </c>
      <c r="C101" s="148" t="s">
        <v>19</v>
      </c>
      <c r="D101" s="141">
        <v>1687919557.4300001</v>
      </c>
      <c r="E101" s="143">
        <f t="shared" si="52"/>
        <v>6.9540295375057036E-3</v>
      </c>
      <c r="F101" s="144">
        <v>401.0625</v>
      </c>
      <c r="G101" s="144">
        <v>401.0625</v>
      </c>
      <c r="H101" s="37">
        <v>89</v>
      </c>
      <c r="I101" s="58">
        <v>8.6E-3</v>
      </c>
      <c r="J101" s="58">
        <v>4.3200000000000002E-2</v>
      </c>
      <c r="K101" s="141">
        <v>1682094916.5799999</v>
      </c>
      <c r="L101" s="143">
        <f t="shared" si="46"/>
        <v>6.9587532030269475E-3</v>
      </c>
      <c r="M101" s="144">
        <v>399.71820000000002</v>
      </c>
      <c r="N101" s="144">
        <v>399.71820000000002</v>
      </c>
      <c r="O101" s="37">
        <v>89</v>
      </c>
      <c r="P101" s="58">
        <v>-3.3999999999999998E-3</v>
      </c>
      <c r="Q101" s="58">
        <v>3.9800000000000002E-2</v>
      </c>
      <c r="R101" s="63">
        <f t="shared" si="47"/>
        <v>-3.4507810661715717E-3</v>
      </c>
      <c r="S101" s="63">
        <f t="shared" si="48"/>
        <v>-3.3518466573164421E-3</v>
      </c>
      <c r="T101" s="63">
        <f t="shared" si="49"/>
        <v>0</v>
      </c>
      <c r="U101" s="63">
        <f t="shared" si="50"/>
        <v>-1.2E-2</v>
      </c>
      <c r="V101" s="64">
        <f t="shared" si="51"/>
        <v>-3.4000000000000002E-3</v>
      </c>
    </row>
    <row r="102" spans="1:22">
      <c r="A102" s="167">
        <v>91</v>
      </c>
      <c r="B102" s="149" t="s">
        <v>155</v>
      </c>
      <c r="C102" s="148" t="s">
        <v>103</v>
      </c>
      <c r="D102" s="51">
        <v>5679559998</v>
      </c>
      <c r="E102" s="34">
        <f>(D102/$K$75)</f>
        <v>1.0394787463327024E-3</v>
      </c>
      <c r="F102" s="67">
        <v>104.73</v>
      </c>
      <c r="G102" s="67">
        <v>104.73</v>
      </c>
      <c r="H102" s="35">
        <v>488</v>
      </c>
      <c r="I102" s="57">
        <v>3.5999999999999999E-3</v>
      </c>
      <c r="J102" s="57">
        <v>0.18559999999999999</v>
      </c>
      <c r="K102" s="51">
        <v>5712531068</v>
      </c>
      <c r="L102" s="34">
        <f t="shared" ref="L102:L116" si="60">(K102/$K$117)</f>
        <v>2.3632491528872264E-2</v>
      </c>
      <c r="M102" s="67">
        <v>104.92</v>
      </c>
      <c r="N102" s="67">
        <v>104.92</v>
      </c>
      <c r="O102" s="35">
        <v>492</v>
      </c>
      <c r="P102" s="57">
        <v>1.8E-3</v>
      </c>
      <c r="Q102" s="57">
        <v>0.1822</v>
      </c>
      <c r="R102" s="62">
        <f t="shared" si="47"/>
        <v>5.8052155469103996E-3</v>
      </c>
      <c r="S102" s="62">
        <f t="shared" si="48"/>
        <v>1.8141888666093548E-3</v>
      </c>
      <c r="T102" s="62">
        <f t="shared" si="49"/>
        <v>8.1967213114754103E-3</v>
      </c>
      <c r="U102" s="63">
        <f t="shared" si="50"/>
        <v>-1.8E-3</v>
      </c>
      <c r="V102" s="64">
        <f t="shared" si="51"/>
        <v>-3.3999999999999864E-3</v>
      </c>
    </row>
    <row r="103" spans="1:22">
      <c r="A103" s="167">
        <v>92</v>
      </c>
      <c r="B103" s="149" t="s">
        <v>156</v>
      </c>
      <c r="C103" s="148" t="s">
        <v>45</v>
      </c>
      <c r="D103" s="39">
        <v>60257216.68</v>
      </c>
      <c r="E103" s="34">
        <f t="shared" ref="E103:E116" si="61">(D103/$D$117)</f>
        <v>2.4825262720375759E-4</v>
      </c>
      <c r="F103" s="39">
        <v>12.68</v>
      </c>
      <c r="G103" s="39">
        <v>12.51</v>
      </c>
      <c r="H103" s="35">
        <v>55</v>
      </c>
      <c r="I103" s="57">
        <v>-1.9E-3</v>
      </c>
      <c r="J103" s="57">
        <v>-5.3199999999999997E-2</v>
      </c>
      <c r="K103" s="39">
        <v>61415765.509999998</v>
      </c>
      <c r="L103" s="34">
        <f t="shared" si="60"/>
        <v>2.5407433953132598E-4</v>
      </c>
      <c r="M103" s="39">
        <v>12.748592</v>
      </c>
      <c r="N103" s="39">
        <v>13.403157999999999</v>
      </c>
      <c r="O103" s="35">
        <v>55</v>
      </c>
      <c r="P103" s="57">
        <v>5.0000000000000001E-4</v>
      </c>
      <c r="Q103" s="57">
        <v>-7.7100000000000002E-2</v>
      </c>
      <c r="R103" s="62">
        <f t="shared" si="47"/>
        <v>1.9226723267895856E-2</v>
      </c>
      <c r="S103" s="62">
        <f t="shared" si="48"/>
        <v>7.1395523581135073E-2</v>
      </c>
      <c r="T103" s="62">
        <f t="shared" si="49"/>
        <v>0</v>
      </c>
      <c r="U103" s="63">
        <f t="shared" si="50"/>
        <v>2.4000000000000002E-3</v>
      </c>
      <c r="V103" s="64">
        <f t="shared" si="51"/>
        <v>-2.3900000000000005E-2</v>
      </c>
    </row>
    <row r="104" spans="1:22">
      <c r="A104" s="167">
        <v>93</v>
      </c>
      <c r="B104" s="149" t="s">
        <v>157</v>
      </c>
      <c r="C104" s="148" t="s">
        <v>158</v>
      </c>
      <c r="D104" s="39">
        <v>948817319.49000001</v>
      </c>
      <c r="E104" s="34">
        <f t="shared" si="61"/>
        <v>3.9090154719675241E-3</v>
      </c>
      <c r="F104" s="39">
        <v>161.41999999999999</v>
      </c>
      <c r="G104" s="39">
        <v>161.41999999999999</v>
      </c>
      <c r="H104" s="35">
        <v>188</v>
      </c>
      <c r="I104" s="57">
        <v>0.19539999999999999</v>
      </c>
      <c r="J104" s="57">
        <v>0.1958</v>
      </c>
      <c r="K104" s="39">
        <v>936411258.88999999</v>
      </c>
      <c r="L104" s="34">
        <f t="shared" si="60"/>
        <v>3.8738924795040674E-3</v>
      </c>
      <c r="M104" s="39">
        <v>161.91</v>
      </c>
      <c r="N104" s="39">
        <v>161.91</v>
      </c>
      <c r="O104" s="35">
        <v>189</v>
      </c>
      <c r="P104" s="57">
        <v>0.1731</v>
      </c>
      <c r="Q104" s="57">
        <v>0.1731</v>
      </c>
      <c r="R104" s="62">
        <f t="shared" si="47"/>
        <v>-1.307528893619735E-2</v>
      </c>
      <c r="S104" s="62">
        <f t="shared" si="48"/>
        <v>3.0355594102342283E-3</v>
      </c>
      <c r="T104" s="62">
        <f t="shared" si="49"/>
        <v>5.3191489361702126E-3</v>
      </c>
      <c r="U104" s="63">
        <f t="shared" si="50"/>
        <v>-2.2299999999999986E-2</v>
      </c>
      <c r="V104" s="64">
        <f t="shared" si="51"/>
        <v>-2.2699999999999998E-2</v>
      </c>
    </row>
    <row r="105" spans="1:22">
      <c r="A105" s="167">
        <v>94</v>
      </c>
      <c r="B105" s="149" t="s">
        <v>159</v>
      </c>
      <c r="C105" s="148" t="s">
        <v>160</v>
      </c>
      <c r="D105" s="39">
        <v>11385059363.6224</v>
      </c>
      <c r="E105" s="34">
        <f t="shared" si="61"/>
        <v>4.6905102054408426E-2</v>
      </c>
      <c r="F105" s="39">
        <v>1.03</v>
      </c>
      <c r="G105" s="39">
        <v>1.03</v>
      </c>
      <c r="H105" s="35">
        <v>5291</v>
      </c>
      <c r="I105" s="57">
        <v>0.1613</v>
      </c>
      <c r="J105" s="57">
        <v>0.1613</v>
      </c>
      <c r="K105" s="39">
        <v>10290436955.231701</v>
      </c>
      <c r="L105" s="34">
        <f t="shared" si="60"/>
        <v>4.2571088240584302E-2</v>
      </c>
      <c r="M105" s="39">
        <v>1.03</v>
      </c>
      <c r="N105" s="39">
        <v>1.03</v>
      </c>
      <c r="O105" s="35">
        <v>5316</v>
      </c>
      <c r="P105" s="57">
        <v>0.1613</v>
      </c>
      <c r="Q105" s="57">
        <v>0.1613</v>
      </c>
      <c r="R105" s="62">
        <f t="shared" si="47"/>
        <v>-9.6145516104047951E-2</v>
      </c>
      <c r="S105" s="62">
        <f t="shared" si="48"/>
        <v>0</v>
      </c>
      <c r="T105" s="62">
        <f t="shared" si="49"/>
        <v>4.7250047250047252E-3</v>
      </c>
      <c r="U105" s="63">
        <f t="shared" si="50"/>
        <v>0</v>
      </c>
      <c r="V105" s="64">
        <f t="shared" si="51"/>
        <v>0</v>
      </c>
    </row>
    <row r="106" spans="1:22" ht="14.25" customHeight="1">
      <c r="A106" s="167">
        <v>95</v>
      </c>
      <c r="B106" s="149" t="s">
        <v>161</v>
      </c>
      <c r="C106" s="148" t="s">
        <v>49</v>
      </c>
      <c r="D106" s="39">
        <v>163457618.69999999</v>
      </c>
      <c r="E106" s="34">
        <f t="shared" si="61"/>
        <v>6.7342611415727041E-4</v>
      </c>
      <c r="F106" s="39">
        <v>0</v>
      </c>
      <c r="G106" s="39">
        <v>0</v>
      </c>
      <c r="H106" s="35">
        <v>6</v>
      </c>
      <c r="I106" s="57">
        <v>0</v>
      </c>
      <c r="J106" s="57">
        <v>0</v>
      </c>
      <c r="K106" s="39">
        <v>163460335.75</v>
      </c>
      <c r="L106" s="34">
        <f t="shared" si="60"/>
        <v>6.7622826973454825E-4</v>
      </c>
      <c r="M106" s="39">
        <v>0</v>
      </c>
      <c r="N106" s="39">
        <v>0</v>
      </c>
      <c r="O106" s="35">
        <v>6</v>
      </c>
      <c r="P106" s="57">
        <v>0</v>
      </c>
      <c r="Q106" s="57">
        <v>0</v>
      </c>
      <c r="R106" s="62">
        <f t="shared" si="47"/>
        <v>1.6622351540545972E-5</v>
      </c>
      <c r="S106" s="62" t="e">
        <f t="shared" si="48"/>
        <v>#DIV/0!</v>
      </c>
      <c r="T106" s="62">
        <f t="shared" si="49"/>
        <v>0</v>
      </c>
      <c r="U106" s="63">
        <f t="shared" si="50"/>
        <v>0</v>
      </c>
      <c r="V106" s="64">
        <f t="shared" si="51"/>
        <v>0</v>
      </c>
    </row>
    <row r="107" spans="1:22" ht="13.5" customHeight="1">
      <c r="A107" s="167">
        <v>96</v>
      </c>
      <c r="B107" s="149" t="s">
        <v>162</v>
      </c>
      <c r="C107" s="148" t="s">
        <v>49</v>
      </c>
      <c r="D107" s="39">
        <v>15447485651.02</v>
      </c>
      <c r="E107" s="34">
        <f t="shared" si="61"/>
        <v>6.3641819318065174E-2</v>
      </c>
      <c r="F107" s="67">
        <v>259.24</v>
      </c>
      <c r="G107" s="67">
        <v>259.24</v>
      </c>
      <c r="H107" s="35">
        <v>5953</v>
      </c>
      <c r="I107" s="57">
        <v>0</v>
      </c>
      <c r="J107" s="57">
        <v>0</v>
      </c>
      <c r="K107" s="39">
        <v>15439916446.370001</v>
      </c>
      <c r="L107" s="34">
        <f t="shared" si="60"/>
        <v>6.3874259987715593E-2</v>
      </c>
      <c r="M107" s="67">
        <v>259.25</v>
      </c>
      <c r="N107" s="67">
        <v>259.25</v>
      </c>
      <c r="O107" s="35">
        <v>5946</v>
      </c>
      <c r="P107" s="57">
        <v>0</v>
      </c>
      <c r="Q107" s="57">
        <v>0</v>
      </c>
      <c r="R107" s="62">
        <f t="shared" si="47"/>
        <v>-4.8999590101576321E-4</v>
      </c>
      <c r="S107" s="62">
        <f t="shared" si="48"/>
        <v>3.8574294090383062E-5</v>
      </c>
      <c r="T107" s="62">
        <f t="shared" si="49"/>
        <v>-1.1758777087182933E-3</v>
      </c>
      <c r="U107" s="63">
        <f t="shared" si="50"/>
        <v>0</v>
      </c>
      <c r="V107" s="64">
        <f t="shared" si="51"/>
        <v>0</v>
      </c>
    </row>
    <row r="108" spans="1:22" ht="13.5" customHeight="1">
      <c r="A108" s="167">
        <v>97</v>
      </c>
      <c r="B108" s="149" t="s">
        <v>163</v>
      </c>
      <c r="C108" s="148" t="s">
        <v>49</v>
      </c>
      <c r="D108" s="39">
        <v>978067323.09000003</v>
      </c>
      <c r="E108" s="34">
        <f t="shared" si="61"/>
        <v>4.029522037645482E-3</v>
      </c>
      <c r="F108" s="38">
        <v>10398.34</v>
      </c>
      <c r="G108" s="38">
        <v>10439.1</v>
      </c>
      <c r="H108" s="35">
        <v>27</v>
      </c>
      <c r="I108" s="57">
        <v>2E-3</v>
      </c>
      <c r="J108" s="57">
        <v>0.1077</v>
      </c>
      <c r="K108" s="39">
        <v>1000900591.86</v>
      </c>
      <c r="L108" s="34">
        <f t="shared" si="60"/>
        <v>4.1406820333768531E-3</v>
      </c>
      <c r="M108" s="38">
        <v>10430.209999999999</v>
      </c>
      <c r="N108" s="38">
        <v>10470.48</v>
      </c>
      <c r="O108" s="35">
        <v>27</v>
      </c>
      <c r="P108" s="57">
        <v>3.5999999999999999E-3</v>
      </c>
      <c r="Q108" s="57">
        <v>0.11169999999999999</v>
      </c>
      <c r="R108" s="62">
        <f t="shared" si="47"/>
        <v>2.3345293550819206E-2</v>
      </c>
      <c r="S108" s="62">
        <f t="shared" si="48"/>
        <v>3.0060062649078178E-3</v>
      </c>
      <c r="T108" s="62">
        <f t="shared" si="49"/>
        <v>0</v>
      </c>
      <c r="U108" s="63">
        <f t="shared" si="50"/>
        <v>1.5999999999999999E-3</v>
      </c>
      <c r="V108" s="64">
        <f t="shared" si="51"/>
        <v>3.9999999999999897E-3</v>
      </c>
    </row>
    <row r="109" spans="1:22" ht="15" customHeight="1">
      <c r="A109" s="167">
        <v>98</v>
      </c>
      <c r="B109" s="149" t="s">
        <v>164</v>
      </c>
      <c r="C109" s="148" t="s">
        <v>49</v>
      </c>
      <c r="D109" s="39">
        <v>6909339361.7299995</v>
      </c>
      <c r="E109" s="34">
        <f t="shared" si="61"/>
        <v>2.8465663422537726E-2</v>
      </c>
      <c r="F109" s="67">
        <v>166.35</v>
      </c>
      <c r="G109" s="67">
        <v>166.35</v>
      </c>
      <c r="H109" s="35">
        <v>5945</v>
      </c>
      <c r="I109" s="57">
        <v>3.0000000000000001E-3</v>
      </c>
      <c r="J109" s="57">
        <v>3.0499999999999999E-2</v>
      </c>
      <c r="K109" s="39">
        <v>6847992488.8699999</v>
      </c>
      <c r="L109" s="34">
        <f t="shared" si="60"/>
        <v>2.8329845834809762E-2</v>
      </c>
      <c r="M109" s="67">
        <v>166.71</v>
      </c>
      <c r="N109" s="67">
        <v>166.71</v>
      </c>
      <c r="O109" s="35">
        <v>5968</v>
      </c>
      <c r="P109" s="57">
        <v>3.0000000000000001E-3</v>
      </c>
      <c r="Q109" s="57">
        <v>3.3599999999999998E-2</v>
      </c>
      <c r="R109" s="62">
        <f t="shared" si="47"/>
        <v>-8.8788333657183801E-3</v>
      </c>
      <c r="S109" s="62">
        <f t="shared" si="48"/>
        <v>2.164111812443725E-3</v>
      </c>
      <c r="T109" s="62">
        <f t="shared" si="49"/>
        <v>3.8687973086627418E-3</v>
      </c>
      <c r="U109" s="63">
        <f t="shared" si="50"/>
        <v>0</v>
      </c>
      <c r="V109" s="64">
        <f t="shared" si="51"/>
        <v>3.0999999999999986E-3</v>
      </c>
    </row>
    <row r="110" spans="1:22" ht="15" customHeight="1">
      <c r="A110" s="167">
        <v>99</v>
      </c>
      <c r="B110" s="149" t="s">
        <v>165</v>
      </c>
      <c r="C110" s="148" t="s">
        <v>49</v>
      </c>
      <c r="D110" s="39">
        <v>5675285982.6499996</v>
      </c>
      <c r="E110" s="34">
        <f t="shared" si="61"/>
        <v>2.338150902003331E-2</v>
      </c>
      <c r="F110" s="67">
        <v>388.08</v>
      </c>
      <c r="G110" s="67">
        <v>388.08</v>
      </c>
      <c r="H110" s="35">
        <v>11666</v>
      </c>
      <c r="I110" s="57">
        <v>0</v>
      </c>
      <c r="J110" s="57">
        <v>7.4000000000000003E-3</v>
      </c>
      <c r="K110" s="39">
        <v>5701986926.6300001</v>
      </c>
      <c r="L110" s="34">
        <f t="shared" si="60"/>
        <v>2.3588870876548533E-2</v>
      </c>
      <c r="M110" s="67">
        <v>388.08</v>
      </c>
      <c r="N110" s="67">
        <v>388.08</v>
      </c>
      <c r="O110" s="35">
        <v>11695</v>
      </c>
      <c r="P110" s="57">
        <v>0</v>
      </c>
      <c r="Q110" s="57">
        <v>7.4000000000000003E-3</v>
      </c>
      <c r="R110" s="62">
        <f t="shared" si="47"/>
        <v>4.7047750653673396E-3</v>
      </c>
      <c r="S110" s="62">
        <f t="shared" si="48"/>
        <v>0</v>
      </c>
      <c r="T110" s="62">
        <f t="shared" si="49"/>
        <v>2.4858563346476944E-3</v>
      </c>
      <c r="U110" s="63">
        <f t="shared" si="50"/>
        <v>0</v>
      </c>
      <c r="V110" s="64">
        <f t="shared" si="51"/>
        <v>0</v>
      </c>
    </row>
    <row r="111" spans="1:22" ht="15" customHeight="1">
      <c r="A111" s="163">
        <v>100</v>
      </c>
      <c r="B111" s="164" t="s">
        <v>166</v>
      </c>
      <c r="C111" s="148" t="s">
        <v>117</v>
      </c>
      <c r="D111" s="39">
        <v>117504912.89</v>
      </c>
      <c r="E111" s="34">
        <f t="shared" si="61"/>
        <v>4.8410638495311234E-4</v>
      </c>
      <c r="F111" s="67">
        <v>117.55759999999999</v>
      </c>
      <c r="G111" s="67">
        <v>117.55759999999999</v>
      </c>
      <c r="H111" s="35">
        <v>28</v>
      </c>
      <c r="I111" s="57">
        <v>3.5000000000000001E-3</v>
      </c>
      <c r="J111" s="57">
        <v>0.1943</v>
      </c>
      <c r="K111" s="39">
        <v>116723519.13</v>
      </c>
      <c r="L111" s="34">
        <f t="shared" si="60"/>
        <v>4.8288010064611252E-4</v>
      </c>
      <c r="M111" s="67">
        <v>117.64400000000001</v>
      </c>
      <c r="N111" s="67">
        <v>117.44</v>
      </c>
      <c r="O111" s="35">
        <v>27</v>
      </c>
      <c r="P111" s="57">
        <v>-6.4109589041086597E-4</v>
      </c>
      <c r="Q111" s="57">
        <v>0.18187400000000001</v>
      </c>
      <c r="R111" s="62">
        <f t="shared" ref="R111" si="62">((K111-D111)/D111)</f>
        <v>-6.649881615856286E-3</v>
      </c>
      <c r="S111" s="62">
        <f t="shared" ref="S111" si="63">((N111-G111)/G111)</f>
        <v>-1.0003606742566703E-3</v>
      </c>
      <c r="T111" s="62">
        <f t="shared" ref="T111" si="64">((O111-H111)/H111)</f>
        <v>-3.5714285714285712E-2</v>
      </c>
      <c r="U111" s="63">
        <f t="shared" ref="U111" si="65">P111-I111</f>
        <v>-4.1410958904108657E-3</v>
      </c>
      <c r="V111" s="64">
        <f t="shared" ref="V111" si="66">Q111-J111</f>
        <v>-1.2425999999999993E-2</v>
      </c>
    </row>
    <row r="112" spans="1:22">
      <c r="A112" s="167">
        <v>101</v>
      </c>
      <c r="B112" s="149" t="s">
        <v>167</v>
      </c>
      <c r="C112" s="148" t="s">
        <v>52</v>
      </c>
      <c r="D112" s="39">
        <v>79921095711.789993</v>
      </c>
      <c r="E112" s="34">
        <f t="shared" si="61"/>
        <v>0.32926549005440775</v>
      </c>
      <c r="F112" s="39">
        <v>2.0099100000000001</v>
      </c>
      <c r="G112" s="39">
        <v>2.0099100000000001</v>
      </c>
      <c r="H112" s="35">
        <v>6971</v>
      </c>
      <c r="I112" s="57">
        <v>1.6999999999999999E-3</v>
      </c>
      <c r="J112" s="57">
        <v>8.5099999999999995E-2</v>
      </c>
      <c r="K112" s="39">
        <v>80006689892.050003</v>
      </c>
      <c r="L112" s="34">
        <f t="shared" si="60"/>
        <v>0.3309841817261136</v>
      </c>
      <c r="M112" s="39">
        <v>2.0120300000000002</v>
      </c>
      <c r="N112" s="39">
        <v>2.0120300000000002</v>
      </c>
      <c r="O112" s="35">
        <v>6987</v>
      </c>
      <c r="P112" s="57">
        <v>1.1000000000000001E-3</v>
      </c>
      <c r="Q112" s="57">
        <v>8.48E-2</v>
      </c>
      <c r="R112" s="62">
        <f t="shared" si="47"/>
        <v>1.0709835682017918E-3</v>
      </c>
      <c r="S112" s="62">
        <f t="shared" si="48"/>
        <v>1.0547735968277792E-3</v>
      </c>
      <c r="T112" s="62">
        <f t="shared" si="49"/>
        <v>2.2952230669918234E-3</v>
      </c>
      <c r="U112" s="63">
        <f t="shared" si="50"/>
        <v>-5.9999999999999984E-4</v>
      </c>
      <c r="V112" s="64">
        <f t="shared" si="51"/>
        <v>-2.9999999999999472E-4</v>
      </c>
    </row>
    <row r="113" spans="1:28">
      <c r="A113" s="167">
        <v>102</v>
      </c>
      <c r="B113" s="149" t="s">
        <v>168</v>
      </c>
      <c r="C113" s="148" t="s">
        <v>52</v>
      </c>
      <c r="D113" s="39">
        <v>66535912243.419998</v>
      </c>
      <c r="E113" s="34">
        <f t="shared" si="61"/>
        <v>0.27412011254263724</v>
      </c>
      <c r="F113" s="39">
        <v>132.75697</v>
      </c>
      <c r="G113" s="39">
        <v>132.75697</v>
      </c>
      <c r="H113" s="35">
        <v>1434</v>
      </c>
      <c r="I113" s="57">
        <v>2.5999999999999999E-3</v>
      </c>
      <c r="J113" s="57">
        <v>0.1575</v>
      </c>
      <c r="K113" s="39">
        <v>66659031250.389999</v>
      </c>
      <c r="L113" s="34">
        <f t="shared" si="60"/>
        <v>0.27576550089542079</v>
      </c>
      <c r="M113" s="39">
        <v>133.02556000000001</v>
      </c>
      <c r="N113" s="39">
        <v>133.02556000000001</v>
      </c>
      <c r="O113" s="35">
        <v>1451</v>
      </c>
      <c r="P113" s="57">
        <v>2E-3</v>
      </c>
      <c r="Q113" s="57">
        <v>0.15759999999999999</v>
      </c>
      <c r="R113" s="62">
        <f t="shared" ref="R113:R115" si="67">((K113-D113)/D113)</f>
        <v>1.8504143524713896E-3</v>
      </c>
      <c r="S113" s="62">
        <f t="shared" ref="S113:S115" si="68">((N113-G113)/G113)</f>
        <v>2.0231706101760038E-3</v>
      </c>
      <c r="T113" s="62">
        <f t="shared" ref="T113:T115" si="69">((O113-H113)/H113)</f>
        <v>1.1854951185495118E-2</v>
      </c>
      <c r="U113" s="63">
        <f t="shared" ref="U113:U115" si="70">P113-I113</f>
        <v>-5.9999999999999984E-4</v>
      </c>
      <c r="V113" s="64">
        <f t="shared" ref="V113:V115" si="71">Q113-J113</f>
        <v>9.9999999999988987E-5</v>
      </c>
    </row>
    <row r="114" spans="1:28">
      <c r="A114" s="167">
        <v>103</v>
      </c>
      <c r="B114" s="149" t="s">
        <v>169</v>
      </c>
      <c r="C114" s="149" t="s">
        <v>170</v>
      </c>
      <c r="D114" s="39">
        <v>116271486.48</v>
      </c>
      <c r="E114" s="34">
        <f t="shared" si="61"/>
        <v>4.790248135892855E-4</v>
      </c>
      <c r="F114" s="39">
        <v>117.32</v>
      </c>
      <c r="G114" s="39">
        <v>117.32</v>
      </c>
      <c r="H114" s="69">
        <v>88</v>
      </c>
      <c r="I114" s="71">
        <v>0</v>
      </c>
      <c r="J114" s="71">
        <v>0</v>
      </c>
      <c r="K114" s="39">
        <v>116623675.68000001</v>
      </c>
      <c r="L114" s="34">
        <f t="shared" si="60"/>
        <v>4.824670526542065E-4</v>
      </c>
      <c r="M114" s="39">
        <v>117.6</v>
      </c>
      <c r="N114" s="39">
        <v>117.6</v>
      </c>
      <c r="O114" s="69">
        <v>88</v>
      </c>
      <c r="P114" s="71">
        <v>2.8E-3</v>
      </c>
      <c r="Q114" s="71">
        <v>8.5000000000000006E-3</v>
      </c>
      <c r="R114" s="62">
        <f t="shared" si="67"/>
        <v>3.0290246616962572E-3</v>
      </c>
      <c r="S114" s="62">
        <f t="shared" si="68"/>
        <v>2.3866348448687447E-3</v>
      </c>
      <c r="T114" s="62">
        <f t="shared" si="69"/>
        <v>0</v>
      </c>
      <c r="U114" s="63">
        <f t="shared" si="70"/>
        <v>2.8E-3</v>
      </c>
      <c r="V114" s="64">
        <f t="shared" si="71"/>
        <v>8.5000000000000006E-3</v>
      </c>
    </row>
    <row r="115" spans="1:28">
      <c r="A115" s="167">
        <v>104</v>
      </c>
      <c r="B115" s="149" t="s">
        <v>171</v>
      </c>
      <c r="C115" s="148" t="s">
        <v>124</v>
      </c>
      <c r="D115" s="39">
        <v>513746181.31999999</v>
      </c>
      <c r="E115" s="34">
        <f t="shared" si="61"/>
        <v>2.1165736862008015E-3</v>
      </c>
      <c r="F115" s="39">
        <v>1.45</v>
      </c>
      <c r="G115" s="39">
        <v>1.45</v>
      </c>
      <c r="H115" s="35">
        <v>873</v>
      </c>
      <c r="I115" s="57">
        <v>2E-3</v>
      </c>
      <c r="J115" s="57">
        <v>6.13E-2</v>
      </c>
      <c r="K115" s="39">
        <v>515155293.88</v>
      </c>
      <c r="L115" s="34">
        <f t="shared" si="60"/>
        <v>2.1311749509548227E-3</v>
      </c>
      <c r="M115" s="39">
        <v>1.46</v>
      </c>
      <c r="N115" s="39">
        <v>1.46</v>
      </c>
      <c r="O115" s="35">
        <v>876</v>
      </c>
      <c r="P115" s="57">
        <v>2.8E-3</v>
      </c>
      <c r="Q115" s="57">
        <v>6.3E-2</v>
      </c>
      <c r="R115" s="62">
        <f t="shared" si="67"/>
        <v>2.7428185575598478E-3</v>
      </c>
      <c r="S115" s="62">
        <f t="shared" si="68"/>
        <v>6.896551724137937E-3</v>
      </c>
      <c r="T115" s="62">
        <f t="shared" si="69"/>
        <v>3.4364261168384879E-3</v>
      </c>
      <c r="U115" s="63">
        <f t="shared" si="70"/>
        <v>7.9999999999999993E-4</v>
      </c>
      <c r="V115" s="64">
        <f t="shared" si="71"/>
        <v>1.7000000000000001E-3</v>
      </c>
    </row>
    <row r="116" spans="1:28">
      <c r="A116" s="167">
        <v>105</v>
      </c>
      <c r="B116" s="149" t="s">
        <v>172</v>
      </c>
      <c r="C116" s="148" t="s">
        <v>126</v>
      </c>
      <c r="D116" s="39">
        <v>2023037286.99</v>
      </c>
      <c r="E116" s="34">
        <f t="shared" si="61"/>
        <v>8.3346750662833587E-3</v>
      </c>
      <c r="F116" s="67">
        <v>30.959299999999999</v>
      </c>
      <c r="G116" s="67">
        <v>30.959299999999999</v>
      </c>
      <c r="H116" s="35">
        <v>1334</v>
      </c>
      <c r="I116" s="57">
        <v>0.1467</v>
      </c>
      <c r="J116" s="57">
        <v>0.1467</v>
      </c>
      <c r="K116" s="39">
        <v>2024574232.8900001</v>
      </c>
      <c r="L116" s="34">
        <f t="shared" si="60"/>
        <v>8.3755751765385387E-3</v>
      </c>
      <c r="M116" s="67">
        <v>31.056699999999999</v>
      </c>
      <c r="N116" s="67">
        <v>31.056699999999999</v>
      </c>
      <c r="O116" s="35">
        <v>1330</v>
      </c>
      <c r="P116" s="57">
        <v>0.14779999999999999</v>
      </c>
      <c r="Q116" s="57">
        <v>0.14779999999999999</v>
      </c>
      <c r="R116" s="62">
        <f t="shared" si="47"/>
        <v>7.5972198331888312E-4</v>
      </c>
      <c r="S116" s="62">
        <f t="shared" si="48"/>
        <v>3.1460659640237467E-3</v>
      </c>
      <c r="T116" s="62">
        <f t="shared" si="49"/>
        <v>-2.9985007496251873E-3</v>
      </c>
      <c r="U116" s="63">
        <f t="shared" si="50"/>
        <v>1.0999999999999899E-3</v>
      </c>
      <c r="V116" s="64">
        <f t="shared" si="51"/>
        <v>1.0999999999999899E-3</v>
      </c>
    </row>
    <row r="117" spans="1:28">
      <c r="A117" s="42"/>
      <c r="B117" s="43"/>
      <c r="C117" s="44" t="s">
        <v>55</v>
      </c>
      <c r="D117" s="66">
        <f>SUM(D78:D116)</f>
        <v>242725393719.77261</v>
      </c>
      <c r="E117" s="46">
        <f>(D117/$D$236)</f>
        <v>2.9026716752638806E-2</v>
      </c>
      <c r="F117" s="47"/>
      <c r="G117" s="52"/>
      <c r="H117" s="49">
        <f>SUM(H78:H116)</f>
        <v>64135</v>
      </c>
      <c r="I117" s="60"/>
      <c r="J117" s="60"/>
      <c r="K117" s="66">
        <f>SUM(K78:K116)</f>
        <v>241723605867.83209</v>
      </c>
      <c r="L117" s="46">
        <f>(K117/$K$236)</f>
        <v>2.871239919132745E-2</v>
      </c>
      <c r="M117" s="47"/>
      <c r="N117" s="52"/>
      <c r="O117" s="49">
        <f>SUM(O78:O116)</f>
        <v>64330</v>
      </c>
      <c r="P117" s="60"/>
      <c r="Q117" s="60"/>
      <c r="R117" s="62">
        <f t="shared" si="47"/>
        <v>-4.1272478193900433E-3</v>
      </c>
      <c r="S117" s="62" t="e">
        <f t="shared" si="48"/>
        <v>#DIV/0!</v>
      </c>
      <c r="T117" s="62">
        <f t="shared" si="49"/>
        <v>3.0404615264676073E-3</v>
      </c>
      <c r="U117" s="63">
        <f t="shared" si="50"/>
        <v>0</v>
      </c>
      <c r="V117" s="64">
        <f t="shared" si="51"/>
        <v>0</v>
      </c>
    </row>
    <row r="118" spans="1:28" ht="3.75" customHeight="1">
      <c r="A118" s="42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</row>
    <row r="119" spans="1:28" ht="15" customHeight="1">
      <c r="A119" s="200" t="s">
        <v>173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</row>
    <row r="120" spans="1:28">
      <c r="A120" s="199" t="s">
        <v>174</v>
      </c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Z120" s="72"/>
      <c r="AB120" s="74"/>
    </row>
    <row r="121" spans="1:28" ht="16.5" customHeight="1">
      <c r="A121" s="167">
        <v>106</v>
      </c>
      <c r="B121" s="149" t="s">
        <v>175</v>
      </c>
      <c r="C121" s="148" t="s">
        <v>19</v>
      </c>
      <c r="D121" s="39">
        <v>3426846916.3400002</v>
      </c>
      <c r="E121" s="34">
        <f t="shared" ref="E121:E126" si="72">(D121/$D$160)</f>
        <v>1.8768806184147394E-3</v>
      </c>
      <c r="F121" s="39">
        <v>159496.90950929999</v>
      </c>
      <c r="G121" s="39">
        <v>159496.90950929999</v>
      </c>
      <c r="H121" s="35">
        <v>192</v>
      </c>
      <c r="I121" s="57">
        <v>6.1000000000000004E-3</v>
      </c>
      <c r="J121" s="57">
        <v>1.9199999999999998E-2</v>
      </c>
      <c r="K121" s="39">
        <v>3653416496.4000001</v>
      </c>
      <c r="L121" s="34">
        <f t="shared" ref="L121:L137" si="73">(K121/$K$160)</f>
        <v>2.0246251146750225E-3</v>
      </c>
      <c r="M121" s="73">
        <f>116.1618*W140</f>
        <v>157166.9154</v>
      </c>
      <c r="N121" s="39">
        <f>116.1618*W140</f>
        <v>157166.9154</v>
      </c>
      <c r="O121" s="35">
        <v>192</v>
      </c>
      <c r="P121" s="57">
        <v>-5.0000000000000001E-3</v>
      </c>
      <c r="Q121" s="57">
        <v>1.4200000000000001E-2</v>
      </c>
      <c r="R121" s="62">
        <f>((K121-D121)/D121)</f>
        <v>6.6116049415473943E-2</v>
      </c>
      <c r="S121" s="62">
        <f>((N121-G121)/G121)</f>
        <v>-1.4608396591936074E-2</v>
      </c>
      <c r="T121" s="62">
        <f>((O121-H121)/H121)</f>
        <v>0</v>
      </c>
      <c r="U121" s="62">
        <f>P121-I121</f>
        <v>-1.11E-2</v>
      </c>
      <c r="V121" s="109">
        <f>Q121-J121</f>
        <v>-4.9999999999999975E-3</v>
      </c>
      <c r="X121" s="72"/>
      <c r="Y121" s="75"/>
      <c r="Z121" s="72"/>
      <c r="AA121" s="76"/>
    </row>
    <row r="122" spans="1:28" ht="16.5" customHeight="1">
      <c r="A122" s="167">
        <v>107</v>
      </c>
      <c r="B122" s="149" t="s">
        <v>176</v>
      </c>
      <c r="C122" s="148" t="s">
        <v>59</v>
      </c>
      <c r="D122" s="39">
        <v>5472046125.5166292</v>
      </c>
      <c r="E122" s="34">
        <f t="shared" si="72"/>
        <v>2.9970341736253493E-3</v>
      </c>
      <c r="F122" s="39">
        <v>140148.18114</v>
      </c>
      <c r="G122" s="39">
        <v>140148.18114</v>
      </c>
      <c r="H122" s="35">
        <v>104</v>
      </c>
      <c r="I122" s="57">
        <v>9.1750000000000009E-3</v>
      </c>
      <c r="J122" s="57">
        <v>2.5822000000000001E-2</v>
      </c>
      <c r="K122" s="39">
        <f>4021550.71*W140</f>
        <v>5441158110.6300001</v>
      </c>
      <c r="L122" s="34">
        <f t="shared" si="73"/>
        <v>3.0153434119965317E-3</v>
      </c>
      <c r="M122" s="39">
        <f>102.87*W140</f>
        <v>139183.11000000002</v>
      </c>
      <c r="N122" s="39">
        <f>102.87*W140</f>
        <v>139183.11000000002</v>
      </c>
      <c r="O122" s="35">
        <v>104</v>
      </c>
      <c r="P122" s="57">
        <v>2.908E-3</v>
      </c>
      <c r="Q122" s="57">
        <v>2.8729999999999999E-2</v>
      </c>
      <c r="R122" s="63">
        <f>((K122-D122)/D122)</f>
        <v>-5.6446919814136052E-3</v>
      </c>
      <c r="S122" s="63">
        <f>((N122-G122)/G122)</f>
        <v>-6.8860768092019308E-3</v>
      </c>
      <c r="T122" s="63">
        <f>((O122-H122)/H122)</f>
        <v>0</v>
      </c>
      <c r="U122" s="63">
        <f>P122-I122</f>
        <v>-6.2670000000000009E-3</v>
      </c>
      <c r="V122" s="64">
        <f>Q122-J122</f>
        <v>2.9079999999999974E-3</v>
      </c>
      <c r="X122" s="72"/>
      <c r="Y122" s="75"/>
      <c r="Z122" s="72"/>
      <c r="AA122" s="76"/>
    </row>
    <row r="123" spans="1:28">
      <c r="A123" s="167">
        <v>108</v>
      </c>
      <c r="B123" s="149" t="s">
        <v>177</v>
      </c>
      <c r="C123" s="148" t="s">
        <v>23</v>
      </c>
      <c r="D123" s="39">
        <v>17341246860.98772</v>
      </c>
      <c r="E123" s="34">
        <f t="shared" si="72"/>
        <v>9.4977835097738127E-3</v>
      </c>
      <c r="F123" s="39">
        <v>1664.2084172999998</v>
      </c>
      <c r="G123" s="39">
        <v>1664.2084172999998</v>
      </c>
      <c r="H123" s="35">
        <v>334</v>
      </c>
      <c r="I123" s="57">
        <v>-1.7100000000000001E-2</v>
      </c>
      <c r="J123" s="57">
        <v>4.53E-2</v>
      </c>
      <c r="K123" s="39">
        <f>12874004.22*FX_RATE</f>
        <v>17418527709.66</v>
      </c>
      <c r="L123" s="34">
        <f t="shared" si="73"/>
        <v>9.6528793518042069E-3</v>
      </c>
      <c r="M123" s="39">
        <f>1.2199*W140</f>
        <v>1650.5246999999999</v>
      </c>
      <c r="N123" s="39">
        <f>1.2199*W140</f>
        <v>1650.5246999999999</v>
      </c>
      <c r="O123" s="35">
        <v>335</v>
      </c>
      <c r="P123" s="57">
        <v>7.7100000000000002E-2</v>
      </c>
      <c r="Q123" s="57">
        <v>4.82E-2</v>
      </c>
      <c r="R123" s="63">
        <f t="shared" ref="R123:R135" si="74">((K123-D123)/D123)</f>
        <v>4.4564758977127901E-3</v>
      </c>
      <c r="S123" s="63">
        <f t="shared" ref="S123:S135" si="75">((N123-G123)/G123)</f>
        <v>-8.2223579437245408E-3</v>
      </c>
      <c r="T123" s="63">
        <f t="shared" ref="T123:T135" si="76">((O123-H123)/H123)</f>
        <v>2.9940119760479044E-3</v>
      </c>
      <c r="U123" s="63">
        <f t="shared" ref="U123:U135" si="77">P123-I123</f>
        <v>9.4200000000000006E-2</v>
      </c>
      <c r="V123" s="64">
        <f t="shared" ref="V123:V135" si="78">Q123-J123</f>
        <v>2.8999999999999998E-3</v>
      </c>
    </row>
    <row r="124" spans="1:28">
      <c r="A124" s="167">
        <v>109</v>
      </c>
      <c r="B124" s="149" t="s">
        <v>178</v>
      </c>
      <c r="C124" s="148" t="s">
        <v>23</v>
      </c>
      <c r="D124" s="39">
        <v>4255078316.0889297</v>
      </c>
      <c r="E124" s="34">
        <f t="shared" si="72"/>
        <v>2.3305021252112935E-3</v>
      </c>
      <c r="F124" s="39">
        <v>1440.4194519</v>
      </c>
      <c r="G124" s="39">
        <v>1440.4194519</v>
      </c>
      <c r="H124" s="35">
        <v>121</v>
      </c>
      <c r="I124" s="57">
        <v>1.4800000000000001E-2</v>
      </c>
      <c r="J124" s="57">
        <v>4.8099999999999997E-2</v>
      </c>
      <c r="K124" s="39">
        <f>3118870.4*W140</f>
        <v>4219831651.1999998</v>
      </c>
      <c r="L124" s="34">
        <f t="shared" si="73"/>
        <v>2.3385171521338316E-3</v>
      </c>
      <c r="M124" s="39">
        <f>1.0555*W140</f>
        <v>1428.0915000000002</v>
      </c>
      <c r="N124" s="39">
        <f>1.0555*W140</f>
        <v>1428.0915000000002</v>
      </c>
      <c r="O124" s="35">
        <v>122</v>
      </c>
      <c r="P124" s="57">
        <v>5.9299999999999999E-2</v>
      </c>
      <c r="Q124" s="57">
        <v>4.9099999999999998E-2</v>
      </c>
      <c r="R124" s="63">
        <f t="shared" si="74"/>
        <v>-8.2834350558621313E-3</v>
      </c>
      <c r="S124" s="63">
        <f t="shared" ref="S124" si="79">((N124-G124)/G124)</f>
        <v>-8.5585847120701383E-3</v>
      </c>
      <c r="T124" s="63">
        <f t="shared" ref="T124" si="80">((O124-H124)/H124)</f>
        <v>8.2644628099173556E-3</v>
      </c>
      <c r="U124" s="63">
        <f t="shared" ref="U124" si="81">P124-I124</f>
        <v>4.4499999999999998E-2</v>
      </c>
      <c r="V124" s="64">
        <f t="shared" ref="V124" si="82">Q124-J124</f>
        <v>1.0000000000000009E-3</v>
      </c>
    </row>
    <row r="125" spans="1:28">
      <c r="A125" s="167">
        <v>110</v>
      </c>
      <c r="B125" s="149" t="s">
        <v>179</v>
      </c>
      <c r="C125" s="148" t="s">
        <v>27</v>
      </c>
      <c r="D125" s="39">
        <v>47596926696.800247</v>
      </c>
      <c r="E125" s="34">
        <f t="shared" si="72"/>
        <v>2.6068789004658321E-2</v>
      </c>
      <c r="F125" s="39">
        <v>1704.2390442000001</v>
      </c>
      <c r="G125" s="39">
        <v>1704.2390442000001</v>
      </c>
      <c r="H125" s="35">
        <v>654</v>
      </c>
      <c r="I125" s="57">
        <v>-1.95E-2</v>
      </c>
      <c r="J125" s="57">
        <v>2.0000000000000001E-4</v>
      </c>
      <c r="K125" s="39">
        <f xml:space="preserve"> 34412762.91*W140</f>
        <v>46560468217.229996</v>
      </c>
      <c r="L125" s="34">
        <f t="shared" si="73"/>
        <v>2.5802558617809172E-2</v>
      </c>
      <c r="M125" s="39">
        <f>1.2537*W140</f>
        <v>1696.2561000000001</v>
      </c>
      <c r="N125" s="39">
        <f xml:space="preserve"> 1.2537*W140</f>
        <v>1696.2561000000001</v>
      </c>
      <c r="O125" s="35">
        <v>653</v>
      </c>
      <c r="P125" s="57">
        <v>-1.4500000000000001E-2</v>
      </c>
      <c r="Q125" s="57">
        <v>5.3E-3</v>
      </c>
      <c r="R125" s="63">
        <f t="shared" si="74"/>
        <v>-2.1775743761202306E-2</v>
      </c>
      <c r="S125" s="63">
        <f t="shared" ref="S125:T128" si="83">((N125-G125)/G125)</f>
        <v>-4.6841692937197995E-3</v>
      </c>
      <c r="T125" s="63">
        <f t="shared" si="83"/>
        <v>-1.5290519877675841E-3</v>
      </c>
      <c r="U125" s="63">
        <f t="shared" si="77"/>
        <v>4.9999999999999992E-3</v>
      </c>
      <c r="V125" s="64">
        <f t="shared" si="78"/>
        <v>5.1000000000000004E-3</v>
      </c>
    </row>
    <row r="126" spans="1:28">
      <c r="A126" s="167">
        <v>111</v>
      </c>
      <c r="B126" s="149" t="s">
        <v>180</v>
      </c>
      <c r="C126" s="148" t="s">
        <v>68</v>
      </c>
      <c r="D126" s="39">
        <v>1464360226.0056</v>
      </c>
      <c r="E126" s="34">
        <f t="shared" si="72"/>
        <v>8.0202862680039488E-4</v>
      </c>
      <c r="F126" s="39">
        <v>1499.1674708999999</v>
      </c>
      <c r="G126" s="39">
        <v>1516.51863</v>
      </c>
      <c r="H126" s="35">
        <v>73</v>
      </c>
      <c r="I126" s="57">
        <v>-1.6000000000000001E-4</v>
      </c>
      <c r="J126" s="57">
        <v>0.10299999999999999</v>
      </c>
      <c r="K126" s="39">
        <f>998142.71 *W140</f>
        <v>1350487086.6299999</v>
      </c>
      <c r="L126" s="34">
        <f t="shared" si="73"/>
        <v>7.4840360394979688E-4</v>
      </c>
      <c r="M126" s="39">
        <f>1.0994*W140</f>
        <v>1487.4882</v>
      </c>
      <c r="N126" s="39">
        <f>1.11*W140</f>
        <v>1501.8300000000002</v>
      </c>
      <c r="O126" s="35">
        <v>73</v>
      </c>
      <c r="P126" s="57">
        <v>1.6999999999999999E-3</v>
      </c>
      <c r="Q126" s="57">
        <v>0.10299999999999999</v>
      </c>
      <c r="R126" s="63">
        <f t="shared" si="74"/>
        <v>-7.7763064957190819E-2</v>
      </c>
      <c r="S126" s="63">
        <f t="shared" si="83"/>
        <v>-9.685756382695988E-3</v>
      </c>
      <c r="T126" s="63">
        <f t="shared" si="83"/>
        <v>0</v>
      </c>
      <c r="U126" s="63">
        <f t="shared" si="77"/>
        <v>1.8599999999999999E-3</v>
      </c>
      <c r="V126" s="64">
        <f t="shared" si="78"/>
        <v>0</v>
      </c>
    </row>
    <row r="127" spans="1:28">
      <c r="A127" s="167">
        <v>112</v>
      </c>
      <c r="B127" s="149" t="s">
        <v>181</v>
      </c>
      <c r="C127" s="148" t="s">
        <v>29</v>
      </c>
      <c r="D127" s="39">
        <v>841103148.22644007</v>
      </c>
      <c r="E127" s="34">
        <v>0</v>
      </c>
      <c r="F127" s="39">
        <v>1966.6924035</v>
      </c>
      <c r="G127" s="39">
        <v>1966.6924035</v>
      </c>
      <c r="H127" s="35">
        <v>76</v>
      </c>
      <c r="I127" s="57">
        <v>3.4900000000000003E-4</v>
      </c>
      <c r="J127" s="57">
        <v>2.8799999999999999E-2</v>
      </c>
      <c r="K127" s="39">
        <f>616626.41*W140</f>
        <v>834295532.73000002</v>
      </c>
      <c r="L127" s="34">
        <f t="shared" si="73"/>
        <v>4.6234413467251105E-4</v>
      </c>
      <c r="M127" s="39">
        <f>1.4418*W140</f>
        <v>1950.7554</v>
      </c>
      <c r="N127" s="39">
        <f>1.4418*W140</f>
        <v>1950.7554</v>
      </c>
      <c r="O127" s="35">
        <v>76</v>
      </c>
      <c r="P127" s="57">
        <v>3.48E-4</v>
      </c>
      <c r="Q127" s="57">
        <v>2.9499999999999998E-2</v>
      </c>
      <c r="R127" s="63">
        <f t="shared" si="74"/>
        <v>-8.0936749681589839E-3</v>
      </c>
      <c r="S127" s="63">
        <f t="shared" si="83"/>
        <v>-8.1034550556242819E-3</v>
      </c>
      <c r="T127" s="63">
        <f t="shared" si="83"/>
        <v>0</v>
      </c>
      <c r="U127" s="63">
        <f t="shared" si="77"/>
        <v>-1.0000000000000243E-6</v>
      </c>
      <c r="V127" s="64">
        <f t="shared" si="78"/>
        <v>6.9999999999999923E-4</v>
      </c>
    </row>
    <row r="128" spans="1:28">
      <c r="A128" s="167">
        <v>113</v>
      </c>
      <c r="B128" s="149" t="s">
        <v>182</v>
      </c>
      <c r="C128" s="148" t="s">
        <v>78</v>
      </c>
      <c r="D128" s="39">
        <v>3129933605.70891</v>
      </c>
      <c r="E128" s="34">
        <f t="shared" ref="E128:E137" si="84">(D128/$D$160)</f>
        <v>1.7142614960326886E-3</v>
      </c>
      <c r="F128" s="39">
        <v>147922.04690999998</v>
      </c>
      <c r="G128" s="39">
        <v>148536.85175999999</v>
      </c>
      <c r="H128" s="35">
        <v>81</v>
      </c>
      <c r="I128" s="57">
        <v>2.9999999999999997E-4</v>
      </c>
      <c r="J128" s="57">
        <v>1.0500000000000001E-2</v>
      </c>
      <c r="K128" s="39">
        <f>2290922.27*W140</f>
        <v>3099617831.3099999</v>
      </c>
      <c r="L128" s="34">
        <f>(K128/$K$160)</f>
        <v>1.7177247963238141E-3</v>
      </c>
      <c r="M128" s="39">
        <f>108.27*W140</f>
        <v>146489.31</v>
      </c>
      <c r="N128" s="39">
        <f>108.72*W140</f>
        <v>147098.16</v>
      </c>
      <c r="O128" s="35">
        <v>81</v>
      </c>
      <c r="P128" s="57">
        <v>0</v>
      </c>
      <c r="Q128" s="57">
        <v>1.0500000000000001E-2</v>
      </c>
      <c r="R128" s="63">
        <f t="shared" si="74"/>
        <v>-9.6857563826960851E-3</v>
      </c>
      <c r="S128" s="63">
        <f t="shared" si="83"/>
        <v>-9.6857563826959828E-3</v>
      </c>
      <c r="T128" s="63">
        <f t="shared" si="83"/>
        <v>0</v>
      </c>
      <c r="U128" s="63">
        <f t="shared" si="77"/>
        <v>-2.9999999999999997E-4</v>
      </c>
      <c r="V128" s="64">
        <f t="shared" si="78"/>
        <v>0</v>
      </c>
    </row>
    <row r="129" spans="1:25">
      <c r="A129" s="167">
        <v>114</v>
      </c>
      <c r="B129" s="149" t="s">
        <v>183</v>
      </c>
      <c r="C129" s="148" t="s">
        <v>81</v>
      </c>
      <c r="D129" s="39">
        <v>4816698272.9099998</v>
      </c>
      <c r="E129" s="34">
        <f t="shared" si="84"/>
        <v>2.6381008121693326E-3</v>
      </c>
      <c r="F129" s="39">
        <v>1637.02</v>
      </c>
      <c r="G129" s="39">
        <v>1637.02</v>
      </c>
      <c r="H129" s="35">
        <v>63</v>
      </c>
      <c r="I129" s="57">
        <v>6.5799999999999997E-2</v>
      </c>
      <c r="J129" s="57">
        <v>3.7699999999999997E-2</v>
      </c>
      <c r="K129" s="39">
        <v>4819919338.6800003</v>
      </c>
      <c r="L129" s="34">
        <f t="shared" si="73"/>
        <v>2.6710696011295739E-3</v>
      </c>
      <c r="M129" s="39">
        <v>1637.4372599999999</v>
      </c>
      <c r="N129" s="39">
        <v>1637.4372599999999</v>
      </c>
      <c r="O129" s="35">
        <v>63</v>
      </c>
      <c r="P129" s="57">
        <v>6.5799999999999997E-2</v>
      </c>
      <c r="Q129" s="57">
        <v>3.95E-2</v>
      </c>
      <c r="R129" s="63">
        <f t="shared" si="74"/>
        <v>6.6872898975556066E-4</v>
      </c>
      <c r="S129" s="63">
        <f t="shared" si="75"/>
        <v>2.5488998301788736E-4</v>
      </c>
      <c r="T129" s="63">
        <f t="shared" si="76"/>
        <v>0</v>
      </c>
      <c r="U129" s="63">
        <f t="shared" si="77"/>
        <v>0</v>
      </c>
      <c r="V129" s="64">
        <f t="shared" si="78"/>
        <v>1.800000000000003E-3</v>
      </c>
      <c r="X129" s="73"/>
    </row>
    <row r="130" spans="1:25">
      <c r="A130" s="167">
        <v>115</v>
      </c>
      <c r="B130" s="149" t="s">
        <v>184</v>
      </c>
      <c r="C130" s="148" t="s">
        <v>31</v>
      </c>
      <c r="D130" s="39">
        <v>51851379182.538872</v>
      </c>
      <c r="E130" s="34">
        <f t="shared" si="84"/>
        <v>2.8398948363214559E-2</v>
      </c>
      <c r="F130" s="39">
        <v>177309.71873999998</v>
      </c>
      <c r="G130" s="39">
        <v>177350.70572999999</v>
      </c>
      <c r="H130" s="35">
        <v>2568</v>
      </c>
      <c r="I130" s="57">
        <v>1.5E-3</v>
      </c>
      <c r="J130" s="57">
        <v>1.4800000000000001E-2</v>
      </c>
      <c r="K130" s="39">
        <f>37841607.41*W140</f>
        <v>51199694825.729996</v>
      </c>
      <c r="L130" s="34">
        <f t="shared" si="73"/>
        <v>2.83734931700271E-2</v>
      </c>
      <c r="M130" s="39">
        <f>129.88*W140</f>
        <v>175727.63999999998</v>
      </c>
      <c r="N130" s="39">
        <f>129.92*W140</f>
        <v>175781.75999999998</v>
      </c>
      <c r="O130" s="35">
        <v>2567</v>
      </c>
      <c r="P130" s="57">
        <v>-8.0000000000000004E-4</v>
      </c>
      <c r="Q130" s="57">
        <v>1.5599999999999999E-2</v>
      </c>
      <c r="R130" s="63">
        <f t="shared" si="74"/>
        <v>-1.2568312879676169E-2</v>
      </c>
      <c r="S130" s="63">
        <f t="shared" si="75"/>
        <v>-8.8465716758329739E-3</v>
      </c>
      <c r="T130" s="63">
        <f t="shared" si="76"/>
        <v>-3.8940809968847351E-4</v>
      </c>
      <c r="U130" s="63">
        <f t="shared" si="77"/>
        <v>-2.3E-3</v>
      </c>
      <c r="V130" s="64">
        <f t="shared" si="78"/>
        <v>7.9999999999999863E-4</v>
      </c>
    </row>
    <row r="131" spans="1:25">
      <c r="A131" s="167">
        <v>116</v>
      </c>
      <c r="B131" s="150" t="s">
        <v>185</v>
      </c>
      <c r="C131" s="150" t="s">
        <v>31</v>
      </c>
      <c r="D131" s="39">
        <v>152246474379.76678</v>
      </c>
      <c r="E131" s="34">
        <f t="shared" si="84"/>
        <v>8.3385241290717019E-2</v>
      </c>
      <c r="F131" s="39">
        <v>172883.12382000001</v>
      </c>
      <c r="G131" s="39">
        <v>172951.43547</v>
      </c>
      <c r="H131" s="35">
        <v>972</v>
      </c>
      <c r="I131" s="57">
        <v>1.5E-3</v>
      </c>
      <c r="J131" s="57">
        <v>1.49E-2</v>
      </c>
      <c r="K131" s="39">
        <f>111690706.26*W140</f>
        <v>151117525569.78</v>
      </c>
      <c r="L131" s="34">
        <f t="shared" si="73"/>
        <v>8.3745266338399793E-2</v>
      </c>
      <c r="M131" s="39">
        <f>126.66*W140</f>
        <v>171370.97999999998</v>
      </c>
      <c r="N131" s="39">
        <f>126.71*W140</f>
        <v>171438.63</v>
      </c>
      <c r="O131" s="35">
        <v>972</v>
      </c>
      <c r="P131" s="57">
        <v>-8.9999999999999998E-4</v>
      </c>
      <c r="Q131" s="57">
        <v>1.5900000000000001E-2</v>
      </c>
      <c r="R131" s="63">
        <f t="shared" si="74"/>
        <v>-7.4152706299832755E-3</v>
      </c>
      <c r="S131" s="63">
        <f t="shared" si="75"/>
        <v>-8.7469957441457715E-3</v>
      </c>
      <c r="T131" s="63">
        <f t="shared" si="76"/>
        <v>0</v>
      </c>
      <c r="U131" s="63">
        <f t="shared" si="77"/>
        <v>-2.4000000000000002E-3</v>
      </c>
      <c r="V131" s="64">
        <f t="shared" si="78"/>
        <v>1.0000000000000009E-3</v>
      </c>
      <c r="X131" s="72"/>
    </row>
    <row r="132" spans="1:25">
      <c r="A132" s="163">
        <v>117</v>
      </c>
      <c r="B132" s="164" t="s">
        <v>186</v>
      </c>
      <c r="C132" s="148" t="s">
        <v>87</v>
      </c>
      <c r="D132" s="39">
        <v>1948958972.4065998</v>
      </c>
      <c r="E132" s="34">
        <f t="shared" si="84"/>
        <v>1.0674428740757101E-3</v>
      </c>
      <c r="F132" s="39">
        <v>1366.2329999999999</v>
      </c>
      <c r="G132" s="39">
        <v>1366.2329999999999</v>
      </c>
      <c r="H132" s="35">
        <v>13</v>
      </c>
      <c r="I132" s="57">
        <v>8.1500000000000003E-2</v>
      </c>
      <c r="J132" s="57">
        <v>8.2000000000000003E-2</v>
      </c>
      <c r="K132" s="39">
        <f>1346331.77*W140</f>
        <v>1821586884.8099999</v>
      </c>
      <c r="L132" s="34">
        <f>(K132/$K$160)</f>
        <v>1.0094744355545202E-3</v>
      </c>
      <c r="M132" s="39">
        <f>1*W140</f>
        <v>1353</v>
      </c>
      <c r="N132" s="39">
        <f>1*W140</f>
        <v>1353</v>
      </c>
      <c r="O132" s="35">
        <v>15</v>
      </c>
      <c r="P132" s="57">
        <v>9.3200000000000005E-2</v>
      </c>
      <c r="Q132" s="57">
        <v>8.43E-2</v>
      </c>
      <c r="R132" s="63">
        <f t="shared" ref="R132" si="85">((K132-D132)/D132)</f>
        <v>-6.5353909138127789E-2</v>
      </c>
      <c r="S132" s="63">
        <f t="shared" ref="S132" si="86">((N132-G132)/G132)</f>
        <v>-9.6857563826960313E-3</v>
      </c>
      <c r="T132" s="63">
        <f t="shared" si="76"/>
        <v>0.15384615384615385</v>
      </c>
      <c r="U132" s="63">
        <f t="shared" si="77"/>
        <v>1.1700000000000002E-2</v>
      </c>
      <c r="V132" s="64">
        <f t="shared" si="78"/>
        <v>2.2999999999999965E-3</v>
      </c>
    </row>
    <row r="133" spans="1:25">
      <c r="A133" s="167">
        <v>118</v>
      </c>
      <c r="B133" s="149" t="s">
        <v>187</v>
      </c>
      <c r="C133" s="148" t="s">
        <v>35</v>
      </c>
      <c r="D133" s="39">
        <v>259660682.45532688</v>
      </c>
      <c r="E133" s="34">
        <f t="shared" si="84"/>
        <v>1.4221589530041142E-4</v>
      </c>
      <c r="F133" s="39">
        <v>188536.60179419999</v>
      </c>
      <c r="G133" s="39">
        <v>188536.60179419999</v>
      </c>
      <c r="H133" s="35">
        <v>11</v>
      </c>
      <c r="I133" s="57">
        <v>1.9E-3</v>
      </c>
      <c r="J133" s="57">
        <v>2.01E-2</v>
      </c>
      <c r="K133" s="39">
        <f>190410.0716*W140</f>
        <v>257624826.8748</v>
      </c>
      <c r="L133" s="34">
        <f t="shared" si="73"/>
        <v>1.4276874677948494E-4</v>
      </c>
      <c r="M133" s="39">
        <f>138.2545 *W140</f>
        <v>187058.33850000001</v>
      </c>
      <c r="N133" s="39">
        <f>138.2545 *W140</f>
        <v>187058.33850000001</v>
      </c>
      <c r="O133" s="35">
        <v>11</v>
      </c>
      <c r="P133" s="57">
        <v>1.9E-3</v>
      </c>
      <c r="Q133" s="57">
        <v>2.1999999999999999E-2</v>
      </c>
      <c r="R133" s="63">
        <f t="shared" si="74"/>
        <v>-7.840446082464354E-3</v>
      </c>
      <c r="S133" s="63">
        <f t="shared" si="75"/>
        <v>-7.8407231281997815E-3</v>
      </c>
      <c r="T133" s="63">
        <f t="shared" si="76"/>
        <v>0</v>
      </c>
      <c r="U133" s="63">
        <f t="shared" si="77"/>
        <v>0</v>
      </c>
      <c r="V133" s="64">
        <f t="shared" si="78"/>
        <v>1.8999999999999989E-3</v>
      </c>
    </row>
    <row r="134" spans="1:25">
      <c r="A134" s="167">
        <v>119</v>
      </c>
      <c r="B134" s="149" t="s">
        <v>188</v>
      </c>
      <c r="C134" s="148" t="s">
        <v>41</v>
      </c>
      <c r="D134" s="39">
        <v>14688745385.491318</v>
      </c>
      <c r="E134" s="34">
        <f t="shared" si="84"/>
        <v>8.0450111125192399E-3</v>
      </c>
      <c r="F134" s="39">
        <v>2035.6871699999999</v>
      </c>
      <c r="G134" s="39">
        <v>2049.3494999999998</v>
      </c>
      <c r="H134" s="53">
        <v>120</v>
      </c>
      <c r="I134" s="60">
        <v>2.7000000000000001E-3</v>
      </c>
      <c r="J134" s="60">
        <v>4.3299999999999998E-2</v>
      </c>
      <c r="K134" s="39">
        <f>10797940.95*W140</f>
        <v>14609614105.349998</v>
      </c>
      <c r="L134" s="34">
        <f t="shared" si="73"/>
        <v>8.0962550156951935E-3</v>
      </c>
      <c r="M134" s="39">
        <f>1.5*W140</f>
        <v>2029.5</v>
      </c>
      <c r="N134" s="39">
        <f>1.5*W140</f>
        <v>2029.5</v>
      </c>
      <c r="O134" s="53">
        <v>120</v>
      </c>
      <c r="P134" s="60">
        <v>4.8999999999999998E-3</v>
      </c>
      <c r="Q134" s="60">
        <v>5.0099999999999999E-2</v>
      </c>
      <c r="R134" s="63">
        <f t="shared" si="74"/>
        <v>-5.3872048336735768E-3</v>
      </c>
      <c r="S134" s="63">
        <f t="shared" si="75"/>
        <v>-9.6857563826959776E-3</v>
      </c>
      <c r="T134" s="63">
        <f t="shared" si="76"/>
        <v>0</v>
      </c>
      <c r="U134" s="63">
        <f t="shared" si="77"/>
        <v>2.1999999999999997E-3</v>
      </c>
      <c r="V134" s="64">
        <f t="shared" si="78"/>
        <v>6.8000000000000005E-3</v>
      </c>
    </row>
    <row r="135" spans="1:25">
      <c r="A135" s="167">
        <v>120</v>
      </c>
      <c r="B135" s="149" t="s">
        <v>189</v>
      </c>
      <c r="C135" s="148" t="s">
        <v>103</v>
      </c>
      <c r="D135" s="39">
        <v>38752703102.420998</v>
      </c>
      <c r="E135" s="34">
        <f t="shared" si="84"/>
        <v>2.1224816614159567E-2</v>
      </c>
      <c r="F135" s="39">
        <v>144041.94519</v>
      </c>
      <c r="G135" s="39">
        <v>144041.94519</v>
      </c>
      <c r="H135" s="35">
        <v>889</v>
      </c>
      <c r="I135" s="60">
        <v>8.9999999999999998E-4</v>
      </c>
      <c r="J135" s="57">
        <v>6.8400000000000002E-2</v>
      </c>
      <c r="K135" s="39">
        <f>28559314*W140</f>
        <v>38640751842</v>
      </c>
      <c r="L135" s="34">
        <f t="shared" si="73"/>
        <v>2.1413664909633905E-2</v>
      </c>
      <c r="M135" s="39">
        <f>105.8*W140</f>
        <v>143147.4</v>
      </c>
      <c r="N135" s="39">
        <f>105.8*W140</f>
        <v>143147.4</v>
      </c>
      <c r="O135" s="35">
        <v>890</v>
      </c>
      <c r="P135" s="60">
        <v>3.5000000000000001E-3</v>
      </c>
      <c r="Q135" s="57">
        <v>8.09E-2</v>
      </c>
      <c r="R135" s="63">
        <f t="shared" si="74"/>
        <v>-2.8888632652312629E-3</v>
      </c>
      <c r="S135" s="63">
        <f t="shared" si="75"/>
        <v>-6.2103103982665978E-3</v>
      </c>
      <c r="T135" s="63">
        <f t="shared" si="76"/>
        <v>1.1248593925759281E-3</v>
      </c>
      <c r="U135" s="63">
        <f t="shared" si="77"/>
        <v>2.5999999999999999E-3</v>
      </c>
      <c r="V135" s="64">
        <f t="shared" si="78"/>
        <v>1.2499999999999997E-2</v>
      </c>
    </row>
    <row r="136" spans="1:25">
      <c r="A136" s="167">
        <v>121</v>
      </c>
      <c r="B136" s="149" t="s">
        <v>190</v>
      </c>
      <c r="C136" s="148" t="s">
        <v>45</v>
      </c>
      <c r="D136" s="39">
        <v>2779639074.4267201</v>
      </c>
      <c r="E136" s="34">
        <f t="shared" si="84"/>
        <v>1.5224055326497632E-3</v>
      </c>
      <c r="F136" s="39">
        <v>228871.35216000001</v>
      </c>
      <c r="G136" s="39">
        <v>221343.40832999998</v>
      </c>
      <c r="H136" s="35">
        <v>48</v>
      </c>
      <c r="I136" s="57">
        <v>-3.2199999999999999E-2</v>
      </c>
      <c r="J136" s="57">
        <v>-2.5999999999999999E-2</v>
      </c>
      <c r="K136" s="39">
        <f>2038057.76*W140</f>
        <v>2757492149.2800002</v>
      </c>
      <c r="L136" s="34">
        <f t="shared" si="73"/>
        <v>1.5281279494009934E-3</v>
      </c>
      <c r="M136" s="39">
        <f>162.3*W140</f>
        <v>219591.90000000002</v>
      </c>
      <c r="N136" s="39">
        <f>168.6*W140</f>
        <v>228115.8</v>
      </c>
      <c r="O136" s="35">
        <v>48</v>
      </c>
      <c r="P136" s="57">
        <v>2.3E-3</v>
      </c>
      <c r="Q136" s="57">
        <v>-2.4299999999999999E-2</v>
      </c>
      <c r="R136" s="63">
        <f t="shared" ref="R136:R137" si="87">((K136-D136)/D136)</f>
        <v>-7.9675542592836709E-3</v>
      </c>
      <c r="S136" s="63">
        <f t="shared" ref="S136:S137" si="88">((N136-G136)/G136)</f>
        <v>3.0596762384281537E-2</v>
      </c>
      <c r="T136" s="63">
        <f t="shared" ref="T136:T137" si="89">((O136-H136)/H136)</f>
        <v>0</v>
      </c>
      <c r="U136" s="63">
        <f t="shared" ref="U136:U137" si="90">P136-I136</f>
        <v>3.4500000000000003E-2</v>
      </c>
      <c r="V136" s="64">
        <f t="shared" ref="V136:V137" si="91">Q136-J136</f>
        <v>1.7000000000000001E-3</v>
      </c>
    </row>
    <row r="137" spans="1:25">
      <c r="A137" s="167">
        <v>122</v>
      </c>
      <c r="B137" s="149" t="s">
        <v>191</v>
      </c>
      <c r="C137" s="148" t="s">
        <v>52</v>
      </c>
      <c r="D137" s="33">
        <v>155182850642.57129</v>
      </c>
      <c r="E137" s="34">
        <f t="shared" si="84"/>
        <v>8.4993491624209314E-2</v>
      </c>
      <c r="F137" s="39">
        <v>173312.87685757829</v>
      </c>
      <c r="G137" s="39">
        <v>173312.87685757829</v>
      </c>
      <c r="H137" s="35">
        <v>4298</v>
      </c>
      <c r="I137" s="57">
        <v>1.1999999999999999E-3</v>
      </c>
      <c r="J137" s="57">
        <v>5.9400000000000001E-2</v>
      </c>
      <c r="K137" s="33">
        <f>113237747.76*1353.72</f>
        <v>153292203897.66721</v>
      </c>
      <c r="L137" s="34">
        <f t="shared" si="73"/>
        <v>8.4950414550578307E-2</v>
      </c>
      <c r="M137" s="39">
        <f>126.29953989*1353.72</f>
        <v>170974.21313989081</v>
      </c>
      <c r="N137" s="39">
        <f>126.29953989*1353.72</f>
        <v>170974.21313989081</v>
      </c>
      <c r="O137" s="35">
        <v>4311</v>
      </c>
      <c r="P137" s="57">
        <v>8.0000000000000004E-4</v>
      </c>
      <c r="Q137" s="57">
        <v>5.9400000000000001E-2</v>
      </c>
      <c r="R137" s="63">
        <f t="shared" si="87"/>
        <v>-1.2183348463283238E-2</v>
      </c>
      <c r="S137" s="63">
        <f t="shared" si="88"/>
        <v>-1.3493883201819453E-2</v>
      </c>
      <c r="T137" s="63">
        <f t="shared" si="89"/>
        <v>3.0246626337831549E-3</v>
      </c>
      <c r="U137" s="63">
        <f t="shared" si="90"/>
        <v>-3.9999999999999986E-4</v>
      </c>
      <c r="V137" s="64">
        <f t="shared" si="91"/>
        <v>0</v>
      </c>
    </row>
    <row r="138" spans="1:25" ht="6" customHeight="1">
      <c r="A138" s="77"/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</row>
    <row r="139" spans="1:25">
      <c r="A139" s="199" t="s">
        <v>192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5">
      <c r="A140" s="167">
        <v>123</v>
      </c>
      <c r="B140" s="149" t="s">
        <v>335</v>
      </c>
      <c r="C140" s="148" t="s">
        <v>336</v>
      </c>
      <c r="D140" s="33">
        <v>387482792.39966995</v>
      </c>
      <c r="E140" s="34">
        <f>(D140/$D$160)</f>
        <v>2.1222393669131337E-4</v>
      </c>
      <c r="F140" s="39">
        <v>1379.8953300000001</v>
      </c>
      <c r="G140" s="39">
        <v>1379.8953300000001</v>
      </c>
      <c r="H140" s="35">
        <v>31</v>
      </c>
      <c r="I140" s="57">
        <v>7.4999999999999997E-2</v>
      </c>
      <c r="J140" s="57">
        <v>6.9099999999999995E-2</v>
      </c>
      <c r="K140" s="33">
        <f>286360.12*W140</f>
        <v>387445242.36000001</v>
      </c>
      <c r="L140" s="34">
        <f t="shared" ref="L140:L158" si="92">(K140/$K$160)</f>
        <v>2.1471172778038557E-4</v>
      </c>
      <c r="M140" s="39">
        <f>1.01*W140</f>
        <v>1366.53</v>
      </c>
      <c r="N140" s="39">
        <f>1.01*W140</f>
        <v>1366.53</v>
      </c>
      <c r="O140" s="35">
        <v>33</v>
      </c>
      <c r="P140" s="57">
        <v>7.3700000000000002E-2</v>
      </c>
      <c r="Q140" s="57">
        <v>7.0499999999999993E-2</v>
      </c>
      <c r="R140" s="63">
        <f>((K140-D140)/D140)</f>
        <v>-9.6907631529608338E-5</v>
      </c>
      <c r="S140" s="63">
        <f>((N140-G140)/G140)</f>
        <v>-9.685756382696132E-3</v>
      </c>
      <c r="T140" s="63">
        <f>((O140-H140)/H140)</f>
        <v>6.4516129032258063E-2</v>
      </c>
      <c r="U140" s="63">
        <f>P140-I140</f>
        <v>-1.2999999999999956E-3</v>
      </c>
      <c r="V140" s="64">
        <f>Q140-J140</f>
        <v>1.3999999999999985E-3</v>
      </c>
      <c r="W140" s="84">
        <v>1353</v>
      </c>
      <c r="Y140" s="124"/>
    </row>
    <row r="141" spans="1:25">
      <c r="A141" s="167">
        <v>124</v>
      </c>
      <c r="B141" s="149" t="s">
        <v>193</v>
      </c>
      <c r="C141" s="148" t="s">
        <v>63</v>
      </c>
      <c r="D141" s="33">
        <v>1913060599.18908</v>
      </c>
      <c r="E141" s="34">
        <f>(D141/$D$160)</f>
        <v>1.0477813710761705E-3</v>
      </c>
      <c r="F141" s="39">
        <v>168196.94462999998</v>
      </c>
      <c r="G141" s="39">
        <v>168196.94462999998</v>
      </c>
      <c r="H141" s="35">
        <v>23</v>
      </c>
      <c r="I141" s="57">
        <v>1.83E-2</v>
      </c>
      <c r="J141" s="57">
        <v>5.62E-2</v>
      </c>
      <c r="K141" s="33">
        <f>1186508.3*W140</f>
        <v>1605345729.9000001</v>
      </c>
      <c r="L141" s="34">
        <f t="shared" ref="L141" si="93">(K141/$K$160)</f>
        <v>8.8963940620910499E-4</v>
      </c>
      <c r="M141" s="39">
        <f>123.19*W140</f>
        <v>166676.07</v>
      </c>
      <c r="N141" s="39">
        <f>123.19*W140</f>
        <v>166676.07</v>
      </c>
      <c r="O141" s="35">
        <v>23</v>
      </c>
      <c r="P141" s="57">
        <v>1.83E-2</v>
      </c>
      <c r="Q141" s="57">
        <v>5.4199999999999998E-2</v>
      </c>
      <c r="R141" s="63">
        <f>((K141-D141)/D141)</f>
        <v>-0.16084951486613439</v>
      </c>
      <c r="S141" s="63">
        <f>((N141-G141)/G141)</f>
        <v>-9.0422250733840619E-3</v>
      </c>
      <c r="T141" s="63">
        <f>((O141-H141)/H141)</f>
        <v>0</v>
      </c>
      <c r="U141" s="63">
        <f>P141-I141</f>
        <v>0</v>
      </c>
      <c r="V141" s="64">
        <f>Q141-J141</f>
        <v>-2.0000000000000018E-3</v>
      </c>
      <c r="W141" s="84"/>
      <c r="Y141" s="124"/>
    </row>
    <row r="142" spans="1:25">
      <c r="A142" s="167">
        <v>125</v>
      </c>
      <c r="B142" s="148" t="s">
        <v>194</v>
      </c>
      <c r="C142" s="148" t="s">
        <v>25</v>
      </c>
      <c r="D142" s="39">
        <v>27311050925.762341</v>
      </c>
      <c r="E142" s="34">
        <f t="shared" ref="E142:E159" si="94">(D142/$D$160)</f>
        <v>1.4958235194774443E-2</v>
      </c>
      <c r="F142" s="33">
        <v>187105.60934999998</v>
      </c>
      <c r="G142" s="33">
        <v>187105.60934999998</v>
      </c>
      <c r="H142" s="35">
        <v>671</v>
      </c>
      <c r="I142" s="57">
        <v>5.0000000000000001E-4</v>
      </c>
      <c r="J142" s="57">
        <v>9.7999999999999997E-3</v>
      </c>
      <c r="K142" s="39">
        <f>20090956.54*W140</f>
        <v>27183064198.619999</v>
      </c>
      <c r="L142" s="34">
        <f t="shared" si="92"/>
        <v>1.5064122725832204E-2</v>
      </c>
      <c r="M142" s="33">
        <f>137.08*W140</f>
        <v>185469.24000000002</v>
      </c>
      <c r="N142" s="33">
        <f>137.08*W140</f>
        <v>185469.24000000002</v>
      </c>
      <c r="O142" s="35">
        <v>673</v>
      </c>
      <c r="P142" s="57">
        <v>5.0000000000000001E-4</v>
      </c>
      <c r="Q142" s="57">
        <v>1.0800000000000001E-2</v>
      </c>
      <c r="R142" s="63">
        <f t="shared" ref="R142:R160" si="95">((K142-D142)/D142)</f>
        <v>-4.6862615243272289E-3</v>
      </c>
      <c r="S142" s="63">
        <f t="shared" ref="S142:S160" si="96">((N142-G142)/G142)</f>
        <v>-8.7456990503099775E-3</v>
      </c>
      <c r="T142" s="63">
        <f t="shared" ref="T142:T160" si="97">((O142-H142)/H142)</f>
        <v>2.9806259314456036E-3</v>
      </c>
      <c r="U142" s="63">
        <f t="shared" ref="U142:U160" si="98">P142-I142</f>
        <v>0</v>
      </c>
      <c r="V142" s="64">
        <f t="shared" ref="V142:V160" si="99">Q142-J142</f>
        <v>1.0000000000000009E-3</v>
      </c>
    </row>
    <row r="143" spans="1:25">
      <c r="A143" s="167">
        <v>126</v>
      </c>
      <c r="B143" s="148" t="s">
        <v>195</v>
      </c>
      <c r="C143" s="148" t="s">
        <v>136</v>
      </c>
      <c r="D143" s="39">
        <v>559953805.69754994</v>
      </c>
      <c r="E143" s="34">
        <f t="shared" si="94"/>
        <v>3.0668613765909785E-4</v>
      </c>
      <c r="F143" s="33">
        <v>136623.29999999999</v>
      </c>
      <c r="G143" s="33">
        <v>136623.29999999999</v>
      </c>
      <c r="H143" s="35">
        <v>19</v>
      </c>
      <c r="I143" s="57">
        <v>1.5299999999999999E-3</v>
      </c>
      <c r="J143" s="57">
        <v>-1.6000000000000001E-4</v>
      </c>
      <c r="K143" s="39">
        <f>410375.390365715*W140</f>
        <v>555237903.16481245</v>
      </c>
      <c r="L143" s="34">
        <f t="shared" si="92"/>
        <v>3.0769790536466063E-4</v>
      </c>
      <c r="M143" s="33">
        <f>100*W140</f>
        <v>135300</v>
      </c>
      <c r="N143" s="33">
        <f>100*W140</f>
        <v>135300</v>
      </c>
      <c r="O143" s="35">
        <v>22</v>
      </c>
      <c r="P143" s="57">
        <v>4.8999999999999998E-4</v>
      </c>
      <c r="Q143" s="57">
        <v>1.37E-2</v>
      </c>
      <c r="R143" s="63">
        <v>0</v>
      </c>
      <c r="S143" s="63">
        <f t="shared" ref="S143" si="100">((N143-G143)/G143)</f>
        <v>-9.6857563826959862E-3</v>
      </c>
      <c r="T143" s="63">
        <f t="shared" ref="T143" si="101">((O143-H143)/H143)</f>
        <v>0.15789473684210525</v>
      </c>
      <c r="U143" s="63">
        <f t="shared" ref="U143" si="102">P143-I143</f>
        <v>-1.0399999999999999E-3</v>
      </c>
      <c r="V143" s="64">
        <f t="shared" ref="V143" si="103">Q143-J143</f>
        <v>1.3860000000000001E-2</v>
      </c>
    </row>
    <row r="144" spans="1:25">
      <c r="A144" s="163">
        <v>127</v>
      </c>
      <c r="B144" s="164" t="s">
        <v>196</v>
      </c>
      <c r="C144" s="148" t="s">
        <v>72</v>
      </c>
      <c r="D144" s="33">
        <v>17620658342.709999</v>
      </c>
      <c r="E144" s="34">
        <f t="shared" si="94"/>
        <v>9.6508168980195853E-3</v>
      </c>
      <c r="F144" s="33">
        <v>166566.79</v>
      </c>
      <c r="G144" s="33">
        <v>166566.79</v>
      </c>
      <c r="H144" s="35">
        <v>471</v>
      </c>
      <c r="I144" s="57">
        <v>1.4E-3</v>
      </c>
      <c r="J144" s="57">
        <v>6.4699999999999994E-2</v>
      </c>
      <c r="K144" s="33">
        <v>17397020598.880001</v>
      </c>
      <c r="L144" s="34">
        <f t="shared" ref="L144:L145" si="104">(K144/$K$117)</f>
        <v>7.1970714388532739E-2</v>
      </c>
      <c r="M144" s="33">
        <v>163450.54999999999</v>
      </c>
      <c r="N144" s="33">
        <v>163450.54999999999</v>
      </c>
      <c r="O144" s="35">
        <v>471</v>
      </c>
      <c r="P144" s="57">
        <v>8.0000000000000004E-4</v>
      </c>
      <c r="Q144" s="57">
        <v>6.4699999999999994E-2</v>
      </c>
      <c r="R144" s="63">
        <f t="shared" si="95"/>
        <v>-1.269179275146216E-2</v>
      </c>
      <c r="S144" s="63">
        <f t="shared" si="96"/>
        <v>-1.8708651346405966E-2</v>
      </c>
      <c r="T144" s="63">
        <f t="shared" si="97"/>
        <v>0</v>
      </c>
      <c r="U144" s="63">
        <f t="shared" si="98"/>
        <v>-5.9999999999999995E-4</v>
      </c>
      <c r="V144" s="64">
        <f t="shared" si="99"/>
        <v>0</v>
      </c>
    </row>
    <row r="145" spans="1:24">
      <c r="A145" s="167">
        <v>128</v>
      </c>
      <c r="B145" s="149" t="s">
        <v>197</v>
      </c>
      <c r="C145" s="148" t="s">
        <v>74</v>
      </c>
      <c r="D145" s="39">
        <v>148364282.86976999</v>
      </c>
      <c r="E145" s="34">
        <f t="shared" ref="E145" si="105">(D145/$D$117)</f>
        <v>6.1124335033959038E-4</v>
      </c>
      <c r="F145" s="38">
        <v>1460.2298303999999</v>
      </c>
      <c r="G145" s="38">
        <v>1460.2298303999999</v>
      </c>
      <c r="H145" s="35">
        <v>5</v>
      </c>
      <c r="I145" s="57">
        <v>-1.1000000000000001E-3</v>
      </c>
      <c r="J145" s="57">
        <v>-0.17530000000000001</v>
      </c>
      <c r="K145" s="39">
        <f>109194.94*W140</f>
        <v>147740753.81999999</v>
      </c>
      <c r="L145" s="34">
        <f t="shared" si="104"/>
        <v>6.1119704585567295E-4</v>
      </c>
      <c r="M145" s="38">
        <f>1.0703*W140</f>
        <v>1448.1159</v>
      </c>
      <c r="N145" s="38">
        <f>1.0703*W140</f>
        <v>1448.1159</v>
      </c>
      <c r="O145" s="35">
        <v>6</v>
      </c>
      <c r="P145" s="57">
        <v>1.4E-3</v>
      </c>
      <c r="Q145" s="57">
        <v>-0.17419999999999999</v>
      </c>
      <c r="R145" s="62">
        <f t="shared" si="95"/>
        <v>-4.2026897424989676E-3</v>
      </c>
      <c r="S145" s="62">
        <f t="shared" si="96"/>
        <v>-8.2959066770204818E-3</v>
      </c>
      <c r="T145" s="62">
        <f t="shared" si="97"/>
        <v>0.2</v>
      </c>
      <c r="U145" s="63">
        <f t="shared" si="98"/>
        <v>2.5000000000000001E-3</v>
      </c>
      <c r="V145" s="64">
        <f t="shared" si="99"/>
        <v>1.1000000000000176E-3</v>
      </c>
    </row>
    <row r="146" spans="1:24">
      <c r="A146" s="167">
        <v>129</v>
      </c>
      <c r="B146" s="149" t="s">
        <v>198</v>
      </c>
      <c r="C146" s="148" t="s">
        <v>70</v>
      </c>
      <c r="D146" s="33">
        <v>11619341431.330099</v>
      </c>
      <c r="E146" s="34">
        <f t="shared" si="94"/>
        <v>6.3639016459184931E-3</v>
      </c>
      <c r="F146" s="33">
        <v>1864.9006156851899</v>
      </c>
      <c r="G146" s="33">
        <v>1864.9006156851899</v>
      </c>
      <c r="H146" s="35">
        <v>339</v>
      </c>
      <c r="I146" s="57">
        <v>5.4300000000000001E-2</v>
      </c>
      <c r="J146" s="57">
        <v>7.1800000000000003E-2</v>
      </c>
      <c r="K146" s="33">
        <v>11614847696.557899</v>
      </c>
      <c r="L146" s="34">
        <f t="shared" si="92"/>
        <v>6.4366360563457093E-3</v>
      </c>
      <c r="M146" s="33">
        <v>1840.7884707928399</v>
      </c>
      <c r="N146" s="33">
        <v>1840.7884707928399</v>
      </c>
      <c r="O146" s="35">
        <v>342</v>
      </c>
      <c r="P146" s="57">
        <v>7.0599999999999996E-2</v>
      </c>
      <c r="Q146" s="57">
        <v>7.1800000000000003E-2</v>
      </c>
      <c r="R146" s="63">
        <f t="shared" si="95"/>
        <v>-3.8674608184615674E-4</v>
      </c>
      <c r="S146" s="63">
        <f t="shared" si="96"/>
        <v>-1.2929453017254143E-2</v>
      </c>
      <c r="T146" s="62">
        <f t="shared" si="97"/>
        <v>8.8495575221238937E-3</v>
      </c>
      <c r="U146" s="63">
        <f t="shared" si="98"/>
        <v>1.6299999999999995E-2</v>
      </c>
      <c r="V146" s="64">
        <f t="shared" si="99"/>
        <v>0</v>
      </c>
    </row>
    <row r="147" spans="1:24">
      <c r="A147" s="167">
        <v>130</v>
      </c>
      <c r="B147" s="149" t="s">
        <v>199</v>
      </c>
      <c r="C147" s="148" t="s">
        <v>93</v>
      </c>
      <c r="D147" s="33">
        <v>272580998.60706002</v>
      </c>
      <c r="E147" s="34">
        <f t="shared" si="94"/>
        <v>1.4929233949561305E-4</v>
      </c>
      <c r="F147" s="33">
        <v>1420.8823199999999</v>
      </c>
      <c r="G147" s="33">
        <v>1420.8823199999999</v>
      </c>
      <c r="H147" s="35">
        <v>11</v>
      </c>
      <c r="I147" s="57">
        <v>6.7100000000000007E-2</v>
      </c>
      <c r="J147" s="57">
        <v>6.7100000000000007E-2</v>
      </c>
      <c r="K147" s="33">
        <f>199726.07*W140</f>
        <v>270229372.71000004</v>
      </c>
      <c r="L147" s="34">
        <f t="shared" si="92"/>
        <v>1.497538469130626E-4</v>
      </c>
      <c r="M147" s="33">
        <f>1.04*W140</f>
        <v>1407.1200000000001</v>
      </c>
      <c r="N147" s="33">
        <f>1.04*W140</f>
        <v>1407.1200000000001</v>
      </c>
      <c r="O147" s="35">
        <v>11</v>
      </c>
      <c r="P147" s="57">
        <v>6.7000000000000004E-2</v>
      </c>
      <c r="Q147" s="57">
        <v>6.7000000000000004E-2</v>
      </c>
      <c r="R147" s="63">
        <f t="shared" si="95"/>
        <v>-8.6272554179389841E-3</v>
      </c>
      <c r="S147" s="63">
        <f t="shared" si="96"/>
        <v>-9.6857563826959429E-3</v>
      </c>
      <c r="T147" s="62">
        <f t="shared" si="97"/>
        <v>0</v>
      </c>
      <c r="U147" s="63">
        <f t="shared" si="98"/>
        <v>-1.0000000000000286E-4</v>
      </c>
      <c r="V147" s="64">
        <f t="shared" si="99"/>
        <v>-1.0000000000000286E-4</v>
      </c>
    </row>
    <row r="148" spans="1:24">
      <c r="A148" s="167">
        <v>131</v>
      </c>
      <c r="B148" s="149" t="s">
        <v>200</v>
      </c>
      <c r="C148" s="148" t="s">
        <v>37</v>
      </c>
      <c r="D148" s="33">
        <v>129016924680.384</v>
      </c>
      <c r="E148" s="34">
        <f t="shared" si="94"/>
        <v>7.0662440223245082E-2</v>
      </c>
      <c r="F148" s="33">
        <v>136623.29999999999</v>
      </c>
      <c r="G148" s="33">
        <v>136623.29999999999</v>
      </c>
      <c r="H148" s="35">
        <v>2907</v>
      </c>
      <c r="I148" s="57">
        <v>4.6300000000000001E-2</v>
      </c>
      <c r="J148" s="57">
        <v>5.2499999999999998E-2</v>
      </c>
      <c r="K148" s="33">
        <v>128209942154.332</v>
      </c>
      <c r="L148" s="34">
        <f t="shared" si="92"/>
        <v>7.1050500016210633E-2</v>
      </c>
      <c r="M148" s="33">
        <f>100*W140</f>
        <v>135300</v>
      </c>
      <c r="N148" s="33">
        <f>100*W140</f>
        <v>135300</v>
      </c>
      <c r="O148" s="35">
        <v>2967</v>
      </c>
      <c r="P148" s="57">
        <v>4.7199999999999999E-2</v>
      </c>
      <c r="Q148" s="57">
        <v>5.21E-2</v>
      </c>
      <c r="R148" s="63">
        <f t="shared" si="95"/>
        <v>-6.2548578649751158E-3</v>
      </c>
      <c r="S148" s="63">
        <f t="shared" si="96"/>
        <v>-9.6857563826959862E-3</v>
      </c>
      <c r="T148" s="63">
        <f t="shared" si="97"/>
        <v>2.063983488132095E-2</v>
      </c>
      <c r="U148" s="63">
        <f t="shared" si="98"/>
        <v>8.9999999999999802E-4</v>
      </c>
      <c r="V148" s="64">
        <f t="shared" si="99"/>
        <v>-3.9999999999999758E-4</v>
      </c>
    </row>
    <row r="149" spans="1:24" ht="15.6">
      <c r="A149" s="167">
        <v>132</v>
      </c>
      <c r="B149" s="149" t="s">
        <v>201</v>
      </c>
      <c r="C149" s="148" t="s">
        <v>150</v>
      </c>
      <c r="D149" s="33">
        <v>1500568064.6599498</v>
      </c>
      <c r="E149" s="34">
        <f t="shared" si="94"/>
        <v>8.2185962370924385E-4</v>
      </c>
      <c r="F149" s="33">
        <v>1557.5056199999999</v>
      </c>
      <c r="G149" s="33">
        <v>1557.5056199999999</v>
      </c>
      <c r="H149" s="35">
        <v>53</v>
      </c>
      <c r="I149" s="57">
        <v>1.9E-3</v>
      </c>
      <c r="J149" s="57">
        <v>0.1232</v>
      </c>
      <c r="K149" s="33">
        <f>1097019.71*W140</f>
        <v>1484267667.6299999</v>
      </c>
      <c r="L149" s="34">
        <f t="shared" si="92"/>
        <v>8.2254120211724144E-4</v>
      </c>
      <c r="M149" s="33">
        <f>1.14*W140</f>
        <v>1542.4199999999998</v>
      </c>
      <c r="N149" s="33">
        <f>1.14*W140</f>
        <v>1542.4199999999998</v>
      </c>
      <c r="O149" s="35">
        <v>53</v>
      </c>
      <c r="P149" s="57">
        <v>1.9E-3</v>
      </c>
      <c r="Q149" s="57">
        <v>0.1216</v>
      </c>
      <c r="R149" s="63">
        <f t="shared" si="95"/>
        <v>-1.0862817498147815E-2</v>
      </c>
      <c r="S149" s="63">
        <f t="shared" si="96"/>
        <v>-9.6857563826961111E-3</v>
      </c>
      <c r="T149" s="63">
        <f t="shared" si="97"/>
        <v>0</v>
      </c>
      <c r="U149" s="63">
        <f t="shared" si="98"/>
        <v>0</v>
      </c>
      <c r="V149" s="64">
        <f t="shared" si="99"/>
        <v>-1.6000000000000042E-3</v>
      </c>
      <c r="X149" s="85"/>
    </row>
    <row r="150" spans="1:24" ht="15.6">
      <c r="A150" s="167">
        <v>133</v>
      </c>
      <c r="B150" s="149" t="s">
        <v>328</v>
      </c>
      <c r="C150" s="148" t="s">
        <v>43</v>
      </c>
      <c r="D150" s="39">
        <v>10902153474.81381</v>
      </c>
      <c r="E150" s="34">
        <f t="shared" si="94"/>
        <v>5.9710985215864747E-3</v>
      </c>
      <c r="F150" s="33">
        <v>14564.04378</v>
      </c>
      <c r="G150" s="33">
        <v>14564.04378</v>
      </c>
      <c r="H150" s="35">
        <v>187</v>
      </c>
      <c r="I150" s="57">
        <v>5.6000000000000001E-2</v>
      </c>
      <c r="J150" s="57">
        <v>7.5800000000000006E-2</v>
      </c>
      <c r="K150" s="39">
        <f>7930628.44*W140</f>
        <v>10730140279.32</v>
      </c>
      <c r="L150" s="34">
        <f t="shared" si="92"/>
        <v>5.9463550117825901E-3</v>
      </c>
      <c r="M150" s="33">
        <f>10.69*W140</f>
        <v>14463.57</v>
      </c>
      <c r="N150" s="33">
        <f>10.69*W140</f>
        <v>14463.57</v>
      </c>
      <c r="O150" s="35">
        <v>187</v>
      </c>
      <c r="P150" s="57">
        <v>5.5399999999999998E-2</v>
      </c>
      <c r="Q150" s="57">
        <v>7.51E-2</v>
      </c>
      <c r="R150" s="63">
        <f t="shared" si="95"/>
        <v>-1.5777909923135471E-2</v>
      </c>
      <c r="S150" s="63">
        <f t="shared" si="96"/>
        <v>-6.8987556970939194E-3</v>
      </c>
      <c r="T150" s="63">
        <f t="shared" si="97"/>
        <v>0</v>
      </c>
      <c r="U150" s="63">
        <f t="shared" si="98"/>
        <v>-6.0000000000000331E-4</v>
      </c>
      <c r="V150" s="64">
        <f t="shared" si="99"/>
        <v>-7.0000000000000617E-4</v>
      </c>
      <c r="X150" s="85"/>
    </row>
    <row r="151" spans="1:24" ht="15.6">
      <c r="A151" s="167">
        <v>134</v>
      </c>
      <c r="B151" s="148" t="s">
        <v>202</v>
      </c>
      <c r="C151" s="151" t="s">
        <v>47</v>
      </c>
      <c r="D151" s="33">
        <v>30827607897.02</v>
      </c>
      <c r="E151" s="34">
        <f t="shared" si="94"/>
        <v>1.6884249920274336E-2</v>
      </c>
      <c r="F151" s="33">
        <v>1489.19397</v>
      </c>
      <c r="G151" s="33">
        <v>1489.19397</v>
      </c>
      <c r="H151" s="35">
        <v>593</v>
      </c>
      <c r="I151" s="57">
        <v>-2.8999999999999998E-3</v>
      </c>
      <c r="J151" s="57">
        <v>4.9399999999999999E-2</v>
      </c>
      <c r="K151" s="33">
        <v>30490182071.93</v>
      </c>
      <c r="L151" s="34">
        <f t="shared" si="92"/>
        <v>1.6896838461936164E-2</v>
      </c>
      <c r="M151" s="33">
        <f>1.09*W140</f>
        <v>1474.7700000000002</v>
      </c>
      <c r="N151" s="33">
        <f>1.1*W140</f>
        <v>1488.3000000000002</v>
      </c>
      <c r="O151" s="35">
        <v>595</v>
      </c>
      <c r="P151" s="57">
        <v>4.0000000000000001E-3</v>
      </c>
      <c r="Q151" s="57">
        <v>5.3999999999999999E-2</v>
      </c>
      <c r="R151" s="63">
        <f t="shared" si="95"/>
        <v>-1.0945572754693624E-2</v>
      </c>
      <c r="S151" s="63">
        <f t="shared" si="96"/>
        <v>-6.0030460639043132E-4</v>
      </c>
      <c r="T151" s="63">
        <f t="shared" si="97"/>
        <v>3.3726812816188868E-3</v>
      </c>
      <c r="U151" s="63">
        <f t="shared" si="98"/>
        <v>6.8999999999999999E-3</v>
      </c>
      <c r="V151" s="64">
        <f t="shared" si="99"/>
        <v>4.5999999999999999E-3</v>
      </c>
      <c r="X151" s="85"/>
    </row>
    <row r="152" spans="1:24">
      <c r="A152" s="167">
        <v>135</v>
      </c>
      <c r="B152" s="149" t="s">
        <v>203</v>
      </c>
      <c r="C152" s="148" t="s">
        <v>105</v>
      </c>
      <c r="D152" s="39">
        <v>441019950.59999996</v>
      </c>
      <c r="E152" s="34">
        <f t="shared" si="94"/>
        <v>2.4154618453147149E-4</v>
      </c>
      <c r="F152" s="33">
        <v>1760.8</v>
      </c>
      <c r="G152" s="33">
        <v>1760.8</v>
      </c>
      <c r="H152" s="35">
        <v>2</v>
      </c>
      <c r="I152" s="57">
        <v>1.6999999999999999E-3</v>
      </c>
      <c r="J152" s="57">
        <v>1.5E-3</v>
      </c>
      <c r="K152" s="39">
        <f>310836.71*1358</f>
        <v>422116252.18000001</v>
      </c>
      <c r="L152" s="34">
        <f t="shared" si="92"/>
        <v>2.3392546848087395E-4</v>
      </c>
      <c r="M152" s="33">
        <f>1.25*1358</f>
        <v>1697.5</v>
      </c>
      <c r="N152" s="33">
        <f>1.25*1358</f>
        <v>1697.5</v>
      </c>
      <c r="O152" s="35">
        <v>2</v>
      </c>
      <c r="P152" s="57">
        <v>1.6999999999999999E-3</v>
      </c>
      <c r="Q152" s="57">
        <v>1.5E-3</v>
      </c>
      <c r="R152" s="63">
        <f t="shared" si="95"/>
        <v>-4.2863590171559822E-2</v>
      </c>
      <c r="S152" s="63">
        <f t="shared" si="96"/>
        <v>-3.5949568378009972E-2</v>
      </c>
      <c r="T152" s="63">
        <f t="shared" si="97"/>
        <v>0</v>
      </c>
      <c r="U152" s="63">
        <f t="shared" ref="U152" si="106">P152-I152</f>
        <v>0</v>
      </c>
      <c r="V152" s="64">
        <f t="shared" ref="V152" si="107">Q152-J152</f>
        <v>0</v>
      </c>
    </row>
    <row r="153" spans="1:24">
      <c r="A153" s="167">
        <v>136</v>
      </c>
      <c r="B153" s="149" t="s">
        <v>204</v>
      </c>
      <c r="C153" s="148" t="s">
        <v>110</v>
      </c>
      <c r="D153" s="39">
        <v>753057915.68336999</v>
      </c>
      <c r="E153" s="34">
        <f t="shared" si="94"/>
        <v>4.1244906498463655E-4</v>
      </c>
      <c r="F153" s="33">
        <v>1468.2906051</v>
      </c>
      <c r="G153" s="33">
        <v>1468.2906051</v>
      </c>
      <c r="H153" s="35">
        <v>11</v>
      </c>
      <c r="I153" s="57">
        <v>-1.6999999999999999E-3</v>
      </c>
      <c r="J153" s="57">
        <v>3.0200000000000001E-2</v>
      </c>
      <c r="K153" s="39">
        <f>552987.7*W140</f>
        <v>748192358.0999999</v>
      </c>
      <c r="L153" s="34">
        <f t="shared" si="92"/>
        <v>4.146280721921108E-4</v>
      </c>
      <c r="M153" s="33">
        <f>1.0782*W140</f>
        <v>1458.8046000000002</v>
      </c>
      <c r="N153" s="33">
        <f>1.0782*W140</f>
        <v>1458.8046000000002</v>
      </c>
      <c r="O153" s="35">
        <v>11</v>
      </c>
      <c r="P153" s="57">
        <v>3.3E-3</v>
      </c>
      <c r="Q153" s="57">
        <v>4.3700000000000003E-2</v>
      </c>
      <c r="R153" s="63">
        <f t="shared" ref="R153" si="108">((K153-D153)/D153)</f>
        <v>-6.4610669140298333E-3</v>
      </c>
      <c r="S153" s="63">
        <f t="shared" ref="S153" si="109">((N153-G153)/G153)</f>
        <v>-6.4605774000398046E-3</v>
      </c>
      <c r="T153" s="63">
        <f t="shared" si="97"/>
        <v>0</v>
      </c>
      <c r="U153" s="63">
        <f t="shared" si="98"/>
        <v>5.0000000000000001E-3</v>
      </c>
      <c r="V153" s="64">
        <f t="shared" si="99"/>
        <v>1.3500000000000002E-2</v>
      </c>
    </row>
    <row r="154" spans="1:24">
      <c r="A154" s="167">
        <v>137</v>
      </c>
      <c r="B154" s="149" t="s">
        <v>205</v>
      </c>
      <c r="C154" s="148" t="s">
        <v>49</v>
      </c>
      <c r="D154" s="39">
        <v>886055165016.224</v>
      </c>
      <c r="E154" s="34">
        <f t="shared" si="94"/>
        <v>0.48529152502714984</v>
      </c>
      <c r="F154" s="33">
        <v>2313.4780000000001</v>
      </c>
      <c r="G154" s="33">
        <v>2313.4780000000001</v>
      </c>
      <c r="H154" s="35">
        <v>13346</v>
      </c>
      <c r="I154" s="57">
        <v>6.9999999999999999E-4</v>
      </c>
      <c r="J154" s="57">
        <v>7.1000000000000004E-3</v>
      </c>
      <c r="K154" s="39">
        <v>874420963531.89502</v>
      </c>
      <c r="L154" s="34">
        <f t="shared" si="92"/>
        <v>0.48458056871136823</v>
      </c>
      <c r="M154" s="33">
        <v>2281.56</v>
      </c>
      <c r="N154" s="33">
        <v>2281.56</v>
      </c>
      <c r="O154" s="35">
        <v>13365</v>
      </c>
      <c r="P154" s="57">
        <v>6.9999999999999999E-4</v>
      </c>
      <c r="Q154" s="57">
        <v>7.7000000000000002E-3</v>
      </c>
      <c r="R154" s="63">
        <f t="shared" si="95"/>
        <v>-1.3130335382804245E-2</v>
      </c>
      <c r="S154" s="63">
        <f t="shared" si="96"/>
        <v>-1.3796543559091601E-2</v>
      </c>
      <c r="T154" s="63">
        <f t="shared" si="97"/>
        <v>1.4236475348419003E-3</v>
      </c>
      <c r="U154" s="63">
        <f t="shared" si="98"/>
        <v>0</v>
      </c>
      <c r="V154" s="64">
        <f t="shared" si="99"/>
        <v>5.9999999999999984E-4</v>
      </c>
    </row>
    <row r="155" spans="1:24">
      <c r="A155" s="167">
        <v>138</v>
      </c>
      <c r="B155" s="149" t="s">
        <v>206</v>
      </c>
      <c r="C155" s="149" t="s">
        <v>115</v>
      </c>
      <c r="D155" s="39">
        <v>557797794.38724005</v>
      </c>
      <c r="E155" s="34">
        <f t="shared" si="94"/>
        <v>3.0550529242725848E-4</v>
      </c>
      <c r="F155" s="33">
        <v>158196.11907000002</v>
      </c>
      <c r="G155" s="33">
        <v>158196.11907000002</v>
      </c>
      <c r="H155" s="35">
        <v>32</v>
      </c>
      <c r="I155" s="57">
        <v>1.5E-3</v>
      </c>
      <c r="J155" s="57">
        <v>1.83E-2</v>
      </c>
      <c r="K155" s="39">
        <f>408867.67*W140</f>
        <v>553197957.50999999</v>
      </c>
      <c r="L155" s="34">
        <f t="shared" si="92"/>
        <v>3.0656742237445816E-4</v>
      </c>
      <c r="M155" s="33">
        <f>115.95*W140</f>
        <v>156880.35</v>
      </c>
      <c r="N155" s="33">
        <f>115.95*W140</f>
        <v>156880.35</v>
      </c>
      <c r="O155" s="35">
        <v>32</v>
      </c>
      <c r="P155" s="57">
        <v>1.5E-3</v>
      </c>
      <c r="Q155" s="57">
        <v>1.9800000000000002E-2</v>
      </c>
      <c r="R155" s="63">
        <f t="shared" ref="R155" si="110">((K155-D155)/D155)</f>
        <v>-8.2464235669722219E-3</v>
      </c>
      <c r="S155" s="63">
        <f t="shared" ref="S155" si="111">((N155-G155)/G155)</f>
        <v>-8.317328375279525E-3</v>
      </c>
      <c r="T155" s="63">
        <f t="shared" ref="T155" si="112">((O155-H155)/H155)</f>
        <v>0</v>
      </c>
      <c r="U155" s="63">
        <f t="shared" ref="U155" si="113">P155-I155</f>
        <v>0</v>
      </c>
      <c r="V155" s="64">
        <f t="shared" ref="V155" si="114">Q155-J155</f>
        <v>1.5000000000000013E-3</v>
      </c>
    </row>
    <row r="156" spans="1:24" ht="16.5" customHeight="1">
      <c r="A156" s="167">
        <v>139</v>
      </c>
      <c r="B156" s="149" t="s">
        <v>207</v>
      </c>
      <c r="C156" s="148" t="s">
        <v>52</v>
      </c>
      <c r="D156" s="39">
        <v>189684404488.2294</v>
      </c>
      <c r="E156" s="34">
        <f t="shared" si="94"/>
        <v>0.103889958055009</v>
      </c>
      <c r="F156" s="33">
        <v>1731.9528591164999</v>
      </c>
      <c r="G156" s="33">
        <v>1731.9528591164999</v>
      </c>
      <c r="H156" s="35">
        <v>998</v>
      </c>
      <c r="I156" s="57">
        <v>1.1000000000000001E-3</v>
      </c>
      <c r="J156" s="57">
        <v>5.4600000000000003E-2</v>
      </c>
      <c r="K156" s="39">
        <f>138148162.04*1353.72</f>
        <v>187013929916.78879</v>
      </c>
      <c r="L156" s="34">
        <f t="shared" si="92"/>
        <v>0.1036380877123378</v>
      </c>
      <c r="M156" s="33">
        <f>1.26206165*1353.72</f>
        <v>1708.4780968379998</v>
      </c>
      <c r="N156" s="33">
        <f>1.26206165*1353.72</f>
        <v>1708.4780968379998</v>
      </c>
      <c r="O156" s="35">
        <v>1000</v>
      </c>
      <c r="P156" s="57">
        <v>6.9999999999999999E-4</v>
      </c>
      <c r="Q156" s="57">
        <v>5.45E-2</v>
      </c>
      <c r="R156" s="63">
        <f t="shared" si="95"/>
        <v>-1.407851414377256E-2</v>
      </c>
      <c r="S156" s="63">
        <f t="shared" si="96"/>
        <v>-1.3553926802877857E-2</v>
      </c>
      <c r="T156" s="63">
        <f t="shared" si="97"/>
        <v>2.004008016032064E-3</v>
      </c>
      <c r="U156" s="63">
        <f t="shared" si="98"/>
        <v>-4.0000000000000007E-4</v>
      </c>
      <c r="V156" s="64">
        <f t="shared" si="99"/>
        <v>-1.0000000000000286E-4</v>
      </c>
    </row>
    <row r="157" spans="1:24" ht="16.5" customHeight="1">
      <c r="A157" s="167">
        <v>140</v>
      </c>
      <c r="B157" s="149" t="s">
        <v>208</v>
      </c>
      <c r="C157" s="148" t="s">
        <v>112</v>
      </c>
      <c r="D157" s="33">
        <v>2405176221.7173791</v>
      </c>
      <c r="E157" s="34">
        <f t="shared" si="94"/>
        <v>1.3173126038658024E-3</v>
      </c>
      <c r="F157" s="33">
        <v>155723.23733999999</v>
      </c>
      <c r="G157" s="33">
        <v>155723.23733999999</v>
      </c>
      <c r="H157" s="35">
        <v>32</v>
      </c>
      <c r="I157" s="57">
        <v>1.6999999999999999E-3</v>
      </c>
      <c r="J157" s="57">
        <v>1.95E-2</v>
      </c>
      <c r="K157" s="33">
        <f>1791720.84830925*W140</f>
        <v>2424198307.7624154</v>
      </c>
      <c r="L157" s="34">
        <f t="shared" si="92"/>
        <v>1.3434254708393654E-3</v>
      </c>
      <c r="M157" s="33">
        <f>114.35*W140</f>
        <v>154715.54999999999</v>
      </c>
      <c r="N157" s="33">
        <f>114.35*W140</f>
        <v>154715.54999999999</v>
      </c>
      <c r="O157" s="35">
        <v>33</v>
      </c>
      <c r="P157" s="57">
        <v>3.2000000000000002E-3</v>
      </c>
      <c r="Q157" s="57">
        <v>2.2800000000000001E-2</v>
      </c>
      <c r="R157" s="63">
        <f t="shared" si="95"/>
        <v>7.9088117840504374E-3</v>
      </c>
      <c r="S157" s="63">
        <f t="shared" si="96"/>
        <v>-6.4710145846753695E-3</v>
      </c>
      <c r="T157" s="63">
        <f t="shared" si="97"/>
        <v>3.125E-2</v>
      </c>
      <c r="U157" s="63">
        <f t="shared" si="98"/>
        <v>1.5000000000000002E-3</v>
      </c>
      <c r="V157" s="64">
        <f t="shared" si="99"/>
        <v>3.3000000000000008E-3</v>
      </c>
    </row>
    <row r="158" spans="1:24" ht="16.5" customHeight="1">
      <c r="A158" s="167">
        <v>141</v>
      </c>
      <c r="B158" s="149" t="s">
        <v>209</v>
      </c>
      <c r="C158" s="148" t="s">
        <v>122</v>
      </c>
      <c r="D158" s="33">
        <v>5900521304.5366497</v>
      </c>
      <c r="E158" s="34">
        <f t="shared" si="94"/>
        <v>3.2317095993468388E-3</v>
      </c>
      <c r="F158" s="33">
        <v>1584.8302799999999</v>
      </c>
      <c r="G158" s="33">
        <v>1584.8302799999999</v>
      </c>
      <c r="H158" s="35">
        <v>58</v>
      </c>
      <c r="I158" s="57">
        <v>1.8E-3</v>
      </c>
      <c r="J158" s="57">
        <v>1.6000000000000001E-3</v>
      </c>
      <c r="K158" s="33">
        <f>4333583.29*W140</f>
        <v>5863338191.3699999</v>
      </c>
      <c r="L158" s="34">
        <f t="shared" si="92"/>
        <v>3.2493042525478326E-3</v>
      </c>
      <c r="M158" s="33">
        <f>1.16*W140</f>
        <v>1569.4799999999998</v>
      </c>
      <c r="N158" s="33">
        <f>1.16*W140</f>
        <v>1569.4799999999998</v>
      </c>
      <c r="O158" s="35">
        <v>58</v>
      </c>
      <c r="P158" s="57">
        <v>2.8E-3</v>
      </c>
      <c r="Q158" s="57">
        <v>4.8999999999999998E-3</v>
      </c>
      <c r="R158" s="63">
        <f t="shared" ref="R158" si="115">((K158-D158)/D158)</f>
        <v>-6.301665776219021E-3</v>
      </c>
      <c r="S158" s="63">
        <f t="shared" ref="S158" si="116">((N158-G158)/G158)</f>
        <v>-9.6857563826961406E-3</v>
      </c>
      <c r="T158" s="63">
        <f t="shared" si="97"/>
        <v>0</v>
      </c>
      <c r="U158" s="63">
        <f t="shared" si="98"/>
        <v>1E-3</v>
      </c>
      <c r="V158" s="64">
        <f t="shared" si="99"/>
        <v>3.3E-3</v>
      </c>
    </row>
    <row r="159" spans="1:24">
      <c r="A159" s="167">
        <v>142</v>
      </c>
      <c r="B159" s="149" t="s">
        <v>210</v>
      </c>
      <c r="C159" s="148" t="s">
        <v>124</v>
      </c>
      <c r="D159" s="33">
        <v>1888855691.2575898</v>
      </c>
      <c r="E159" s="34">
        <f t="shared" si="94"/>
        <v>1.0345243672834105E-3</v>
      </c>
      <c r="F159" s="33">
        <v>2049.3494999999998</v>
      </c>
      <c r="G159" s="33">
        <v>2049.3494999999998</v>
      </c>
      <c r="H159" s="35">
        <v>142</v>
      </c>
      <c r="I159" s="57">
        <v>8.1799999999999998E-2</v>
      </c>
      <c r="J159" s="57">
        <v>1.43E-2</v>
      </c>
      <c r="K159" s="33">
        <f>1385617.85*W140</f>
        <v>1874740951.0500002</v>
      </c>
      <c r="L159" s="34">
        <f>(K159/$K$160)</f>
        <v>1.038930988773308E-3</v>
      </c>
      <c r="M159" s="33">
        <f>1.51*W140</f>
        <v>2043.03</v>
      </c>
      <c r="N159" s="33">
        <f>1.51*W140</f>
        <v>2043.03</v>
      </c>
      <c r="O159" s="35">
        <v>142</v>
      </c>
      <c r="P159" s="57">
        <v>1.9E-3</v>
      </c>
      <c r="Q159" s="57">
        <v>1.15E-2</v>
      </c>
      <c r="R159" s="63">
        <f t="shared" si="95"/>
        <v>-7.4726408549464721E-3</v>
      </c>
      <c r="S159" s="63">
        <f t="shared" si="96"/>
        <v>-3.0836614252472967E-3</v>
      </c>
      <c r="T159" s="63">
        <f t="shared" si="97"/>
        <v>0</v>
      </c>
      <c r="U159" s="63">
        <f t="shared" si="98"/>
        <v>-7.9899999999999999E-2</v>
      </c>
      <c r="V159" s="64">
        <f t="shared" si="99"/>
        <v>-2.8000000000000004E-3</v>
      </c>
    </row>
    <row r="160" spans="1:24">
      <c r="A160" s="42"/>
      <c r="B160" s="43"/>
      <c r="C160" s="78" t="s">
        <v>55</v>
      </c>
      <c r="D160" s="66">
        <f>SUM(D121:D159)</f>
        <v>1825820397268.7412</v>
      </c>
      <c r="E160" s="46">
        <f>(D160/$D$236)</f>
        <v>0.2183437451702977</v>
      </c>
      <c r="F160" s="47"/>
      <c r="G160" s="52"/>
      <c r="H160" s="49">
        <f>SUM(H121:H159)</f>
        <v>30548</v>
      </c>
      <c r="I160" s="82"/>
      <c r="J160" s="82"/>
      <c r="K160" s="66">
        <f>SUM(K121:K159)</f>
        <v>1804490357211.8433</v>
      </c>
      <c r="L160" s="46">
        <f>(K160/$K$236)</f>
        <v>0.21434086789809223</v>
      </c>
      <c r="M160" s="47"/>
      <c r="N160" s="52"/>
      <c r="O160" s="49">
        <f>SUM(O121:O159)</f>
        <v>30659</v>
      </c>
      <c r="P160" s="82"/>
      <c r="Q160" s="82"/>
      <c r="R160" s="63">
        <f t="shared" si="95"/>
        <v>-1.1682441541788952E-2</v>
      </c>
      <c r="S160" s="63" t="e">
        <f t="shared" si="96"/>
        <v>#DIV/0!</v>
      </c>
      <c r="T160" s="63">
        <f t="shared" si="97"/>
        <v>3.6336257692811311E-3</v>
      </c>
      <c r="U160" s="63">
        <f t="shared" si="98"/>
        <v>0</v>
      </c>
      <c r="V160" s="64">
        <f t="shared" si="99"/>
        <v>0</v>
      </c>
    </row>
    <row r="161" spans="1:24" ht="6" customHeight="1">
      <c r="A161" s="42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</row>
    <row r="162" spans="1:24">
      <c r="A162" s="198" t="s">
        <v>211</v>
      </c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</row>
    <row r="163" spans="1:24">
      <c r="A163" s="167">
        <v>143</v>
      </c>
      <c r="B163" s="149" t="s">
        <v>212</v>
      </c>
      <c r="C163" s="148" t="s">
        <v>213</v>
      </c>
      <c r="D163" s="79">
        <v>2363500517.1911201</v>
      </c>
      <c r="E163" s="34">
        <f>(D163/$D$169)</f>
        <v>4.7970828189922163E-3</v>
      </c>
      <c r="F163" s="67">
        <v>111.380797228611</v>
      </c>
      <c r="G163" s="67">
        <v>111.380797228611</v>
      </c>
      <c r="H163" s="35">
        <v>8</v>
      </c>
      <c r="I163" s="57">
        <v>1.8E-3</v>
      </c>
      <c r="J163" s="57">
        <v>5.9499999999999997E-2</v>
      </c>
      <c r="K163" s="79">
        <v>2371063718.8461399</v>
      </c>
      <c r="L163" s="34">
        <f>(K163/$K$169)</f>
        <v>4.8079980839170833E-3</v>
      </c>
      <c r="M163" s="67">
        <v>111.737215779742</v>
      </c>
      <c r="N163" s="67">
        <v>111.737215779742</v>
      </c>
      <c r="O163" s="35">
        <v>8</v>
      </c>
      <c r="P163" s="57">
        <v>3.2000000000000002E-3</v>
      </c>
      <c r="Q163" s="57">
        <v>6.2899999999999998E-2</v>
      </c>
      <c r="R163" s="63">
        <f t="shared" ref="R163:R169" si="117">((K163-D163)/D163)</f>
        <v>3.2000000000034592E-3</v>
      </c>
      <c r="S163" s="63">
        <f t="shared" ref="S163:T169" si="118">((N163-G163)/G163)</f>
        <v>3.1999999999950159E-3</v>
      </c>
      <c r="T163" s="63">
        <f t="shared" si="118"/>
        <v>0</v>
      </c>
      <c r="U163" s="63">
        <f t="shared" ref="U163:V169" si="119">P163-I163</f>
        <v>1.4000000000000002E-3</v>
      </c>
      <c r="V163" s="64">
        <f t="shared" si="119"/>
        <v>3.4000000000000002E-3</v>
      </c>
    </row>
    <row r="164" spans="1:24">
      <c r="A164" s="167">
        <v>144</v>
      </c>
      <c r="B164" s="149" t="s">
        <v>214</v>
      </c>
      <c r="C164" s="148" t="s">
        <v>23</v>
      </c>
      <c r="D164" s="79">
        <v>258314301397.39999</v>
      </c>
      <c r="E164" s="34">
        <v>0</v>
      </c>
      <c r="F164" s="67">
        <v>103.3257</v>
      </c>
      <c r="G164" s="67">
        <v>103.3257</v>
      </c>
      <c r="H164" s="35">
        <v>45</v>
      </c>
      <c r="I164" s="57">
        <v>9.0499999999999997E-2</v>
      </c>
      <c r="J164" s="57">
        <v>0.11459999999999999</v>
      </c>
      <c r="K164" s="79">
        <v>258744062720.12</v>
      </c>
      <c r="L164" s="34">
        <f t="shared" ref="L164:L168" si="120">(K164/$K$169)</f>
        <v>0.52467630789300834</v>
      </c>
      <c r="M164" s="67">
        <v>103.49760000000001</v>
      </c>
      <c r="N164" s="67">
        <v>103.49760000000001</v>
      </c>
      <c r="O164" s="35">
        <v>45</v>
      </c>
      <c r="P164" s="57">
        <v>8.6699999999999999E-2</v>
      </c>
      <c r="Q164" s="57">
        <v>0.1123</v>
      </c>
      <c r="R164" s="63">
        <f t="shared" ref="R164" si="121">((K164-D164)/D164)</f>
        <v>1.6637147861931229E-3</v>
      </c>
      <c r="S164" s="63">
        <f t="shared" ref="S164" si="122">((N164-G164)/G164)</f>
        <v>1.6636712841046123E-3</v>
      </c>
      <c r="T164" s="63">
        <f t="shared" ref="T164" si="123">((O164-H164)/H164)</f>
        <v>0</v>
      </c>
      <c r="U164" s="63">
        <f t="shared" ref="U164" si="124">P164-I164</f>
        <v>-3.7999999999999978E-3</v>
      </c>
      <c r="V164" s="64">
        <f t="shared" ref="V164" si="125">Q164-J164</f>
        <v>-2.2999999999999965E-3</v>
      </c>
    </row>
    <row r="165" spans="1:24">
      <c r="A165" s="167">
        <v>145</v>
      </c>
      <c r="B165" s="149" t="s">
        <v>215</v>
      </c>
      <c r="C165" s="148" t="s">
        <v>47</v>
      </c>
      <c r="D165" s="39">
        <v>163627573866</v>
      </c>
      <c r="E165" s="34">
        <f>(D165/$D$169)</f>
        <v>0.33210698182491494</v>
      </c>
      <c r="F165" s="67">
        <v>103</v>
      </c>
      <c r="G165" s="67">
        <v>103</v>
      </c>
      <c r="H165" s="35">
        <v>851</v>
      </c>
      <c r="I165" s="57">
        <v>9.4E-2</v>
      </c>
      <c r="J165" s="57">
        <v>9.4E-2</v>
      </c>
      <c r="K165" s="39">
        <v>163627573866</v>
      </c>
      <c r="L165" s="34">
        <f t="shared" si="120"/>
        <v>0.33180089399140267</v>
      </c>
      <c r="M165" s="67">
        <v>103</v>
      </c>
      <c r="N165" s="67">
        <v>103</v>
      </c>
      <c r="O165" s="35">
        <v>851</v>
      </c>
      <c r="P165" s="57">
        <v>9.4E-2</v>
      </c>
      <c r="Q165" s="57">
        <v>9.4E-2</v>
      </c>
      <c r="R165" s="63">
        <f t="shared" si="117"/>
        <v>0</v>
      </c>
      <c r="S165" s="63">
        <f t="shared" si="118"/>
        <v>0</v>
      </c>
      <c r="T165" s="63">
        <f t="shared" si="118"/>
        <v>0</v>
      </c>
      <c r="U165" s="63">
        <f t="shared" si="119"/>
        <v>0</v>
      </c>
      <c r="V165" s="64">
        <f t="shared" si="119"/>
        <v>0</v>
      </c>
    </row>
    <row r="166" spans="1:24" ht="15.75" customHeight="1">
      <c r="A166" s="167">
        <v>146</v>
      </c>
      <c r="B166" s="149" t="s">
        <v>217</v>
      </c>
      <c r="C166" s="148" t="s">
        <v>160</v>
      </c>
      <c r="D166" s="39">
        <v>6525837891.3148298</v>
      </c>
      <c r="E166" s="34">
        <f>(D166/$D$169)</f>
        <v>1.3245177904661041E-2</v>
      </c>
      <c r="F166" s="67">
        <v>418.75</v>
      </c>
      <c r="G166" s="67">
        <v>418.75</v>
      </c>
      <c r="H166" s="35">
        <v>4897</v>
      </c>
      <c r="I166" s="57">
        <v>8.2500000000000004E-2</v>
      </c>
      <c r="J166" s="57">
        <v>9.1499999999999998E-2</v>
      </c>
      <c r="K166" s="39">
        <v>6528773620.0671196</v>
      </c>
      <c r="L166" s="34">
        <f t="shared" si="120"/>
        <v>1.3238923444405356E-2</v>
      </c>
      <c r="M166" s="67">
        <v>418.75</v>
      </c>
      <c r="N166" s="67">
        <v>418.75</v>
      </c>
      <c r="O166" s="35">
        <v>4897</v>
      </c>
      <c r="P166" s="57">
        <v>3.1099999999999999E-2</v>
      </c>
      <c r="Q166" s="57">
        <v>8.3900000000000002E-2</v>
      </c>
      <c r="R166" s="63">
        <f t="shared" si="117"/>
        <v>4.4986234736184652E-4</v>
      </c>
      <c r="S166" s="63">
        <f t="shared" si="118"/>
        <v>0</v>
      </c>
      <c r="T166" s="63">
        <f t="shared" si="118"/>
        <v>0</v>
      </c>
      <c r="U166" s="63">
        <f t="shared" si="119"/>
        <v>-5.1400000000000001E-2</v>
      </c>
      <c r="V166" s="64">
        <f t="shared" si="119"/>
        <v>-7.5999999999999956E-3</v>
      </c>
    </row>
    <row r="167" spans="1:24">
      <c r="A167" s="167">
        <v>147</v>
      </c>
      <c r="B167" s="149" t="s">
        <v>216</v>
      </c>
      <c r="C167" s="148" t="s">
        <v>160</v>
      </c>
      <c r="D167" s="39">
        <v>27988385485.77</v>
      </c>
      <c r="E167" s="34">
        <f>(D167/$D$169)</f>
        <v>5.6806673901083599E-2</v>
      </c>
      <c r="F167" s="67">
        <v>69.25</v>
      </c>
      <c r="G167" s="67">
        <v>69.25</v>
      </c>
      <c r="H167" s="35">
        <v>6424</v>
      </c>
      <c r="I167" s="57">
        <v>6.7999999999999996E-3</v>
      </c>
      <c r="J167" s="57">
        <v>3.09E-2</v>
      </c>
      <c r="K167" s="39">
        <v>28002638956.290001</v>
      </c>
      <c r="L167" s="34">
        <f t="shared" si="120"/>
        <v>5.6783220702303225E-2</v>
      </c>
      <c r="M167" s="67">
        <v>69.25</v>
      </c>
      <c r="N167" s="67">
        <v>69.25</v>
      </c>
      <c r="O167" s="35">
        <v>6424</v>
      </c>
      <c r="P167" s="57">
        <v>2.7099999999999999E-2</v>
      </c>
      <c r="Q167" s="57">
        <v>3.1300000000000001E-2</v>
      </c>
      <c r="R167" s="63">
        <f t="shared" si="117"/>
        <v>5.0926376325805868E-4</v>
      </c>
      <c r="S167" s="63">
        <f t="shared" si="118"/>
        <v>0</v>
      </c>
      <c r="T167" s="63">
        <f t="shared" si="118"/>
        <v>0</v>
      </c>
      <c r="U167" s="63">
        <f t="shared" si="119"/>
        <v>2.0299999999999999E-2</v>
      </c>
      <c r="V167" s="64">
        <f t="shared" si="119"/>
        <v>4.0000000000000105E-4</v>
      </c>
    </row>
    <row r="168" spans="1:24">
      <c r="A168" s="167">
        <v>148</v>
      </c>
      <c r="B168" s="149" t="s">
        <v>324</v>
      </c>
      <c r="C168" s="148" t="s">
        <v>160</v>
      </c>
      <c r="D168" s="39">
        <v>33875775588.355701</v>
      </c>
      <c r="E168" s="34">
        <f>(D168/$D$169)</f>
        <v>6.8756025172384772E-2</v>
      </c>
      <c r="F168" s="67">
        <v>7.5</v>
      </c>
      <c r="G168" s="67">
        <v>7.5</v>
      </c>
      <c r="H168" s="35">
        <v>211092</v>
      </c>
      <c r="I168" s="57">
        <v>0</v>
      </c>
      <c r="J168" s="57">
        <v>0</v>
      </c>
      <c r="K168" s="39">
        <v>33875775588.355701</v>
      </c>
      <c r="L168" s="34">
        <f t="shared" si="120"/>
        <v>6.869265588496333E-2</v>
      </c>
      <c r="M168" s="67">
        <v>7.2</v>
      </c>
      <c r="N168" s="67">
        <v>7.2</v>
      </c>
      <c r="O168" s="35">
        <v>211092</v>
      </c>
      <c r="P168" s="57">
        <v>0</v>
      </c>
      <c r="Q168" s="57">
        <v>0</v>
      </c>
      <c r="R168" s="63">
        <f t="shared" si="117"/>
        <v>0</v>
      </c>
      <c r="S168" s="63">
        <f t="shared" si="118"/>
        <v>-3.9999999999999973E-2</v>
      </c>
      <c r="T168" s="63">
        <f t="shared" si="118"/>
        <v>0</v>
      </c>
      <c r="U168" s="63">
        <f t="shared" si="119"/>
        <v>0</v>
      </c>
      <c r="V168" s="64">
        <f t="shared" si="119"/>
        <v>0</v>
      </c>
    </row>
    <row r="169" spans="1:24">
      <c r="A169" s="42"/>
      <c r="B169" s="80"/>
      <c r="C169" s="44" t="s">
        <v>55</v>
      </c>
      <c r="D169" s="45">
        <f>SUM(D163:D168)</f>
        <v>492695374746.03168</v>
      </c>
      <c r="E169" s="46">
        <f>(D169/$D$236)</f>
        <v>5.891978943331834E-2</v>
      </c>
      <c r="F169" s="47"/>
      <c r="G169" s="81"/>
      <c r="H169" s="49">
        <f>SUM(H163:H168)</f>
        <v>223317</v>
      </c>
      <c r="I169" s="83"/>
      <c r="J169" s="83"/>
      <c r="K169" s="45">
        <f>SUM(K163:K168)</f>
        <v>493149888469.67896</v>
      </c>
      <c r="L169" s="46">
        <f>(K169/$K$236)</f>
        <v>5.8577301162063881E-2</v>
      </c>
      <c r="M169" s="47"/>
      <c r="N169" s="81"/>
      <c r="O169" s="49">
        <f>SUM(O163:O168)</f>
        <v>223317</v>
      </c>
      <c r="P169" s="83"/>
      <c r="Q169" s="83"/>
      <c r="R169" s="63">
        <f t="shared" si="117"/>
        <v>9.2250454732108005E-4</v>
      </c>
      <c r="S169" s="63" t="e">
        <f t="shared" si="118"/>
        <v>#DIV/0!</v>
      </c>
      <c r="T169" s="63">
        <f t="shared" si="118"/>
        <v>0</v>
      </c>
      <c r="U169" s="63">
        <f t="shared" si="119"/>
        <v>0</v>
      </c>
      <c r="V169" s="64">
        <f t="shared" si="119"/>
        <v>0</v>
      </c>
    </row>
    <row r="170" spans="1:24" ht="5.25" customHeight="1">
      <c r="A170" s="42"/>
      <c r="B170" s="196"/>
      <c r="C170" s="196"/>
      <c r="D170" s="196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</row>
    <row r="171" spans="1:24" ht="15" customHeight="1">
      <c r="A171" s="198" t="s">
        <v>218</v>
      </c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</row>
    <row r="172" spans="1:24">
      <c r="A172" s="168">
        <v>149</v>
      </c>
      <c r="B172" s="149" t="s">
        <v>219</v>
      </c>
      <c r="C172" s="148" t="s">
        <v>59</v>
      </c>
      <c r="D172" s="33">
        <v>797617894.10000002</v>
      </c>
      <c r="E172" s="34">
        <f t="shared" ref="E172:E200" si="126">(D172/$D$201)</f>
        <v>6.6451659688062442E-3</v>
      </c>
      <c r="F172" s="33">
        <v>8.8699999999999992</v>
      </c>
      <c r="G172" s="33">
        <v>9.01</v>
      </c>
      <c r="H172" s="37">
        <v>11963</v>
      </c>
      <c r="I172" s="58">
        <v>-1.823E-3</v>
      </c>
      <c r="J172" s="58">
        <v>0.13091</v>
      </c>
      <c r="K172" s="33">
        <v>800218159.17999995</v>
      </c>
      <c r="L172" s="61">
        <f t="shared" ref="L172:L200" si="127">(K172/$K$201)</f>
        <v>6.5633590650088867E-3</v>
      </c>
      <c r="M172" s="33">
        <v>8.9</v>
      </c>
      <c r="N172" s="33">
        <v>9.0399999999999991</v>
      </c>
      <c r="O172" s="37">
        <v>11965</v>
      </c>
      <c r="P172" s="58">
        <v>3.6979999999999999E-3</v>
      </c>
      <c r="Q172" s="58">
        <v>0.13460800000000001</v>
      </c>
      <c r="R172" s="63">
        <f>((K172-D172)/D172)</f>
        <v>3.2600385463191725E-3</v>
      </c>
      <c r="S172" s="63">
        <f>((N172-G172)/G172)</f>
        <v>3.3296337402884974E-3</v>
      </c>
      <c r="T172" s="63">
        <f>((O172-H172)/H172)</f>
        <v>1.6718214494691966E-4</v>
      </c>
      <c r="U172" s="63">
        <f>P172-I172</f>
        <v>5.5209999999999999E-3</v>
      </c>
      <c r="V172" s="64">
        <f>Q172-J172</f>
        <v>3.6980000000000068E-3</v>
      </c>
      <c r="X172" s="135"/>
    </row>
    <row r="173" spans="1:24">
      <c r="A173" s="168">
        <v>150</v>
      </c>
      <c r="B173" s="149" t="s">
        <v>220</v>
      </c>
      <c r="C173" s="149" t="s">
        <v>221</v>
      </c>
      <c r="D173" s="33">
        <v>2825892110.1891799</v>
      </c>
      <c r="E173" s="34">
        <f t="shared" si="126"/>
        <v>2.3543255763257585E-2</v>
      </c>
      <c r="F173" s="33">
        <v>2709.6733381091799</v>
      </c>
      <c r="G173" s="33">
        <v>2729.80142549432</v>
      </c>
      <c r="H173" s="37">
        <v>211</v>
      </c>
      <c r="I173" s="58">
        <v>-7.7999999999999996E-3</v>
      </c>
      <c r="J173" s="58">
        <v>0.23380000000000001</v>
      </c>
      <c r="K173" s="33">
        <v>2927978568.3246698</v>
      </c>
      <c r="L173" s="61">
        <f t="shared" si="127"/>
        <v>2.4015169436117149E-2</v>
      </c>
      <c r="M173" s="33">
        <v>2752.53916060239</v>
      </c>
      <c r="N173" s="33">
        <v>2772.9541611946602</v>
      </c>
      <c r="O173" s="37">
        <v>214</v>
      </c>
      <c r="P173" s="58">
        <v>7.9000000000000008E-3</v>
      </c>
      <c r="Q173" s="58">
        <v>0.25340000000000001</v>
      </c>
      <c r="R173" s="63">
        <f>((K173-D173)/D173)</f>
        <v>3.6125391258711483E-2</v>
      </c>
      <c r="S173" s="63">
        <f>((N173-G173)/G173)</f>
        <v>1.5808012735771038E-2</v>
      </c>
      <c r="T173" s="63">
        <f>((O173-H173)/H173)</f>
        <v>1.4218009478672985E-2</v>
      </c>
      <c r="U173" s="63">
        <f>P173-I173</f>
        <v>1.5699999999999999E-2</v>
      </c>
      <c r="V173" s="64">
        <f>Q173-J173</f>
        <v>1.9600000000000006E-2</v>
      </c>
    </row>
    <row r="174" spans="1:24">
      <c r="A174" s="168">
        <v>151</v>
      </c>
      <c r="B174" s="149" t="s">
        <v>222</v>
      </c>
      <c r="C174" s="148" t="s">
        <v>23</v>
      </c>
      <c r="D174" s="33">
        <v>12730787600.26</v>
      </c>
      <c r="E174" s="34">
        <f t="shared" si="126"/>
        <v>0.10606356394850629</v>
      </c>
      <c r="F174" s="33">
        <v>1226.6764000000001</v>
      </c>
      <c r="G174" s="33">
        <v>1263.6615999999999</v>
      </c>
      <c r="H174" s="37">
        <v>22605</v>
      </c>
      <c r="I174" s="58">
        <v>0.1749</v>
      </c>
      <c r="J174" s="58">
        <v>0.82440000000000002</v>
      </c>
      <c r="K174" s="33">
        <v>12836573446.860001</v>
      </c>
      <c r="L174" s="61">
        <f t="shared" si="127"/>
        <v>0.10528508973407293</v>
      </c>
      <c r="M174" s="33">
        <v>1237.6908000000001</v>
      </c>
      <c r="N174" s="33">
        <v>1275.0082</v>
      </c>
      <c r="O174" s="37">
        <v>22615</v>
      </c>
      <c r="P174" s="58">
        <v>0.46820000000000001</v>
      </c>
      <c r="Q174" s="58">
        <v>0.79959999999999998</v>
      </c>
      <c r="R174" s="63">
        <f t="shared" ref="R174:R200" si="128">((K174-D174)/D174)</f>
        <v>8.3094502808168692E-3</v>
      </c>
      <c r="S174" s="63">
        <f t="shared" ref="S174:T200" si="129">((N174-G174)/G174)</f>
        <v>8.9791444165115732E-3</v>
      </c>
      <c r="T174" s="63">
        <f t="shared" si="129"/>
        <v>4.4238000442380006E-4</v>
      </c>
      <c r="U174" s="63">
        <f t="shared" ref="U174:V200" si="130">P174-I174</f>
        <v>0.29330000000000001</v>
      </c>
      <c r="V174" s="64">
        <f t="shared" si="130"/>
        <v>-2.4800000000000044E-2</v>
      </c>
    </row>
    <row r="175" spans="1:24">
      <c r="A175" s="168">
        <v>152</v>
      </c>
      <c r="B175" s="149" t="s">
        <v>223</v>
      </c>
      <c r="C175" s="148" t="s">
        <v>126</v>
      </c>
      <c r="D175" s="33">
        <v>7373975939.79</v>
      </c>
      <c r="E175" s="34">
        <f t="shared" si="126"/>
        <v>6.1434546958327257E-2</v>
      </c>
      <c r="F175" s="33">
        <v>42.533499999999997</v>
      </c>
      <c r="G175" s="33">
        <v>43.107100000000003</v>
      </c>
      <c r="H175" s="35">
        <v>6245</v>
      </c>
      <c r="I175" s="57">
        <v>-3.3999999999999998E-3</v>
      </c>
      <c r="J175" s="57">
        <v>0.2545</v>
      </c>
      <c r="K175" s="33">
        <v>7334418322.2399998</v>
      </c>
      <c r="L175" s="61">
        <f t="shared" si="127"/>
        <v>6.0156621578257609E-2</v>
      </c>
      <c r="M175" s="33">
        <v>42.447099999999999</v>
      </c>
      <c r="N175" s="33">
        <v>43.0214</v>
      </c>
      <c r="O175" s="35">
        <v>6264</v>
      </c>
      <c r="P175" s="57">
        <v>2.5999999999999999E-3</v>
      </c>
      <c r="Q175" s="57">
        <v>0.26319999999999999</v>
      </c>
      <c r="R175" s="63">
        <f t="shared" si="128"/>
        <v>-5.3644896420867267E-3</v>
      </c>
      <c r="S175" s="63">
        <f t="shared" si="129"/>
        <v>-1.9880715705766052E-3</v>
      </c>
      <c r="T175" s="63">
        <f t="shared" si="129"/>
        <v>3.0424339471577262E-3</v>
      </c>
      <c r="U175" s="63">
        <f t="shared" si="130"/>
        <v>6.0000000000000001E-3</v>
      </c>
      <c r="V175" s="64">
        <f t="shared" si="130"/>
        <v>8.6999999999999855E-3</v>
      </c>
    </row>
    <row r="176" spans="1:24">
      <c r="A176" s="168">
        <v>153</v>
      </c>
      <c r="B176" s="149" t="s">
        <v>224</v>
      </c>
      <c r="C176" s="148" t="s">
        <v>134</v>
      </c>
      <c r="D176" s="39">
        <v>3162148966.2728601</v>
      </c>
      <c r="E176" s="34">
        <f t="shared" si="126"/>
        <v>2.6344700707451509E-2</v>
      </c>
      <c r="F176" s="33">
        <v>7.5564999999999998</v>
      </c>
      <c r="G176" s="33">
        <v>7.7472000000000003</v>
      </c>
      <c r="H176" s="35">
        <v>2736</v>
      </c>
      <c r="I176" s="57">
        <v>-9.8799999999999999E-2</v>
      </c>
      <c r="J176" s="57">
        <v>0.66249999999999998</v>
      </c>
      <c r="K176" s="39">
        <v>3230036195.9499998</v>
      </c>
      <c r="L176" s="61">
        <f t="shared" si="127"/>
        <v>2.6492634669424663E-2</v>
      </c>
      <c r="M176" s="33">
        <v>7.7173999999999996</v>
      </c>
      <c r="N176" s="33">
        <v>7.9149000000000003</v>
      </c>
      <c r="O176" s="35">
        <v>2736</v>
      </c>
      <c r="P176" s="57">
        <v>1.5802</v>
      </c>
      <c r="Q176" s="57">
        <v>1.3660000000000001</v>
      </c>
      <c r="R176" s="63">
        <f t="shared" si="128"/>
        <v>2.1468700684634922E-2</v>
      </c>
      <c r="S176" s="63">
        <f t="shared" si="129"/>
        <v>2.1646530359355633E-2</v>
      </c>
      <c r="T176" s="63">
        <f t="shared" si="129"/>
        <v>0</v>
      </c>
      <c r="U176" s="63">
        <f t="shared" si="130"/>
        <v>1.679</v>
      </c>
      <c r="V176" s="64">
        <f t="shared" si="130"/>
        <v>0.70350000000000013</v>
      </c>
      <c r="X176" s="135"/>
    </row>
    <row r="177" spans="1:24">
      <c r="A177" s="168">
        <v>154</v>
      </c>
      <c r="B177" s="149" t="s">
        <v>225</v>
      </c>
      <c r="C177" s="148" t="s">
        <v>27</v>
      </c>
      <c r="D177" s="39">
        <v>1708223894.3199999</v>
      </c>
      <c r="E177" s="34">
        <f t="shared" si="126"/>
        <v>1.4231665780825338E-2</v>
      </c>
      <c r="F177" s="33">
        <v>1.5516000000000001</v>
      </c>
      <c r="G177" s="33">
        <v>1.5639000000000001</v>
      </c>
      <c r="H177" s="35">
        <v>341</v>
      </c>
      <c r="I177" s="57">
        <v>6.1000000000000004E-3</v>
      </c>
      <c r="J177" s="57">
        <v>0.24779999999999999</v>
      </c>
      <c r="K177" s="39">
        <v>1796945152.3399999</v>
      </c>
      <c r="L177" s="61">
        <f t="shared" si="127"/>
        <v>1.4738476151328613E-2</v>
      </c>
      <c r="M177" s="33">
        <v>1.5609999999999999</v>
      </c>
      <c r="N177" s="33">
        <v>1.5729</v>
      </c>
      <c r="O177" s="35">
        <v>364</v>
      </c>
      <c r="P177" s="57">
        <v>5.8999999999999999E-3</v>
      </c>
      <c r="Q177" s="57">
        <v>0.25519999999999998</v>
      </c>
      <c r="R177" s="63">
        <f t="shared" ref="R177" si="131">((K177-D177)/D177)</f>
        <v>5.1937722165698683E-2</v>
      </c>
      <c r="S177" s="63">
        <f t="shared" ref="S177" si="132">((N177-G177)/G177)</f>
        <v>5.7548436600805015E-3</v>
      </c>
      <c r="T177" s="63">
        <f t="shared" ref="T177" si="133">((O177-H177)/H177)</f>
        <v>6.7448680351906154E-2</v>
      </c>
      <c r="U177" s="63">
        <f t="shared" ref="U177" si="134">P177-I177</f>
        <v>-2.0000000000000052E-4</v>
      </c>
      <c r="V177" s="64">
        <f t="shared" ref="V177" si="135">Q177-J177</f>
        <v>7.3999999999999899E-3</v>
      </c>
    </row>
    <row r="178" spans="1:24">
      <c r="A178" s="168">
        <v>155</v>
      </c>
      <c r="B178" s="149" t="s">
        <v>226</v>
      </c>
      <c r="C178" s="148" t="s">
        <v>70</v>
      </c>
      <c r="D178" s="33">
        <v>8956030894.0349293</v>
      </c>
      <c r="E178" s="34">
        <f t="shared" si="126"/>
        <v>7.461506587658974E-2</v>
      </c>
      <c r="F178" s="33">
        <v>13373.0571951445</v>
      </c>
      <c r="G178" s="33">
        <v>13473.407397168599</v>
      </c>
      <c r="H178" s="35">
        <v>1562</v>
      </c>
      <c r="I178" s="57">
        <v>-0.51180000000000003</v>
      </c>
      <c r="J178" s="57">
        <v>0.50080000000000002</v>
      </c>
      <c r="K178" s="33">
        <v>8959766208.1701603</v>
      </c>
      <c r="L178" s="61">
        <f t="shared" si="127"/>
        <v>7.3487663442946369E-2</v>
      </c>
      <c r="M178" s="33">
        <v>13329.1301027478</v>
      </c>
      <c r="N178" s="33">
        <v>13428.0401232492</v>
      </c>
      <c r="O178" s="35">
        <v>1571</v>
      </c>
      <c r="P178" s="57">
        <v>-0.17130000000000001</v>
      </c>
      <c r="Q178" s="57">
        <v>0.89400000000000002</v>
      </c>
      <c r="R178" s="63">
        <f t="shared" si="128"/>
        <v>4.170724933205495E-4</v>
      </c>
      <c r="S178" s="63">
        <f t="shared" si="129"/>
        <v>-3.3671715388738821E-3</v>
      </c>
      <c r="T178" s="63">
        <f t="shared" si="129"/>
        <v>5.7618437900128043E-3</v>
      </c>
      <c r="U178" s="63">
        <f t="shared" si="130"/>
        <v>0.34050000000000002</v>
      </c>
      <c r="V178" s="64">
        <f t="shared" si="130"/>
        <v>0.39319999999999999</v>
      </c>
    </row>
    <row r="179" spans="1:24">
      <c r="A179" s="162">
        <v>156</v>
      </c>
      <c r="B179" s="164" t="s">
        <v>227</v>
      </c>
      <c r="C179" s="148" t="s">
        <v>72</v>
      </c>
      <c r="D179" s="33">
        <v>1706395903.6199999</v>
      </c>
      <c r="E179" s="34">
        <f t="shared" si="126"/>
        <v>1.4216436306059552E-2</v>
      </c>
      <c r="F179" s="33">
        <v>275.60000000000002</v>
      </c>
      <c r="G179" s="33">
        <v>277.76</v>
      </c>
      <c r="H179" s="35">
        <v>508</v>
      </c>
      <c r="I179" s="57">
        <v>-5.0000000000000001E-4</v>
      </c>
      <c r="J179" s="57">
        <v>0.19359999999999999</v>
      </c>
      <c r="K179" s="33">
        <v>1742872680.78</v>
      </c>
      <c r="L179" s="61">
        <f t="shared" si="127"/>
        <v>1.4294975785447849E-2</v>
      </c>
      <c r="M179" s="33">
        <v>280.14</v>
      </c>
      <c r="N179" s="33">
        <v>282.36</v>
      </c>
      <c r="O179" s="35">
        <v>508</v>
      </c>
      <c r="P179" s="57">
        <v>1.6500000000000001E-2</v>
      </c>
      <c r="Q179" s="57">
        <v>0.21329999999999999</v>
      </c>
      <c r="R179" s="63">
        <f t="shared" si="128"/>
        <v>2.1376503004148773E-2</v>
      </c>
      <c r="S179" s="63">
        <f t="shared" si="129"/>
        <v>1.6561059907834182E-2</v>
      </c>
      <c r="T179" s="63">
        <f t="shared" si="129"/>
        <v>0</v>
      </c>
      <c r="U179" s="63">
        <f t="shared" si="130"/>
        <v>1.7000000000000001E-2</v>
      </c>
      <c r="V179" s="64">
        <f t="shared" si="130"/>
        <v>1.9699999999999995E-2</v>
      </c>
    </row>
    <row r="180" spans="1:24">
      <c r="A180" s="168">
        <v>157</v>
      </c>
      <c r="B180" s="149" t="s">
        <v>228</v>
      </c>
      <c r="C180" s="148" t="s">
        <v>229</v>
      </c>
      <c r="D180" s="33">
        <v>4135117952.2199998</v>
      </c>
      <c r="E180" s="34">
        <f t="shared" si="126"/>
        <v>3.4450763073837244E-2</v>
      </c>
      <c r="F180" s="33">
        <v>2.4226999999999999</v>
      </c>
      <c r="G180" s="33">
        <v>2.4676</v>
      </c>
      <c r="H180" s="35">
        <v>4439</v>
      </c>
      <c r="I180" s="57">
        <v>2.8E-3</v>
      </c>
      <c r="J180" s="57">
        <v>0.14050000000000001</v>
      </c>
      <c r="K180" s="33">
        <v>4537382295.2399998</v>
      </c>
      <c r="L180" s="61">
        <f t="shared" si="127"/>
        <v>3.7215437911820123E-2</v>
      </c>
      <c r="M180" s="33">
        <v>2.4255</v>
      </c>
      <c r="N180" s="33">
        <v>2.4702000000000002</v>
      </c>
      <c r="O180" s="35">
        <v>4471</v>
      </c>
      <c r="P180" s="57">
        <v>1.1999999999999999E-3</v>
      </c>
      <c r="Q180" s="57">
        <v>0.14180000000000001</v>
      </c>
      <c r="R180" s="63">
        <f t="shared" si="128"/>
        <v>9.7280016596391974E-2</v>
      </c>
      <c r="S180" s="63">
        <f t="shared" si="129"/>
        <v>1.0536553736424695E-3</v>
      </c>
      <c r="T180" s="63">
        <f t="shared" si="129"/>
        <v>7.2088308177517459E-3</v>
      </c>
      <c r="U180" s="63">
        <f t="shared" si="130"/>
        <v>-1.6000000000000001E-3</v>
      </c>
      <c r="V180" s="64">
        <f t="shared" si="130"/>
        <v>1.2999999999999956E-3</v>
      </c>
    </row>
    <row r="181" spans="1:24">
      <c r="A181" s="168">
        <v>158</v>
      </c>
      <c r="B181" s="149" t="s">
        <v>230</v>
      </c>
      <c r="C181" s="148" t="s">
        <v>29</v>
      </c>
      <c r="D181" s="51">
        <v>686158116.24000001</v>
      </c>
      <c r="E181" s="34">
        <f t="shared" si="126"/>
        <v>5.7165650331894267E-3</v>
      </c>
      <c r="F181" s="33">
        <v>253.0633</v>
      </c>
      <c r="G181" s="33">
        <v>254.67869999999999</v>
      </c>
      <c r="H181" s="35">
        <v>184</v>
      </c>
      <c r="I181" s="57">
        <v>3.4099999999999998E-3</v>
      </c>
      <c r="J181" s="57">
        <v>0.2356</v>
      </c>
      <c r="K181" s="51">
        <v>686183050.45000005</v>
      </c>
      <c r="L181" s="61">
        <f t="shared" si="127"/>
        <v>5.6280474177709946E-3</v>
      </c>
      <c r="M181" s="33">
        <v>252.11009999999999</v>
      </c>
      <c r="N181" s="33">
        <v>253.7236</v>
      </c>
      <c r="O181" s="35">
        <v>184</v>
      </c>
      <c r="P181" s="57">
        <v>7.1900000000000002E-4</v>
      </c>
      <c r="Q181" s="57">
        <v>0.23930000000000001</v>
      </c>
      <c r="R181" s="63">
        <f t="shared" si="128"/>
        <v>3.633886914676794E-5</v>
      </c>
      <c r="S181" s="63">
        <f t="shared" si="129"/>
        <v>-3.7502154675675171E-3</v>
      </c>
      <c r="T181" s="63">
        <f t="shared" si="129"/>
        <v>0</v>
      </c>
      <c r="U181" s="63">
        <f t="shared" si="130"/>
        <v>-2.6909999999999998E-3</v>
      </c>
      <c r="V181" s="64">
        <f t="shared" si="130"/>
        <v>3.7000000000000088E-3</v>
      </c>
    </row>
    <row r="182" spans="1:24">
      <c r="A182" s="168">
        <v>159</v>
      </c>
      <c r="B182" s="149" t="s">
        <v>231</v>
      </c>
      <c r="C182" s="148" t="s">
        <v>78</v>
      </c>
      <c r="D182" s="51">
        <v>1179548760.45</v>
      </c>
      <c r="E182" s="34">
        <f t="shared" si="126"/>
        <v>9.8271331918077746E-3</v>
      </c>
      <c r="F182" s="33">
        <v>190.11</v>
      </c>
      <c r="G182" s="33">
        <v>190.71</v>
      </c>
      <c r="H182" s="35">
        <v>111</v>
      </c>
      <c r="I182" s="57">
        <v>5.5999999999999999E-3</v>
      </c>
      <c r="J182" s="57">
        <v>0.12089999999999999</v>
      </c>
      <c r="K182" s="51">
        <v>1399492040</v>
      </c>
      <c r="L182" s="61">
        <f t="shared" si="127"/>
        <v>1.1478580761719049E-2</v>
      </c>
      <c r="M182" s="33">
        <v>189.34</v>
      </c>
      <c r="N182" s="33">
        <v>189.92</v>
      </c>
      <c r="O182" s="35">
        <v>111</v>
      </c>
      <c r="P182" s="57">
        <v>-4.5999999999999999E-3</v>
      </c>
      <c r="Q182" s="57">
        <v>0.1163</v>
      </c>
      <c r="R182" s="63">
        <f t="shared" si="128"/>
        <v>0.18646391478220128</v>
      </c>
      <c r="S182" s="63">
        <f t="shared" si="129"/>
        <v>-4.142415185360078E-3</v>
      </c>
      <c r="T182" s="63">
        <f t="shared" si="129"/>
        <v>0</v>
      </c>
      <c r="U182" s="63">
        <f t="shared" si="130"/>
        <v>-1.0200000000000001E-2</v>
      </c>
      <c r="V182" s="64">
        <f t="shared" si="130"/>
        <v>-4.599999999999993E-3</v>
      </c>
    </row>
    <row r="183" spans="1:24" ht="15.75" customHeight="1">
      <c r="A183" s="168">
        <v>160</v>
      </c>
      <c r="B183" s="149" t="s">
        <v>232</v>
      </c>
      <c r="C183" s="148" t="s">
        <v>81</v>
      </c>
      <c r="D183" s="39">
        <v>824735834.58000004</v>
      </c>
      <c r="E183" s="34">
        <f t="shared" si="126"/>
        <v>6.871092714626238E-3</v>
      </c>
      <c r="F183" s="33">
        <v>2.37</v>
      </c>
      <c r="G183" s="33">
        <v>2.4</v>
      </c>
      <c r="H183" s="35">
        <v>156</v>
      </c>
      <c r="I183" s="57">
        <v>6.8000000000000005E-2</v>
      </c>
      <c r="J183" s="57">
        <v>0.307</v>
      </c>
      <c r="K183" s="39">
        <v>820693240.55999994</v>
      </c>
      <c r="L183" s="61">
        <f t="shared" si="127"/>
        <v>6.7312949078044623E-3</v>
      </c>
      <c r="M183" s="33">
        <v>2.35</v>
      </c>
      <c r="N183" s="33">
        <v>2.38</v>
      </c>
      <c r="O183" s="35">
        <v>159</v>
      </c>
      <c r="P183" s="57">
        <v>6.8000000000000005E-2</v>
      </c>
      <c r="Q183" s="57">
        <v>0.31630000000000003</v>
      </c>
      <c r="R183" s="63">
        <f t="shared" si="128"/>
        <v>-4.9016834851838432E-3</v>
      </c>
      <c r="S183" s="63">
        <f t="shared" si="129"/>
        <v>-8.3333333333333419E-3</v>
      </c>
      <c r="T183" s="63">
        <f t="shared" si="129"/>
        <v>1.9230769230769232E-2</v>
      </c>
      <c r="U183" s="63">
        <f t="shared" si="130"/>
        <v>0</v>
      </c>
      <c r="V183" s="64">
        <f t="shared" si="130"/>
        <v>9.3000000000000305E-3</v>
      </c>
    </row>
    <row r="184" spans="1:24">
      <c r="A184" s="168">
        <v>161</v>
      </c>
      <c r="B184" s="149" t="s">
        <v>233</v>
      </c>
      <c r="C184" s="148" t="s">
        <v>31</v>
      </c>
      <c r="D184" s="33">
        <v>17913968520.75</v>
      </c>
      <c r="E184" s="34">
        <f t="shared" si="126"/>
        <v>0.14924601724824096</v>
      </c>
      <c r="F184" s="33">
        <v>534.51</v>
      </c>
      <c r="G184" s="33">
        <v>540.02</v>
      </c>
      <c r="H184" s="35">
        <v>5590</v>
      </c>
      <c r="I184" s="57">
        <v>2.8E-3</v>
      </c>
      <c r="J184" s="57">
        <v>0.24790000000000001</v>
      </c>
      <c r="K184" s="33">
        <v>17925253130.16</v>
      </c>
      <c r="L184" s="61">
        <f t="shared" si="127"/>
        <v>0.14702224796419616</v>
      </c>
      <c r="M184" s="33">
        <v>534.49</v>
      </c>
      <c r="N184" s="33">
        <v>539.99</v>
      </c>
      <c r="O184" s="35">
        <v>5140</v>
      </c>
      <c r="P184" s="57">
        <v>0</v>
      </c>
      <c r="Q184" s="57">
        <v>0.24790000000000001</v>
      </c>
      <c r="R184" s="63">
        <f t="shared" si="128"/>
        <v>6.2993352907418176E-4</v>
      </c>
      <c r="S184" s="63">
        <f t="shared" si="129"/>
        <v>-5.5553498018541379E-5</v>
      </c>
      <c r="T184" s="63">
        <f t="shared" si="129"/>
        <v>-8.0500894454382826E-2</v>
      </c>
      <c r="U184" s="63">
        <f t="shared" si="130"/>
        <v>-2.8E-3</v>
      </c>
      <c r="V184" s="64">
        <f t="shared" si="130"/>
        <v>0</v>
      </c>
    </row>
    <row r="185" spans="1:24">
      <c r="A185" s="168">
        <v>162</v>
      </c>
      <c r="B185" s="149" t="s">
        <v>234</v>
      </c>
      <c r="C185" s="148" t="s">
        <v>91</v>
      </c>
      <c r="D185" s="33">
        <v>5114320789.7399998</v>
      </c>
      <c r="E185" s="34">
        <f t="shared" si="126"/>
        <v>4.2608761309055644E-2</v>
      </c>
      <c r="F185" s="33">
        <v>3.5709</v>
      </c>
      <c r="G185" s="33">
        <v>3.5752000000000002</v>
      </c>
      <c r="H185" s="35">
        <v>10202</v>
      </c>
      <c r="I185" s="57">
        <v>-1.3899999999999999E-2</v>
      </c>
      <c r="J185" s="57">
        <v>0.1552</v>
      </c>
      <c r="K185" s="33">
        <v>5129578341.9899998</v>
      </c>
      <c r="L185" s="61">
        <f t="shared" si="127"/>
        <v>4.207260748128093E-2</v>
      </c>
      <c r="M185" s="33">
        <v>3.5735999999999999</v>
      </c>
      <c r="N185" s="33">
        <v>3.5779999999999998</v>
      </c>
      <c r="O185" s="35">
        <v>10202</v>
      </c>
      <c r="P185" s="57">
        <v>8.0000000000000004E-4</v>
      </c>
      <c r="Q185" s="57">
        <v>0.15609999999999999</v>
      </c>
      <c r="R185" s="63">
        <f t="shared" si="128"/>
        <v>2.9832998118946032E-3</v>
      </c>
      <c r="S185" s="63">
        <f t="shared" si="129"/>
        <v>7.831729693442861E-4</v>
      </c>
      <c r="T185" s="63">
        <f t="shared" si="129"/>
        <v>0</v>
      </c>
      <c r="U185" s="63">
        <f t="shared" si="130"/>
        <v>1.47E-2</v>
      </c>
      <c r="V185" s="64">
        <f t="shared" si="130"/>
        <v>8.9999999999998415E-4</v>
      </c>
    </row>
    <row r="186" spans="1:24">
      <c r="A186" s="168">
        <v>163</v>
      </c>
      <c r="B186" s="149" t="s">
        <v>235</v>
      </c>
      <c r="C186" s="148" t="s">
        <v>93</v>
      </c>
      <c r="D186" s="33">
        <v>327461835.31999999</v>
      </c>
      <c r="E186" s="34">
        <f t="shared" si="126"/>
        <v>2.7281712963657273E-3</v>
      </c>
      <c r="F186" s="33">
        <v>373.28124172999998</v>
      </c>
      <c r="G186" s="33">
        <v>373.28124172999998</v>
      </c>
      <c r="H186" s="35">
        <v>32</v>
      </c>
      <c r="I186" s="57">
        <v>-1.4536E-2</v>
      </c>
      <c r="J186" s="57">
        <v>7.3862999999999998E-2</v>
      </c>
      <c r="K186" s="33">
        <v>338929835.92000002</v>
      </c>
      <c r="L186" s="61">
        <f t="shared" si="127"/>
        <v>2.779889690665126E-3</v>
      </c>
      <c r="M186" s="33">
        <v>373.37304110000002</v>
      </c>
      <c r="N186" s="33">
        <v>373.37304110000002</v>
      </c>
      <c r="O186" s="35">
        <v>32</v>
      </c>
      <c r="P186" s="57">
        <v>3.0099999999999998E-2</v>
      </c>
      <c r="Q186" s="57">
        <v>0.1065</v>
      </c>
      <c r="R186" s="63">
        <f t="shared" si="128"/>
        <v>3.5020876826129504E-2</v>
      </c>
      <c r="S186" s="63">
        <f t="shared" si="129"/>
        <v>2.4592548389143661E-4</v>
      </c>
      <c r="T186" s="63">
        <f t="shared" si="129"/>
        <v>0</v>
      </c>
      <c r="U186" s="63">
        <f t="shared" si="130"/>
        <v>4.4635999999999995E-2</v>
      </c>
      <c r="V186" s="64">
        <f t="shared" si="130"/>
        <v>3.2636999999999999E-2</v>
      </c>
    </row>
    <row r="187" spans="1:24">
      <c r="A187" s="168">
        <v>164</v>
      </c>
      <c r="B187" s="149" t="s">
        <v>236</v>
      </c>
      <c r="C187" s="149" t="s">
        <v>95</v>
      </c>
      <c r="D187" s="54">
        <v>82039961.010000005</v>
      </c>
      <c r="E187" s="34">
        <f t="shared" si="126"/>
        <v>6.8349664797953181E-4</v>
      </c>
      <c r="F187" s="33">
        <v>1.6177999999999999</v>
      </c>
      <c r="G187" s="33">
        <v>1.6177999999999999</v>
      </c>
      <c r="H187" s="35">
        <v>29</v>
      </c>
      <c r="I187" s="57">
        <v>-6.7000000000000002E-3</v>
      </c>
      <c r="J187" s="57">
        <v>0.1298</v>
      </c>
      <c r="K187" s="54">
        <v>83900460.370000005</v>
      </c>
      <c r="L187" s="61">
        <f t="shared" si="127"/>
        <v>6.8814840154607349E-4</v>
      </c>
      <c r="M187" s="33">
        <v>1.6462000000000001</v>
      </c>
      <c r="N187" s="33">
        <v>1.6462000000000001</v>
      </c>
      <c r="O187" s="35">
        <v>34</v>
      </c>
      <c r="P187" s="57">
        <v>2.2700000000000001E-2</v>
      </c>
      <c r="Q187" s="57">
        <v>0.15540000000000001</v>
      </c>
      <c r="R187" s="63">
        <f t="shared" si="128"/>
        <v>2.2677964946536476E-2</v>
      </c>
      <c r="S187" s="63">
        <f t="shared" si="129"/>
        <v>1.7554703918902341E-2</v>
      </c>
      <c r="T187" s="63">
        <f t="shared" si="129"/>
        <v>0.17241379310344829</v>
      </c>
      <c r="U187" s="63">
        <f t="shared" si="130"/>
        <v>2.9400000000000003E-2</v>
      </c>
      <c r="V187" s="64">
        <f t="shared" si="130"/>
        <v>2.5600000000000012E-2</v>
      </c>
    </row>
    <row r="188" spans="1:24" ht="13.5" customHeight="1">
      <c r="A188" s="168">
        <v>165</v>
      </c>
      <c r="B188" s="149" t="s">
        <v>237</v>
      </c>
      <c r="C188" s="148" t="s">
        <v>37</v>
      </c>
      <c r="D188" s="39">
        <v>12275489879.209999</v>
      </c>
      <c r="E188" s="34">
        <f t="shared" si="126"/>
        <v>0.10227035802374404</v>
      </c>
      <c r="F188" s="33">
        <v>7.5775129999999997</v>
      </c>
      <c r="G188" s="33">
        <v>7.660253</v>
      </c>
      <c r="H188" s="35">
        <v>7187</v>
      </c>
      <c r="I188" s="57">
        <v>-3.2000000000000002E-3</v>
      </c>
      <c r="J188" s="57">
        <v>0.22020000000000001</v>
      </c>
      <c r="K188" s="39">
        <v>12405369739.030001</v>
      </c>
      <c r="L188" s="61">
        <f t="shared" si="127"/>
        <v>0.10174837323722215</v>
      </c>
      <c r="M188" s="33">
        <v>7.534046</v>
      </c>
      <c r="N188" s="33">
        <v>7.6191800000000001</v>
      </c>
      <c r="O188" s="35">
        <v>7525</v>
      </c>
      <c r="P188" s="57">
        <v>-5.7000000000000002E-3</v>
      </c>
      <c r="Q188" s="57">
        <v>0.2132</v>
      </c>
      <c r="R188" s="63">
        <f t="shared" si="128"/>
        <v>1.05804217263841E-2</v>
      </c>
      <c r="S188" s="63">
        <f t="shared" si="129"/>
        <v>-5.3618333493684759E-3</v>
      </c>
      <c r="T188" s="63">
        <f t="shared" si="129"/>
        <v>4.7029358564074024E-2</v>
      </c>
      <c r="U188" s="63">
        <f t="shared" si="130"/>
        <v>-2.5000000000000001E-3</v>
      </c>
      <c r="V188" s="64">
        <f t="shared" si="130"/>
        <v>-7.0000000000000062E-3</v>
      </c>
      <c r="X188" s="135"/>
    </row>
    <row r="189" spans="1:24" ht="13.5" customHeight="1">
      <c r="A189" s="168">
        <v>166</v>
      </c>
      <c r="B189" s="149" t="s">
        <v>238</v>
      </c>
      <c r="C189" s="148" t="s">
        <v>239</v>
      </c>
      <c r="D189" s="39">
        <v>144489982.03999999</v>
      </c>
      <c r="E189" s="34">
        <f t="shared" si="126"/>
        <v>1.2037843165104004E-3</v>
      </c>
      <c r="F189" s="33">
        <v>3.0034999999999998</v>
      </c>
      <c r="G189" s="33">
        <v>3.0175000000000001</v>
      </c>
      <c r="H189" s="35">
        <v>117</v>
      </c>
      <c r="I189" s="57">
        <v>1.7958E-5</v>
      </c>
      <c r="J189" s="57">
        <v>7.6818999999999998E-4</v>
      </c>
      <c r="K189" s="39">
        <v>144841609.08000001</v>
      </c>
      <c r="L189" s="61">
        <f t="shared" si="127"/>
        <v>1.1879853975318925E-3</v>
      </c>
      <c r="M189" s="33">
        <v>3.0196000000000001</v>
      </c>
      <c r="N189" s="33">
        <v>3.0253999999999999</v>
      </c>
      <c r="O189" s="35">
        <v>117</v>
      </c>
      <c r="P189" s="57">
        <v>2.3900000000000002E-5</v>
      </c>
      <c r="Q189" s="57">
        <v>7.9390000000000005E-4</v>
      </c>
      <c r="R189" s="63">
        <f t="shared" si="128"/>
        <v>2.4335738369922321E-3</v>
      </c>
      <c r="S189" s="63">
        <f t="shared" si="129"/>
        <v>2.6180613090305868E-3</v>
      </c>
      <c r="T189" s="63">
        <f t="shared" si="129"/>
        <v>0</v>
      </c>
      <c r="U189" s="63">
        <f>P189-I189</f>
        <v>5.9420000000000017E-6</v>
      </c>
      <c r="V189" s="64">
        <f>Q189-J189</f>
        <v>2.5710000000000077E-5</v>
      </c>
    </row>
    <row r="190" spans="1:24">
      <c r="A190" s="168">
        <v>167</v>
      </c>
      <c r="B190" s="149" t="s">
        <v>240</v>
      </c>
      <c r="C190" s="148" t="s">
        <v>150</v>
      </c>
      <c r="D190" s="39">
        <v>1443501595.0799999</v>
      </c>
      <c r="E190" s="34">
        <f t="shared" si="126"/>
        <v>1.2026194179566045E-2</v>
      </c>
      <c r="F190" s="33">
        <v>434.94</v>
      </c>
      <c r="G190" s="33">
        <v>440.12</v>
      </c>
      <c r="H190" s="35">
        <v>158</v>
      </c>
      <c r="I190" s="57">
        <v>1.37E-2</v>
      </c>
      <c r="J190" s="57">
        <v>0.57420000000000004</v>
      </c>
      <c r="K190" s="39">
        <v>1454857523.26</v>
      </c>
      <c r="L190" s="61">
        <f t="shared" si="127"/>
        <v>1.1932686360641579E-2</v>
      </c>
      <c r="M190" s="33">
        <v>438.2</v>
      </c>
      <c r="N190" s="33">
        <v>443.45</v>
      </c>
      <c r="O190" s="35">
        <v>158</v>
      </c>
      <c r="P190" s="57">
        <v>1.37E-2</v>
      </c>
      <c r="Q190" s="57">
        <v>0.23130000000000001</v>
      </c>
      <c r="R190" s="63">
        <f t="shared" si="128"/>
        <v>7.8669315078731955E-3</v>
      </c>
      <c r="S190" s="63">
        <f t="shared" si="129"/>
        <v>7.5661183313641368E-3</v>
      </c>
      <c r="T190" s="63">
        <f t="shared" si="129"/>
        <v>0</v>
      </c>
      <c r="U190" s="63">
        <f t="shared" si="130"/>
        <v>0</v>
      </c>
      <c r="V190" s="64">
        <f t="shared" si="130"/>
        <v>-0.34290000000000004</v>
      </c>
    </row>
    <row r="191" spans="1:24">
      <c r="A191" s="162">
        <v>168</v>
      </c>
      <c r="B191" s="164" t="s">
        <v>241</v>
      </c>
      <c r="C191" s="148" t="s">
        <v>33</v>
      </c>
      <c r="D191" s="39">
        <v>2882763366.2600002</v>
      </c>
      <c r="E191" s="34">
        <f t="shared" si="126"/>
        <v>2.401706526307016E-2</v>
      </c>
      <c r="F191" s="33">
        <v>552.22</v>
      </c>
      <c r="G191" s="33">
        <v>552.22</v>
      </c>
      <c r="H191" s="35">
        <v>823</v>
      </c>
      <c r="I191" s="57">
        <v>1.6889999999999999E-2</v>
      </c>
      <c r="J191" s="57">
        <v>0.33811000000000002</v>
      </c>
      <c r="K191" s="39">
        <v>2791687314.4200001</v>
      </c>
      <c r="L191" s="61">
        <f t="shared" si="127"/>
        <v>2.2897313728227085E-2</v>
      </c>
      <c r="M191" s="33">
        <v>552.22</v>
      </c>
      <c r="N191" s="33">
        <v>552.22</v>
      </c>
      <c r="O191" s="35">
        <v>823</v>
      </c>
      <c r="P191" s="57">
        <v>-3.1600000000000003E-2</v>
      </c>
      <c r="Q191" s="57">
        <v>0.29580000000000001</v>
      </c>
      <c r="R191" s="63">
        <f t="shared" si="128"/>
        <v>-3.1593315256451017E-2</v>
      </c>
      <c r="S191" s="63">
        <f t="shared" si="129"/>
        <v>0</v>
      </c>
      <c r="T191" s="63">
        <f t="shared" si="129"/>
        <v>0</v>
      </c>
      <c r="U191" s="63">
        <f t="shared" si="130"/>
        <v>-4.8490000000000005E-2</v>
      </c>
      <c r="V191" s="64">
        <f t="shared" si="130"/>
        <v>-4.2310000000000014E-2</v>
      </c>
    </row>
    <row r="192" spans="1:24">
      <c r="A192" s="168">
        <v>169</v>
      </c>
      <c r="B192" s="149" t="s">
        <v>242</v>
      </c>
      <c r="C192" s="148" t="s">
        <v>105</v>
      </c>
      <c r="D192" s="33">
        <v>54905667.799999997</v>
      </c>
      <c r="E192" s="34">
        <f t="shared" si="126"/>
        <v>4.5743366323398632E-4</v>
      </c>
      <c r="F192" s="33">
        <v>3.17</v>
      </c>
      <c r="G192" s="33">
        <v>3.17</v>
      </c>
      <c r="H192" s="35">
        <v>8</v>
      </c>
      <c r="I192" s="57">
        <v>2.4656999999999998E-2</v>
      </c>
      <c r="J192" s="57">
        <v>5.8400000000000001E-2</v>
      </c>
      <c r="K192" s="33">
        <v>55190022.710000001</v>
      </c>
      <c r="L192" s="61">
        <f t="shared" si="127"/>
        <v>4.5266647813005313E-4</v>
      </c>
      <c r="M192" s="33">
        <v>3.21</v>
      </c>
      <c r="N192" s="33">
        <v>3.21</v>
      </c>
      <c r="O192" s="35">
        <v>8</v>
      </c>
      <c r="P192" s="57">
        <v>2.4656999999999998E-2</v>
      </c>
      <c r="Q192" s="57">
        <v>5.8400000000000001E-2</v>
      </c>
      <c r="R192" s="63">
        <f t="shared" si="128"/>
        <v>5.1789718874888889E-3</v>
      </c>
      <c r="S192" s="63">
        <f t="shared" si="129"/>
        <v>1.2618296529968466E-2</v>
      </c>
      <c r="T192" s="63">
        <f t="shared" si="129"/>
        <v>0</v>
      </c>
      <c r="U192" s="63">
        <f t="shared" si="130"/>
        <v>0</v>
      </c>
      <c r="V192" s="64">
        <f t="shared" si="130"/>
        <v>0</v>
      </c>
    </row>
    <row r="193" spans="1:22">
      <c r="A193" s="168">
        <v>170</v>
      </c>
      <c r="B193" s="149" t="s">
        <v>243</v>
      </c>
      <c r="C193" s="148" t="s">
        <v>45</v>
      </c>
      <c r="D193" s="33">
        <v>551570637.70000005</v>
      </c>
      <c r="E193" s="34">
        <f t="shared" si="126"/>
        <v>4.5952810965613445E-3</v>
      </c>
      <c r="F193" s="33">
        <v>4.1912019999999997</v>
      </c>
      <c r="G193" s="33">
        <v>4.1620910000000002</v>
      </c>
      <c r="H193" s="35">
        <v>138</v>
      </c>
      <c r="I193" s="57">
        <v>-5.3E-3</v>
      </c>
      <c r="J193" s="57">
        <v>0.1797</v>
      </c>
      <c r="K193" s="33">
        <v>565528882.09000003</v>
      </c>
      <c r="L193" s="61">
        <f t="shared" si="127"/>
        <v>4.6384464938827056E-3</v>
      </c>
      <c r="M193" s="33">
        <v>4.2691330000000001</v>
      </c>
      <c r="N193" s="33">
        <v>4.3346349999999996</v>
      </c>
      <c r="O193" s="35">
        <v>137</v>
      </c>
      <c r="P193" s="57">
        <v>0.01</v>
      </c>
      <c r="Q193" s="57">
        <v>0.21</v>
      </c>
      <c r="R193" s="63">
        <f t="shared" si="128"/>
        <v>2.5306358670948492E-2</v>
      </c>
      <c r="S193" s="63">
        <f t="shared" si="129"/>
        <v>4.1456085414758918E-2</v>
      </c>
      <c r="T193" s="63">
        <f t="shared" si="129"/>
        <v>-7.246376811594203E-3</v>
      </c>
      <c r="U193" s="63">
        <f t="shared" si="130"/>
        <v>1.5300000000000001E-2</v>
      </c>
      <c r="V193" s="64">
        <f t="shared" si="130"/>
        <v>3.0299999999999994E-2</v>
      </c>
    </row>
    <row r="194" spans="1:22">
      <c r="A194" s="168">
        <v>171</v>
      </c>
      <c r="B194" s="149" t="s">
        <v>325</v>
      </c>
      <c r="C194" s="148" t="s">
        <v>326</v>
      </c>
      <c r="D194" s="33">
        <v>212939190.96439201</v>
      </c>
      <c r="E194" s="34">
        <f t="shared" si="126"/>
        <v>1.7740528086050017E-3</v>
      </c>
      <c r="F194" s="33">
        <v>121.154705772857</v>
      </c>
      <c r="G194" s="33">
        <v>121.833333146557</v>
      </c>
      <c r="H194" s="35">
        <v>108</v>
      </c>
      <c r="I194" s="57">
        <v>-8.6E-3</v>
      </c>
      <c r="J194" s="57">
        <v>5.0999999999999997E-2</v>
      </c>
      <c r="K194" s="33">
        <v>215567190.53477299</v>
      </c>
      <c r="L194" s="34">
        <f t="shared" si="127"/>
        <v>1.7680739406922743E-3</v>
      </c>
      <c r="M194" s="33">
        <v>122.924974257744</v>
      </c>
      <c r="N194" s="33">
        <v>123.63057793694</v>
      </c>
      <c r="O194" s="35">
        <v>108</v>
      </c>
      <c r="P194" s="57">
        <v>1.47E-2</v>
      </c>
      <c r="Q194" s="57">
        <v>6.6400000000000001E-2</v>
      </c>
      <c r="R194" s="63">
        <f t="shared" ref="R194" si="136">((K194-D194)/D194)</f>
        <v>1.2341549521621144E-2</v>
      </c>
      <c r="S194" s="63">
        <f t="shared" ref="S194" si="137">((N194-G194)/G194)</f>
        <v>1.4751667248740904E-2</v>
      </c>
      <c r="T194" s="63">
        <f t="shared" ref="T194" si="138">((O194-H194)/H194)</f>
        <v>0</v>
      </c>
      <c r="U194" s="63">
        <f t="shared" ref="U194" si="139">P194-I194</f>
        <v>2.3300000000000001E-2</v>
      </c>
      <c r="V194" s="64">
        <f t="shared" ref="V194" si="140">Q194-J194</f>
        <v>1.5400000000000004E-2</v>
      </c>
    </row>
    <row r="195" spans="1:22">
      <c r="A195" s="168">
        <v>172</v>
      </c>
      <c r="B195" s="149" t="s">
        <v>244</v>
      </c>
      <c r="C195" s="148" t="s">
        <v>49</v>
      </c>
      <c r="D195" s="39">
        <v>9999465313.2199993</v>
      </c>
      <c r="E195" s="34">
        <f t="shared" si="126"/>
        <v>8.3308194433934293E-2</v>
      </c>
      <c r="F195" s="33">
        <v>11848.37</v>
      </c>
      <c r="G195" s="33">
        <v>11962.71</v>
      </c>
      <c r="H195" s="35">
        <v>5820</v>
      </c>
      <c r="I195" s="57">
        <v>-5.4000000000000003E-3</v>
      </c>
      <c r="J195" s="57">
        <v>0.2293</v>
      </c>
      <c r="K195" s="39">
        <v>10326600820.440001</v>
      </c>
      <c r="L195" s="34">
        <f t="shared" si="127"/>
        <v>8.4698389218029954E-2</v>
      </c>
      <c r="M195" s="33">
        <v>11912.3</v>
      </c>
      <c r="N195" s="33">
        <v>12025.19</v>
      </c>
      <c r="O195" s="35">
        <v>5299</v>
      </c>
      <c r="P195" s="57">
        <v>5.4999999999999997E-3</v>
      </c>
      <c r="Q195" s="57">
        <v>0.23599999999999999</v>
      </c>
      <c r="R195" s="63">
        <f t="shared" si="128"/>
        <v>3.2715299965839668E-2</v>
      </c>
      <c r="S195" s="63">
        <f t="shared" si="129"/>
        <v>5.2228968185303653E-3</v>
      </c>
      <c r="T195" s="63">
        <f t="shared" si="129"/>
        <v>-8.9518900343642613E-2</v>
      </c>
      <c r="U195" s="63">
        <f t="shared" si="130"/>
        <v>1.09E-2</v>
      </c>
      <c r="V195" s="64">
        <f t="shared" si="130"/>
        <v>6.6999999999999837E-3</v>
      </c>
    </row>
    <row r="196" spans="1:22">
      <c r="A196" s="168">
        <v>173</v>
      </c>
      <c r="B196" s="149" t="s">
        <v>245</v>
      </c>
      <c r="C196" s="149" t="s">
        <v>115</v>
      </c>
      <c r="D196" s="39">
        <v>191739541.06999999</v>
      </c>
      <c r="E196" s="34">
        <f t="shared" si="126"/>
        <v>1.5974329094391503E-3</v>
      </c>
      <c r="F196" s="33">
        <v>1653.3977</v>
      </c>
      <c r="G196" s="33">
        <v>1681.1587999999999</v>
      </c>
      <c r="H196" s="35">
        <v>73</v>
      </c>
      <c r="I196" s="57">
        <v>-5.1000000000000004E-3</v>
      </c>
      <c r="J196" s="57">
        <v>0.14580000000000001</v>
      </c>
      <c r="K196" s="39">
        <v>191650288.93000001</v>
      </c>
      <c r="L196" s="34">
        <f t="shared" si="127"/>
        <v>1.5719084186358039E-3</v>
      </c>
      <c r="M196" s="33">
        <v>1654.9194</v>
      </c>
      <c r="N196" s="33">
        <v>1682.6867999999999</v>
      </c>
      <c r="O196" s="35">
        <v>73</v>
      </c>
      <c r="P196" s="57">
        <v>8.9999999999999998E-4</v>
      </c>
      <c r="Q196" s="57">
        <v>0.1464</v>
      </c>
      <c r="R196" s="63">
        <f t="shared" si="128"/>
        <v>-4.6548635457201626E-4</v>
      </c>
      <c r="S196" s="63">
        <f t="shared" si="129"/>
        <v>9.0889688707575993E-4</v>
      </c>
      <c r="T196" s="63">
        <f t="shared" si="129"/>
        <v>0</v>
      </c>
      <c r="U196" s="63">
        <f t="shared" si="130"/>
        <v>6.0000000000000001E-3</v>
      </c>
      <c r="V196" s="64">
        <f t="shared" si="130"/>
        <v>5.9999999999998943E-4</v>
      </c>
    </row>
    <row r="197" spans="1:22">
      <c r="A197" s="168">
        <v>174</v>
      </c>
      <c r="B197" s="149" t="s">
        <v>246</v>
      </c>
      <c r="C197" s="149" t="s">
        <v>95</v>
      </c>
      <c r="D197" s="39">
        <v>826846634.15999997</v>
      </c>
      <c r="E197" s="34">
        <f t="shared" si="126"/>
        <v>6.8886783450888209E-3</v>
      </c>
      <c r="F197" s="33">
        <v>1.5673999999999999</v>
      </c>
      <c r="G197" s="33">
        <v>1.5673999999999999</v>
      </c>
      <c r="H197" s="35">
        <v>47</v>
      </c>
      <c r="I197" s="57">
        <v>3.5000000000000001E-3</v>
      </c>
      <c r="J197" s="57">
        <v>3.04E-2</v>
      </c>
      <c r="K197" s="39">
        <v>829288531.44000006</v>
      </c>
      <c r="L197" s="34">
        <f t="shared" si="127"/>
        <v>6.8017931583958325E-3</v>
      </c>
      <c r="M197" s="33">
        <v>1.5774999999999999</v>
      </c>
      <c r="N197" s="33">
        <v>1.5774999999999999</v>
      </c>
      <c r="O197" s="35">
        <v>47</v>
      </c>
      <c r="P197" s="57">
        <v>3.0000000000000001E-3</v>
      </c>
      <c r="Q197" s="57">
        <v>3.3399999999999999E-2</v>
      </c>
      <c r="R197" s="63">
        <f t="shared" si="128"/>
        <v>2.9532650664785415E-3</v>
      </c>
      <c r="S197" s="63">
        <f t="shared" si="129"/>
        <v>6.4437922674492783E-3</v>
      </c>
      <c r="T197" s="63">
        <f t="shared" si="129"/>
        <v>0</v>
      </c>
      <c r="U197" s="63">
        <f t="shared" si="130"/>
        <v>-5.0000000000000001E-4</v>
      </c>
      <c r="V197" s="64">
        <f t="shared" si="130"/>
        <v>2.9999999999999992E-3</v>
      </c>
    </row>
    <row r="198" spans="1:22">
      <c r="A198" s="168">
        <v>175</v>
      </c>
      <c r="B198" s="149" t="s">
        <v>247</v>
      </c>
      <c r="C198" s="148" t="s">
        <v>52</v>
      </c>
      <c r="D198" s="33">
        <v>5407749306.3699999</v>
      </c>
      <c r="E198" s="34">
        <f t="shared" si="126"/>
        <v>4.5053392011814818E-2</v>
      </c>
      <c r="F198" s="33">
        <v>2.7478400000000001</v>
      </c>
      <c r="G198" s="33">
        <v>2.76824</v>
      </c>
      <c r="H198" s="35">
        <v>3234</v>
      </c>
      <c r="I198" s="57">
        <v>-5.7999999999999996E-3</v>
      </c>
      <c r="J198" s="57">
        <v>0.23719999999999999</v>
      </c>
      <c r="K198" s="33">
        <v>5831634760.1099997</v>
      </c>
      <c r="L198" s="61">
        <f t="shared" si="127"/>
        <v>4.783084766010582E-2</v>
      </c>
      <c r="M198" s="33">
        <v>2.73624</v>
      </c>
      <c r="N198" s="33">
        <v>2.75488</v>
      </c>
      <c r="O198" s="35">
        <v>3260</v>
      </c>
      <c r="P198" s="57">
        <v>-4.1999999999999997E-3</v>
      </c>
      <c r="Q198" s="57">
        <v>0.2319</v>
      </c>
      <c r="R198" s="63">
        <f t="shared" si="128"/>
        <v>7.8384819584866566E-2</v>
      </c>
      <c r="S198" s="63">
        <f t="shared" si="129"/>
        <v>-4.8261711412305426E-3</v>
      </c>
      <c r="T198" s="63">
        <f t="shared" si="129"/>
        <v>8.0395794681508963E-3</v>
      </c>
      <c r="U198" s="63">
        <f t="shared" si="130"/>
        <v>1.5999999999999999E-3</v>
      </c>
      <c r="V198" s="64">
        <f t="shared" si="130"/>
        <v>-5.2999999999999992E-3</v>
      </c>
    </row>
    <row r="199" spans="1:22">
      <c r="A199" s="168">
        <v>176</v>
      </c>
      <c r="B199" s="149" t="s">
        <v>248</v>
      </c>
      <c r="C199" s="148" t="s">
        <v>52</v>
      </c>
      <c r="D199" s="33">
        <v>3672892274.1399999</v>
      </c>
      <c r="E199" s="34">
        <f t="shared" si="126"/>
        <v>3.0599838503806834E-2</v>
      </c>
      <c r="F199" s="33">
        <v>2.2094200000000002</v>
      </c>
      <c r="G199" s="33">
        <v>2.2256900000000002</v>
      </c>
      <c r="H199" s="35">
        <v>1660</v>
      </c>
      <c r="I199" s="57">
        <v>3.3E-3</v>
      </c>
      <c r="J199" s="57">
        <v>0.23599999999999999</v>
      </c>
      <c r="K199" s="33">
        <v>3715947142.5900002</v>
      </c>
      <c r="L199" s="61">
        <f t="shared" si="127"/>
        <v>3.0478057869124033E-2</v>
      </c>
      <c r="M199" s="33">
        <v>2.2347899999999998</v>
      </c>
      <c r="N199" s="33">
        <v>2.2513700000000001</v>
      </c>
      <c r="O199" s="35">
        <v>1704</v>
      </c>
      <c r="P199" s="57">
        <v>1.15E-2</v>
      </c>
      <c r="Q199" s="57">
        <v>0.25019999999999998</v>
      </c>
      <c r="R199" s="63">
        <f t="shared" si="128"/>
        <v>1.17223335824848E-2</v>
      </c>
      <c r="S199" s="63">
        <f t="shared" si="129"/>
        <v>1.1537994958866654E-2</v>
      </c>
      <c r="T199" s="63">
        <f t="shared" si="129"/>
        <v>2.6506024096385541E-2</v>
      </c>
      <c r="U199" s="63">
        <f t="shared" si="130"/>
        <v>8.199999999999999E-3</v>
      </c>
      <c r="V199" s="64">
        <f t="shared" si="130"/>
        <v>1.419999999999999E-2</v>
      </c>
    </row>
    <row r="200" spans="1:22">
      <c r="A200" s="168">
        <v>177</v>
      </c>
      <c r="B200" s="149" t="s">
        <v>249</v>
      </c>
      <c r="C200" s="148" t="s">
        <v>120</v>
      </c>
      <c r="D200" s="39">
        <v>12841014400.35</v>
      </c>
      <c r="E200" s="34">
        <f t="shared" si="126"/>
        <v>0.10698189261969912</v>
      </c>
      <c r="F200" s="33">
        <v>812.44</v>
      </c>
      <c r="G200" s="33">
        <v>821.48</v>
      </c>
      <c r="H200" s="35">
        <v>42</v>
      </c>
      <c r="I200" s="57">
        <v>-1.84E-2</v>
      </c>
      <c r="J200" s="57">
        <v>0.18149999999999999</v>
      </c>
      <c r="K200" s="39">
        <v>12843660032.33</v>
      </c>
      <c r="L200" s="61">
        <f t="shared" si="127"/>
        <v>0.10534321363997397</v>
      </c>
      <c r="M200" s="33">
        <v>812.6</v>
      </c>
      <c r="N200" s="33">
        <v>821.65</v>
      </c>
      <c r="O200" s="35">
        <v>42</v>
      </c>
      <c r="P200" s="57">
        <v>2.0000000000000001E-4</v>
      </c>
      <c r="Q200" s="57">
        <v>0.18179999999999999</v>
      </c>
      <c r="R200" s="63">
        <f t="shared" si="128"/>
        <v>2.0602982735752027E-4</v>
      </c>
      <c r="S200" s="63">
        <f t="shared" si="129"/>
        <v>2.0694356527238528E-4</v>
      </c>
      <c r="T200" s="63">
        <f t="shared" si="129"/>
        <v>0</v>
      </c>
      <c r="U200" s="63">
        <f t="shared" si="130"/>
        <v>1.8599999999999998E-2</v>
      </c>
      <c r="V200" s="64">
        <f t="shared" si="130"/>
        <v>2.9999999999999472E-4</v>
      </c>
    </row>
    <row r="201" spans="1:22">
      <c r="A201" s="42"/>
      <c r="B201" s="43"/>
      <c r="C201" s="44" t="s">
        <v>55</v>
      </c>
      <c r="D201" s="86">
        <f>SUM(D172:D200)</f>
        <v>120029792761.26135</v>
      </c>
      <c r="E201" s="46">
        <f>(D201/$D$236)</f>
        <v>1.4353960840131304E-2</v>
      </c>
      <c r="F201" s="47"/>
      <c r="G201" s="87"/>
      <c r="H201" s="49">
        <f>SUM(H172:H200)</f>
        <v>86329</v>
      </c>
      <c r="I201" s="105"/>
      <c r="J201" s="105"/>
      <c r="K201" s="86">
        <f>SUM(K172:K200)</f>
        <v>121922044985.49959</v>
      </c>
      <c r="L201" s="46">
        <f>(K201/$K$236)</f>
        <v>1.4482137204922887E-2</v>
      </c>
      <c r="M201" s="47"/>
      <c r="N201" s="87"/>
      <c r="O201" s="49">
        <f>SUM(O172:O200)</f>
        <v>85871</v>
      </c>
      <c r="P201" s="105"/>
      <c r="Q201" s="105"/>
      <c r="R201" s="63">
        <f t="shared" ref="R201" si="141">((K201-D201)/D201)</f>
        <v>1.5764854547419868E-2</v>
      </c>
      <c r="S201" s="63" t="e">
        <f t="shared" ref="S201" si="142">((N201-G201)/G201)</f>
        <v>#DIV/0!</v>
      </c>
      <c r="T201" s="63">
        <f t="shared" ref="T201" si="143">((O201-H201)/H201)</f>
        <v>-5.3052855934853874E-3</v>
      </c>
      <c r="U201" s="63">
        <f t="shared" ref="U201" si="144">P201-I201</f>
        <v>0</v>
      </c>
      <c r="V201" s="64">
        <f t="shared" ref="V201" si="145">Q201-J201</f>
        <v>0</v>
      </c>
    </row>
    <row r="202" spans="1:22" ht="5.25" customHeight="1">
      <c r="A202" s="42"/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</row>
    <row r="203" spans="1:22" ht="15" customHeight="1">
      <c r="A203" s="198" t="s">
        <v>250</v>
      </c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</row>
    <row r="204" spans="1:22" ht="15" customHeight="1">
      <c r="A204" s="167">
        <v>178</v>
      </c>
      <c r="B204" s="149" t="s">
        <v>330</v>
      </c>
      <c r="C204" s="148" t="s">
        <v>136</v>
      </c>
      <c r="D204" s="88">
        <v>587884511.23000002</v>
      </c>
      <c r="E204" s="34">
        <v>0</v>
      </c>
      <c r="F204" s="89">
        <v>1000</v>
      </c>
      <c r="G204" s="89">
        <v>1000</v>
      </c>
      <c r="H204" s="35">
        <v>31</v>
      </c>
      <c r="I204" s="57">
        <v>2.0300000000000001E-3</v>
      </c>
      <c r="J204" s="57">
        <v>1.933E-2</v>
      </c>
      <c r="K204" s="88">
        <v>589518773.58000004</v>
      </c>
      <c r="L204" s="61">
        <f>(K204/$K$207)</f>
        <v>3.946224643327146E-2</v>
      </c>
      <c r="M204" s="89">
        <v>1000</v>
      </c>
      <c r="N204" s="89">
        <v>1000</v>
      </c>
      <c r="O204" s="35">
        <v>31</v>
      </c>
      <c r="P204" s="57">
        <v>1.98E-3</v>
      </c>
      <c r="Q204" s="57">
        <v>2.2159999999999999E-2</v>
      </c>
      <c r="R204" s="63">
        <f>((K204-D204)/D204)</f>
        <v>2.7799037375227701E-3</v>
      </c>
      <c r="S204" s="63">
        <f t="shared" ref="S204" si="146">((N204-G204)/G204)</f>
        <v>0</v>
      </c>
      <c r="T204" s="63">
        <f t="shared" ref="T204" si="147">((O204-H204)/H204)</f>
        <v>0</v>
      </c>
      <c r="U204" s="63">
        <f t="shared" ref="U204" si="148">P204-I204</f>
        <v>-5.0000000000000131E-5</v>
      </c>
      <c r="V204" s="64">
        <f t="shared" ref="V204" si="149">Q204-J204</f>
        <v>2.8299999999999992E-3</v>
      </c>
    </row>
    <row r="205" spans="1:22">
      <c r="A205" s="167">
        <v>179</v>
      </c>
      <c r="B205" s="149" t="s">
        <v>251</v>
      </c>
      <c r="C205" s="148" t="s">
        <v>252</v>
      </c>
      <c r="D205" s="88">
        <v>1808266662.3699999</v>
      </c>
      <c r="E205" s="34">
        <f>(D205/$D$207)</f>
        <v>0.12136981217973052</v>
      </c>
      <c r="F205" s="89">
        <v>49.142000000000003</v>
      </c>
      <c r="G205" s="89">
        <v>49.651400000000002</v>
      </c>
      <c r="H205" s="35">
        <v>1545</v>
      </c>
      <c r="I205" s="57">
        <v>-1.1599999999999999E-2</v>
      </c>
      <c r="J205" s="57">
        <v>0.22939999999999999</v>
      </c>
      <c r="K205" s="88">
        <v>1793957693.48</v>
      </c>
      <c r="L205" s="61">
        <f>(K205/$K$207)</f>
        <v>0.12008710114702403</v>
      </c>
      <c r="M205" s="89">
        <v>48.581000000000003</v>
      </c>
      <c r="N205" s="89">
        <v>49.076799999999999</v>
      </c>
      <c r="O205" s="35">
        <v>1546</v>
      </c>
      <c r="P205" s="57">
        <v>-9.5999999999999992E-3</v>
      </c>
      <c r="Q205" s="57">
        <v>0.23910000000000001</v>
      </c>
      <c r="R205" s="63">
        <f>((K205-D205)/D205)</f>
        <v>-7.9130856016810351E-3</v>
      </c>
      <c r="S205" s="63">
        <f t="shared" ref="S205:T207" si="150">((N205-G205)/G205)</f>
        <v>-1.1572684758133783E-2</v>
      </c>
      <c r="T205" s="63">
        <f t="shared" si="150"/>
        <v>6.4724919093851134E-4</v>
      </c>
      <c r="U205" s="63">
        <f t="shared" ref="U205:V207" si="151">P205-I205</f>
        <v>2E-3</v>
      </c>
      <c r="V205" s="64">
        <f t="shared" si="151"/>
        <v>9.7000000000000142E-3</v>
      </c>
    </row>
    <row r="206" spans="1:22">
      <c r="A206" s="167">
        <v>180</v>
      </c>
      <c r="B206" s="149" t="s">
        <v>253</v>
      </c>
      <c r="C206" s="148" t="s">
        <v>49</v>
      </c>
      <c r="D206" s="51">
        <v>12502666167.34</v>
      </c>
      <c r="E206" s="34">
        <f>(D206/$D$207)</f>
        <v>0.83917171955550518</v>
      </c>
      <c r="F206" s="89">
        <v>5.93</v>
      </c>
      <c r="G206" s="89">
        <v>6.01</v>
      </c>
      <c r="H206" s="35">
        <v>13777</v>
      </c>
      <c r="I206" s="57">
        <v>-1.15E-2</v>
      </c>
      <c r="J206" s="57">
        <v>0.32669999999999999</v>
      </c>
      <c r="K206" s="51">
        <v>12555327753.75</v>
      </c>
      <c r="L206" s="61">
        <f>(K206/$K$207)</f>
        <v>0.84045065241970451</v>
      </c>
      <c r="M206" s="89">
        <v>5.92</v>
      </c>
      <c r="N206" s="89">
        <v>6</v>
      </c>
      <c r="O206" s="35">
        <v>13900</v>
      </c>
      <c r="P206" s="57">
        <v>-1.17E-2</v>
      </c>
      <c r="Q206" s="57">
        <v>0.32450000000000001</v>
      </c>
      <c r="R206" s="63">
        <f>((K206-D206)/D206)</f>
        <v>4.2120285149710463E-3</v>
      </c>
      <c r="S206" s="63">
        <f t="shared" si="150"/>
        <v>-1.6638935108152725E-3</v>
      </c>
      <c r="T206" s="63">
        <f t="shared" si="150"/>
        <v>8.9279233505117229E-3</v>
      </c>
      <c r="U206" s="63">
        <f t="shared" si="151"/>
        <v>-2.0000000000000052E-4</v>
      </c>
      <c r="V206" s="64">
        <f t="shared" si="151"/>
        <v>-2.1999999999999797E-3</v>
      </c>
    </row>
    <row r="207" spans="1:22">
      <c r="A207" s="42"/>
      <c r="B207" s="43"/>
      <c r="C207" s="78" t="s">
        <v>55</v>
      </c>
      <c r="D207" s="86">
        <f>SUM(D204:D206)</f>
        <v>14898817340.940001</v>
      </c>
      <c r="E207" s="46">
        <f>(D207/$D$236)</f>
        <v>1.7816996576965065E-3</v>
      </c>
      <c r="F207" s="47"/>
      <c r="G207" s="87"/>
      <c r="H207" s="49">
        <f>SUM(H204:H206)</f>
        <v>15353</v>
      </c>
      <c r="I207" s="105"/>
      <c r="J207" s="105"/>
      <c r="K207" s="86">
        <f>SUM(K204:K206)</f>
        <v>14938804220.809999</v>
      </c>
      <c r="L207" s="46">
        <f>(K207/$K$236)</f>
        <v>1.7744601677980546E-3</v>
      </c>
      <c r="M207" s="47"/>
      <c r="N207" s="87"/>
      <c r="O207" s="49">
        <f>SUM(O204:O206)</f>
        <v>15477</v>
      </c>
      <c r="P207" s="105"/>
      <c r="Q207" s="105"/>
      <c r="R207" s="63">
        <f>((K207-D207)/D207)</f>
        <v>2.6838962418929868E-3</v>
      </c>
      <c r="S207" s="63" t="e">
        <f t="shared" si="150"/>
        <v>#DIV/0!</v>
      </c>
      <c r="T207" s="63">
        <f t="shared" si="150"/>
        <v>8.0765974076727684E-3</v>
      </c>
      <c r="U207" s="63">
        <f t="shared" si="151"/>
        <v>0</v>
      </c>
      <c r="V207" s="64">
        <f t="shared" si="151"/>
        <v>0</v>
      </c>
    </row>
    <row r="208" spans="1:22" ht="6" customHeight="1">
      <c r="A208" s="42"/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</row>
    <row r="209" spans="1:24" ht="15" customHeight="1">
      <c r="A209" s="194" t="s">
        <v>254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</row>
    <row r="210" spans="1:24">
      <c r="A210" s="197" t="s">
        <v>255</v>
      </c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</row>
    <row r="211" spans="1:24">
      <c r="A211" s="167">
        <v>181</v>
      </c>
      <c r="B211" s="149" t="s">
        <v>256</v>
      </c>
      <c r="C211" s="148" t="s">
        <v>257</v>
      </c>
      <c r="D211" s="55">
        <v>13325928829.200001</v>
      </c>
      <c r="E211" s="34">
        <f>(D211/$D$235)</f>
        <v>0.12000847720162779</v>
      </c>
      <c r="F211" s="90">
        <v>3.66</v>
      </c>
      <c r="G211" s="90">
        <v>3.73</v>
      </c>
      <c r="H211" s="53">
        <v>15997</v>
      </c>
      <c r="I211" s="60">
        <v>-8.9999999999999998E-4</v>
      </c>
      <c r="J211" s="60">
        <v>0.2419</v>
      </c>
      <c r="K211" s="55">
        <v>13230246860.799999</v>
      </c>
      <c r="L211" s="34">
        <f>(K211/$K$235)</f>
        <v>0.11882002945178288</v>
      </c>
      <c r="M211" s="90">
        <v>3.62</v>
      </c>
      <c r="N211" s="90">
        <v>3.68</v>
      </c>
      <c r="O211" s="53">
        <v>16054</v>
      </c>
      <c r="P211" s="60">
        <v>-1.2500000000000001E-2</v>
      </c>
      <c r="Q211" s="60">
        <v>0.2263</v>
      </c>
      <c r="R211" s="62">
        <f>((K211-D211)/D211)</f>
        <v>-7.1801350304634363E-3</v>
      </c>
      <c r="S211" s="62">
        <f>((N211-G211)/G211)</f>
        <v>-1.3404825737265367E-2</v>
      </c>
      <c r="T211" s="62">
        <f>((O211-H211)/H211)</f>
        <v>3.5631680940176281E-3</v>
      </c>
      <c r="U211" s="62">
        <f>P211-I211</f>
        <v>-1.1600000000000001E-2</v>
      </c>
      <c r="V211" s="109">
        <f>Q211-J211</f>
        <v>-1.5600000000000003E-2</v>
      </c>
    </row>
    <row r="212" spans="1:24">
      <c r="A212" s="167">
        <v>182</v>
      </c>
      <c r="B212" s="149" t="s">
        <v>258</v>
      </c>
      <c r="C212" s="148" t="s">
        <v>49</v>
      </c>
      <c r="D212" s="55">
        <v>20283059784.759998</v>
      </c>
      <c r="E212" s="34">
        <f>(D212/$D$235)</f>
        <v>0.18266187287635041</v>
      </c>
      <c r="F212" s="90">
        <v>1245.76</v>
      </c>
      <c r="G212" s="90">
        <v>1259.2</v>
      </c>
      <c r="H212" s="53">
        <v>5203</v>
      </c>
      <c r="I212" s="60">
        <v>2.5999999999999999E-3</v>
      </c>
      <c r="J212" s="60">
        <v>0.32440000000000002</v>
      </c>
      <c r="K212" s="55">
        <v>20869320252.16</v>
      </c>
      <c r="L212" s="34">
        <f>(K212/$K$235)</f>
        <v>0.18742607549882098</v>
      </c>
      <c r="M212" s="90">
        <v>1243.0899999999999</v>
      </c>
      <c r="N212" s="90">
        <v>1257.69</v>
      </c>
      <c r="O212" s="53">
        <v>5365</v>
      </c>
      <c r="P212" s="60">
        <v>-1.1000000000000001E-3</v>
      </c>
      <c r="Q212" s="60">
        <v>0.32290000000000002</v>
      </c>
      <c r="R212" s="62">
        <f>((K212-D212)/D212)</f>
        <v>2.8903946131465713E-2</v>
      </c>
      <c r="S212" s="62">
        <f>((N212-G212)/G212)</f>
        <v>-1.1991740787801707E-3</v>
      </c>
      <c r="T212" s="62">
        <f>((O212-H212)/H212)</f>
        <v>3.1135883144339804E-2</v>
      </c>
      <c r="U212" s="62">
        <f>P212-I212</f>
        <v>-3.7000000000000002E-3</v>
      </c>
      <c r="V212" s="109">
        <f>Q212-J212</f>
        <v>-1.5000000000000013E-3</v>
      </c>
    </row>
    <row r="213" spans="1:24" ht="6" customHeight="1">
      <c r="A213" s="77"/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</row>
    <row r="214" spans="1:24" ht="15" customHeight="1">
      <c r="A214" s="197" t="s">
        <v>192</v>
      </c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</row>
    <row r="215" spans="1:24">
      <c r="A215" s="167">
        <v>183</v>
      </c>
      <c r="B215" s="149" t="s">
        <v>259</v>
      </c>
      <c r="C215" s="148" t="s">
        <v>23</v>
      </c>
      <c r="D215" s="39">
        <v>1479760129.0899999</v>
      </c>
      <c r="E215" s="34">
        <f>(D215/$D$235)</f>
        <v>1.3326182511694833E-2</v>
      </c>
      <c r="F215" s="89">
        <v>1.1652</v>
      </c>
      <c r="G215" s="89">
        <v>1.1652</v>
      </c>
      <c r="H215" s="35">
        <v>900</v>
      </c>
      <c r="I215" s="57">
        <v>0.12559999999999999</v>
      </c>
      <c r="J215" s="57">
        <v>0.1363</v>
      </c>
      <c r="K215" s="39">
        <v>1481713986.7</v>
      </c>
      <c r="L215" s="34">
        <f t="shared" ref="L215:L228" si="152">(K215/$K$235)</f>
        <v>1.3307181747337925E-2</v>
      </c>
      <c r="M215" s="89">
        <v>1.1679999999999999</v>
      </c>
      <c r="N215" s="89">
        <v>1.1679999999999999</v>
      </c>
      <c r="O215" s="35">
        <v>897</v>
      </c>
      <c r="P215" s="57">
        <v>0.12529999999999999</v>
      </c>
      <c r="Q215" s="57">
        <v>0.1356</v>
      </c>
      <c r="R215" s="63">
        <f>((K215-D215)/D215)</f>
        <v>1.3203880626258572E-3</v>
      </c>
      <c r="S215" s="63">
        <f>((N215-G215)/G215)</f>
        <v>2.4030209406109798E-3</v>
      </c>
      <c r="T215" s="63">
        <f>((O215-H215)/H215)</f>
        <v>-3.3333333333333335E-3</v>
      </c>
      <c r="U215" s="63">
        <f>P215-I215</f>
        <v>-2.9999999999999472E-4</v>
      </c>
      <c r="V215" s="64">
        <f>Q215-J215</f>
        <v>-7.0000000000000617E-4</v>
      </c>
      <c r="X215" s="110"/>
    </row>
    <row r="216" spans="1:24">
      <c r="A216" s="167">
        <v>184</v>
      </c>
      <c r="B216" s="149" t="s">
        <v>260</v>
      </c>
      <c r="C216" s="148" t="s">
        <v>261</v>
      </c>
      <c r="D216" s="39">
        <v>373601596.11000001</v>
      </c>
      <c r="E216" s="34">
        <f>(D216/$D$235)</f>
        <v>3.3645203425531353E-3</v>
      </c>
      <c r="F216" s="89">
        <v>1141.4000000000001</v>
      </c>
      <c r="G216" s="89">
        <v>1141.4000000000001</v>
      </c>
      <c r="H216" s="35">
        <v>19</v>
      </c>
      <c r="I216" s="57">
        <v>5.9999999999999995E-4</v>
      </c>
      <c r="J216" s="57">
        <v>2.1999999999999999E-2</v>
      </c>
      <c r="K216" s="39">
        <v>374872217.45999998</v>
      </c>
      <c r="L216" s="34">
        <f t="shared" si="152"/>
        <v>3.3667042185907478E-3</v>
      </c>
      <c r="M216" s="89">
        <v>1145.28</v>
      </c>
      <c r="N216" s="89">
        <v>1145.28</v>
      </c>
      <c r="O216" s="35">
        <v>19</v>
      </c>
      <c r="P216" s="57">
        <v>3.5999999999999999E-3</v>
      </c>
      <c r="Q216" s="57">
        <v>2.5499999999999998E-2</v>
      </c>
      <c r="R216" s="63">
        <f>((K216-D216)/D216)</f>
        <v>3.4010062141861231E-3</v>
      </c>
      <c r="S216" s="63">
        <f>((N216-G216)/G216)</f>
        <v>3.3993341510424754E-3</v>
      </c>
      <c r="T216" s="63">
        <f>((O216-H216)/H216)</f>
        <v>0</v>
      </c>
      <c r="U216" s="63">
        <f>P216-I216</f>
        <v>3.0000000000000001E-3</v>
      </c>
      <c r="V216" s="64">
        <f>Q216-J216</f>
        <v>3.4999999999999996E-3</v>
      </c>
      <c r="X216" s="110"/>
    </row>
    <row r="217" spans="1:24">
      <c r="A217" s="163">
        <v>185</v>
      </c>
      <c r="B217" s="164" t="s">
        <v>262</v>
      </c>
      <c r="C217" s="148" t="s">
        <v>72</v>
      </c>
      <c r="D217" s="39">
        <v>321196694.58999997</v>
      </c>
      <c r="E217" s="34">
        <f>(D217/$D$235)</f>
        <v>2.8925808244959893E-3</v>
      </c>
      <c r="F217" s="89">
        <v>125.96</v>
      </c>
      <c r="G217" s="89">
        <v>125.96</v>
      </c>
      <c r="H217" s="35">
        <v>80</v>
      </c>
      <c r="I217" s="57">
        <v>3.3E-3</v>
      </c>
      <c r="J217" s="57">
        <v>0.14990000000000001</v>
      </c>
      <c r="K217" s="39">
        <v>329406913.69</v>
      </c>
      <c r="L217" s="34">
        <f t="shared" si="152"/>
        <v>2.9583831351050085E-3</v>
      </c>
      <c r="M217" s="89">
        <v>126.26</v>
      </c>
      <c r="N217" s="89">
        <v>126.26</v>
      </c>
      <c r="O217" s="35">
        <v>81</v>
      </c>
      <c r="P217" s="57">
        <v>2.3999999999999998E-3</v>
      </c>
      <c r="Q217" s="57">
        <v>0.14990000000000001</v>
      </c>
      <c r="R217" s="63">
        <f t="shared" ref="R217:R236" si="153">((K217-D217)/D217)</f>
        <v>2.5561343682195033E-2</v>
      </c>
      <c r="S217" s="63">
        <f t="shared" ref="S217:S235" si="154">((N217-G217)/G217)</f>
        <v>2.3817084788822752E-3</v>
      </c>
      <c r="T217" s="63">
        <f t="shared" ref="T217:T235" si="155">((O217-H217)/H217)</f>
        <v>1.2500000000000001E-2</v>
      </c>
      <c r="U217" s="63">
        <f t="shared" ref="U217:U235" si="156">P217-I217</f>
        <v>-9.0000000000000019E-4</v>
      </c>
      <c r="V217" s="64">
        <f t="shared" ref="V217:V235" si="157">Q217-J217</f>
        <v>0</v>
      </c>
    </row>
    <row r="218" spans="1:24">
      <c r="A218" s="167">
        <v>186</v>
      </c>
      <c r="B218" s="171" t="s">
        <v>263</v>
      </c>
      <c r="C218" s="148" t="s">
        <v>264</v>
      </c>
      <c r="D218" s="39">
        <v>55728032.296872199</v>
      </c>
      <c r="E218" s="34">
        <v>0</v>
      </c>
      <c r="F218" s="89">
        <v>108.99</v>
      </c>
      <c r="G218" s="89">
        <v>108.99</v>
      </c>
      <c r="H218" s="35">
        <v>14</v>
      </c>
      <c r="I218" s="57">
        <v>3.3999999999999998E-3</v>
      </c>
      <c r="J218" s="57">
        <v>8.9899999999999994E-2</v>
      </c>
      <c r="K218" s="39">
        <v>55857719.688441999</v>
      </c>
      <c r="L218" s="34">
        <f t="shared" si="152"/>
        <v>5.0165472861696757E-4</v>
      </c>
      <c r="M218" s="89">
        <v>109.24</v>
      </c>
      <c r="N218" s="89">
        <v>109.24</v>
      </c>
      <c r="O218" s="35">
        <v>14</v>
      </c>
      <c r="P218" s="57">
        <v>2.5000000000000001E-3</v>
      </c>
      <c r="Q218" s="57">
        <v>9.2399999999999996E-2</v>
      </c>
      <c r="R218" s="63">
        <f t="shared" si="153"/>
        <v>2.3271482272859568E-3</v>
      </c>
      <c r="S218" s="63">
        <f t="shared" si="154"/>
        <v>2.293788420956051E-3</v>
      </c>
      <c r="T218" s="63">
        <f t="shared" si="155"/>
        <v>0</v>
      </c>
      <c r="U218" s="63">
        <f t="shared" si="156"/>
        <v>-8.9999999999999976E-4</v>
      </c>
      <c r="V218" s="64">
        <f t="shared" si="157"/>
        <v>2.5000000000000022E-3</v>
      </c>
    </row>
    <row r="219" spans="1:24">
      <c r="A219" s="167">
        <v>187</v>
      </c>
      <c r="B219" s="171" t="s">
        <v>265</v>
      </c>
      <c r="C219" s="148" t="s">
        <v>78</v>
      </c>
      <c r="D219" s="51">
        <v>74510903.299999997</v>
      </c>
      <c r="E219" s="34">
        <f>(D219/$D$235)</f>
        <v>6.7101814474327759E-4</v>
      </c>
      <c r="F219" s="89">
        <v>106.48</v>
      </c>
      <c r="G219" s="89">
        <v>106.48</v>
      </c>
      <c r="H219" s="35">
        <v>17</v>
      </c>
      <c r="I219" s="57">
        <v>-1E-4</v>
      </c>
      <c r="J219" s="57">
        <v>7.9000000000000001E-2</v>
      </c>
      <c r="K219" s="51">
        <v>74478868.629999995</v>
      </c>
      <c r="L219" s="34">
        <f t="shared" si="152"/>
        <v>6.6889011650814775E-4</v>
      </c>
      <c r="M219" s="89">
        <v>106.44</v>
      </c>
      <c r="N219" s="89">
        <v>106.44</v>
      </c>
      <c r="O219" s="35">
        <v>17</v>
      </c>
      <c r="P219" s="57">
        <v>-5.0000000000000001E-4</v>
      </c>
      <c r="Q219" s="57">
        <v>7.85E-2</v>
      </c>
      <c r="R219" s="63">
        <f t="shared" si="153"/>
        <v>-4.2993264852825627E-4</v>
      </c>
      <c r="S219" s="63">
        <f t="shared" si="154"/>
        <v>-3.7565740045084761E-4</v>
      </c>
      <c r="T219" s="63">
        <f t="shared" si="155"/>
        <v>0</v>
      </c>
      <c r="U219" s="63">
        <f t="shared" si="156"/>
        <v>-4.0000000000000002E-4</v>
      </c>
      <c r="V219" s="64">
        <f t="shared" si="157"/>
        <v>-5.0000000000000044E-4</v>
      </c>
    </row>
    <row r="220" spans="1:24">
      <c r="A220" s="167">
        <v>188</v>
      </c>
      <c r="B220" s="149" t="s">
        <v>266</v>
      </c>
      <c r="C220" s="148" t="s">
        <v>81</v>
      </c>
      <c r="D220" s="51">
        <v>329232148.92000002</v>
      </c>
      <c r="E220" s="34">
        <v>0</v>
      </c>
      <c r="F220" s="89">
        <v>1.2005999999999999</v>
      </c>
      <c r="G220" s="89">
        <v>1.2005999999999999</v>
      </c>
      <c r="H220" s="35">
        <v>65</v>
      </c>
      <c r="I220" s="57">
        <v>0.14050000000000001</v>
      </c>
      <c r="J220" s="57">
        <v>0.14000000000000001</v>
      </c>
      <c r="K220" s="51">
        <v>328412013.13999999</v>
      </c>
      <c r="L220" s="34">
        <f t="shared" si="152"/>
        <v>2.9494479947484932E-3</v>
      </c>
      <c r="M220" s="89">
        <v>1.2022299999999999</v>
      </c>
      <c r="N220" s="89">
        <v>1.2022299999999999</v>
      </c>
      <c r="O220" s="35">
        <v>66</v>
      </c>
      <c r="P220" s="57">
        <v>0.14050000000000001</v>
      </c>
      <c r="Q220" s="57">
        <v>0.14000000000000001</v>
      </c>
      <c r="R220" s="63">
        <f t="shared" ref="R220:R221" si="158">((K220-D220)/D220)</f>
        <v>-2.4910561823636348E-3</v>
      </c>
      <c r="S220" s="63">
        <f t="shared" ref="S220:S221" si="159">((N220-G220)/G220)</f>
        <v>1.3576545060803103E-3</v>
      </c>
      <c r="T220" s="63">
        <f t="shared" ref="T220" si="160">((O220-H220)/H220)</f>
        <v>1.5384615384615385E-2</v>
      </c>
      <c r="U220" s="63">
        <f t="shared" ref="U220" si="161">P220-I220</f>
        <v>0</v>
      </c>
      <c r="V220" s="64">
        <f t="shared" ref="V220" si="162">Q220-J220</f>
        <v>0</v>
      </c>
    </row>
    <row r="221" spans="1:24">
      <c r="A221" s="167">
        <v>189</v>
      </c>
      <c r="B221" s="149" t="s">
        <v>267</v>
      </c>
      <c r="C221" s="148" t="s">
        <v>31</v>
      </c>
      <c r="D221" s="39">
        <v>5666821346</v>
      </c>
      <c r="E221" s="34">
        <f t="shared" ref="E221:E228" si="163">(D221/$D$235)</f>
        <v>5.1033335763955551E-2</v>
      </c>
      <c r="F221" s="89">
        <v>146.11000000000001</v>
      </c>
      <c r="G221" s="89">
        <v>146.11000000000001</v>
      </c>
      <c r="H221" s="35">
        <v>792</v>
      </c>
      <c r="I221" s="57">
        <v>2.5000000000000001E-3</v>
      </c>
      <c r="J221" s="57">
        <v>2.6800000000000001E-2</v>
      </c>
      <c r="K221" s="39">
        <v>5664199637.3900003</v>
      </c>
      <c r="L221" s="34">
        <f t="shared" si="152"/>
        <v>5.0869826906220092E-2</v>
      </c>
      <c r="M221" s="89">
        <v>146.38</v>
      </c>
      <c r="N221" s="89">
        <v>146.38</v>
      </c>
      <c r="O221" s="35">
        <v>792</v>
      </c>
      <c r="P221" s="57">
        <v>-1.8E-3</v>
      </c>
      <c r="Q221" s="57">
        <v>2.87E-2</v>
      </c>
      <c r="R221" s="63">
        <f t="shared" si="158"/>
        <v>-4.6264183215343889E-4</v>
      </c>
      <c r="S221" s="63">
        <f t="shared" si="159"/>
        <v>1.8479227978918744E-3</v>
      </c>
      <c r="T221" s="63">
        <f t="shared" si="155"/>
        <v>0</v>
      </c>
      <c r="U221" s="63">
        <f t="shared" si="156"/>
        <v>-4.3E-3</v>
      </c>
      <c r="V221" s="64">
        <f t="shared" si="157"/>
        <v>1.8999999999999989E-3</v>
      </c>
    </row>
    <row r="222" spans="1:24">
      <c r="A222" s="167">
        <v>190</v>
      </c>
      <c r="B222" s="149" t="s">
        <v>268</v>
      </c>
      <c r="C222" s="148" t="s">
        <v>70</v>
      </c>
      <c r="D222" s="39">
        <v>1052916308.70894</v>
      </c>
      <c r="E222" s="34">
        <f t="shared" si="163"/>
        <v>9.4821820263694626E-3</v>
      </c>
      <c r="F222" s="38">
        <v>1355.4678571151901</v>
      </c>
      <c r="G222" s="38">
        <v>1355.4678571151901</v>
      </c>
      <c r="H222" s="35">
        <v>338</v>
      </c>
      <c r="I222" s="57">
        <v>0.1178</v>
      </c>
      <c r="J222" s="57">
        <v>0.1171</v>
      </c>
      <c r="K222" s="39">
        <v>1043769014.0033799</v>
      </c>
      <c r="L222" s="34">
        <f t="shared" si="152"/>
        <v>9.3740250117480255E-3</v>
      </c>
      <c r="M222" s="38">
        <v>1358.4070081556399</v>
      </c>
      <c r="N222" s="38">
        <v>1358.4070081556399</v>
      </c>
      <c r="O222" s="35">
        <v>341</v>
      </c>
      <c r="P222" s="57">
        <v>0.11310000000000001</v>
      </c>
      <c r="Q222" s="57">
        <v>0.11700000000000001</v>
      </c>
      <c r="R222" s="63">
        <f t="shared" si="153"/>
        <v>-8.6875800383187859E-3</v>
      </c>
      <c r="S222" s="63">
        <f t="shared" si="154"/>
        <v>2.1683664610868307E-3</v>
      </c>
      <c r="T222" s="63">
        <f t="shared" si="155"/>
        <v>8.8757396449704144E-3</v>
      </c>
      <c r="U222" s="63">
        <f t="shared" si="156"/>
        <v>-4.6999999999999958E-3</v>
      </c>
      <c r="V222" s="64">
        <f t="shared" si="157"/>
        <v>-9.9999999999988987E-5</v>
      </c>
    </row>
    <row r="223" spans="1:24">
      <c r="A223" s="167">
        <v>191</v>
      </c>
      <c r="B223" s="149" t="s">
        <v>269</v>
      </c>
      <c r="C223" s="148" t="s">
        <v>257</v>
      </c>
      <c r="D223" s="39">
        <v>44696616526.989998</v>
      </c>
      <c r="E223" s="34">
        <f t="shared" si="163"/>
        <v>0.40252150181948676</v>
      </c>
      <c r="F223" s="38">
        <v>1298.3399999999999</v>
      </c>
      <c r="G223" s="38">
        <v>1298.3399999999999</v>
      </c>
      <c r="H223" s="35">
        <v>12585</v>
      </c>
      <c r="I223" s="57">
        <v>2.8E-3</v>
      </c>
      <c r="J223" s="57">
        <v>2.9899999999999999E-2</v>
      </c>
      <c r="K223" s="39">
        <v>44982332021.110001</v>
      </c>
      <c r="L223" s="34">
        <f t="shared" si="152"/>
        <v>0.40398354405572895</v>
      </c>
      <c r="M223" s="38">
        <v>1301.1500000000001</v>
      </c>
      <c r="N223" s="38">
        <v>1301.1500000000001</v>
      </c>
      <c r="O223" s="35">
        <v>12529</v>
      </c>
      <c r="P223" s="57">
        <v>2.2000000000000001E-3</v>
      </c>
      <c r="Q223" s="57">
        <v>3.2099999999999997E-2</v>
      </c>
      <c r="R223" s="63">
        <f t="shared" si="153"/>
        <v>6.3923293600416887E-3</v>
      </c>
      <c r="S223" s="63">
        <f t="shared" si="154"/>
        <v>2.1643021088468143E-3</v>
      </c>
      <c r="T223" s="63">
        <f t="shared" si="155"/>
        <v>-4.4497417560587999E-3</v>
      </c>
      <c r="U223" s="63">
        <f t="shared" si="156"/>
        <v>-5.9999999999999984E-4</v>
      </c>
      <c r="V223" s="64">
        <f t="shared" si="157"/>
        <v>2.1999999999999971E-3</v>
      </c>
    </row>
    <row r="224" spans="1:24">
      <c r="A224" s="167">
        <v>192</v>
      </c>
      <c r="B224" s="149" t="s">
        <v>270</v>
      </c>
      <c r="C224" s="148" t="s">
        <v>271</v>
      </c>
      <c r="D224" s="39">
        <v>479264957.13999999</v>
      </c>
      <c r="E224" s="34">
        <f t="shared" si="163"/>
        <v>4.3160862120503818E-3</v>
      </c>
      <c r="F224" s="90">
        <v>134.66999999999999</v>
      </c>
      <c r="G224" s="90">
        <v>135.35</v>
      </c>
      <c r="H224" s="53">
        <v>132</v>
      </c>
      <c r="I224" s="57">
        <v>-3.2000000000000002E-3</v>
      </c>
      <c r="J224" s="57">
        <v>0.1095</v>
      </c>
      <c r="K224" s="39">
        <v>485586095.02999997</v>
      </c>
      <c r="L224" s="34">
        <f t="shared" si="152"/>
        <v>4.3610187111317459E-3</v>
      </c>
      <c r="M224" s="90">
        <v>135.15</v>
      </c>
      <c r="N224" s="90">
        <v>135.82</v>
      </c>
      <c r="O224" s="53">
        <v>134</v>
      </c>
      <c r="P224" s="57">
        <v>3.5000000000000001E-3</v>
      </c>
      <c r="Q224" s="57">
        <v>0.1134</v>
      </c>
      <c r="R224" s="63">
        <f>((K224-D224)/D224)</f>
        <v>1.3189234463794717E-2</v>
      </c>
      <c r="S224" s="63">
        <f t="shared" si="154"/>
        <v>3.4724787587735416E-3</v>
      </c>
      <c r="T224" s="63">
        <f t="shared" si="155"/>
        <v>1.5151515151515152E-2</v>
      </c>
      <c r="U224" s="63">
        <f t="shared" si="156"/>
        <v>6.7000000000000002E-3</v>
      </c>
      <c r="V224" s="64">
        <f t="shared" si="157"/>
        <v>3.9000000000000007E-3</v>
      </c>
    </row>
    <row r="225" spans="1:22">
      <c r="A225" s="167">
        <v>193</v>
      </c>
      <c r="B225" s="149" t="s">
        <v>272</v>
      </c>
      <c r="C225" s="148" t="s">
        <v>271</v>
      </c>
      <c r="D225" s="39">
        <v>843544165.20000005</v>
      </c>
      <c r="E225" s="34">
        <f t="shared" si="163"/>
        <v>7.5966525122172415E-3</v>
      </c>
      <c r="F225" s="90">
        <v>140.72999999999999</v>
      </c>
      <c r="G225" s="90">
        <v>140.72999999999999</v>
      </c>
      <c r="H225" s="53">
        <v>133</v>
      </c>
      <c r="I225" s="57">
        <v>7.4000000000000003E-3</v>
      </c>
      <c r="J225" s="57">
        <v>3.7699999999999997E-2</v>
      </c>
      <c r="K225" s="39">
        <v>895696302.39999998</v>
      </c>
      <c r="L225" s="34">
        <f t="shared" si="152"/>
        <v>8.0441931394608663E-3</v>
      </c>
      <c r="M225" s="90">
        <v>141.06</v>
      </c>
      <c r="N225" s="90">
        <v>141.06</v>
      </c>
      <c r="O225" s="53">
        <v>133</v>
      </c>
      <c r="P225" s="57">
        <v>5.3E-3</v>
      </c>
      <c r="Q225" s="57">
        <v>4.8899999999999999E-2</v>
      </c>
      <c r="R225" s="63">
        <f t="shared" si="153"/>
        <v>6.1825022745116046E-2</v>
      </c>
      <c r="S225" s="63">
        <f t="shared" si="154"/>
        <v>2.3449157962055888E-3</v>
      </c>
      <c r="T225" s="63">
        <f t="shared" si="155"/>
        <v>0</v>
      </c>
      <c r="U225" s="63">
        <f t="shared" si="156"/>
        <v>-2.1000000000000003E-3</v>
      </c>
      <c r="V225" s="64">
        <f t="shared" si="157"/>
        <v>1.1200000000000002E-2</v>
      </c>
    </row>
    <row r="226" spans="1:22" ht="13.5" customHeight="1">
      <c r="A226" s="167">
        <v>194</v>
      </c>
      <c r="B226" s="149" t="s">
        <v>273</v>
      </c>
      <c r="C226" s="148" t="s">
        <v>103</v>
      </c>
      <c r="D226" s="39">
        <v>2990771562</v>
      </c>
      <c r="E226" s="34">
        <f t="shared" si="163"/>
        <v>2.6933802920145172E-2</v>
      </c>
      <c r="F226" s="67">
        <v>107.37</v>
      </c>
      <c r="G226" s="67">
        <v>107.37</v>
      </c>
      <c r="H226" s="35">
        <v>836</v>
      </c>
      <c r="I226" s="57">
        <v>3.3999999999999998E-3</v>
      </c>
      <c r="J226" s="57">
        <v>0.1734</v>
      </c>
      <c r="K226" s="39">
        <v>3122390482</v>
      </c>
      <c r="L226" s="34">
        <f t="shared" si="152"/>
        <v>2.8041995960820111E-2</v>
      </c>
      <c r="M226" s="67">
        <v>107.63</v>
      </c>
      <c r="N226" s="67">
        <v>107.63</v>
      </c>
      <c r="O226" s="35">
        <v>842</v>
      </c>
      <c r="P226" s="57">
        <v>2.3999999999999998E-3</v>
      </c>
      <c r="Q226" s="57">
        <v>0.17369999999999999</v>
      </c>
      <c r="R226" s="63">
        <f t="shared" si="153"/>
        <v>4.4008349441434204E-2</v>
      </c>
      <c r="S226" s="63">
        <f t="shared" si="154"/>
        <v>2.4215330166712386E-3</v>
      </c>
      <c r="T226" s="63">
        <f t="shared" si="155"/>
        <v>7.1770334928229667E-3</v>
      </c>
      <c r="U226" s="63">
        <f t="shared" si="156"/>
        <v>-1E-3</v>
      </c>
      <c r="V226" s="64">
        <f t="shared" si="157"/>
        <v>2.9999999999999472E-4</v>
      </c>
    </row>
    <row r="227" spans="1:22" ht="15.75" customHeight="1">
      <c r="A227" s="167">
        <v>195</v>
      </c>
      <c r="B227" s="149" t="s">
        <v>274</v>
      </c>
      <c r="C227" s="148" t="s">
        <v>49</v>
      </c>
      <c r="D227" s="39">
        <v>2961372780.0700002</v>
      </c>
      <c r="E227" s="34">
        <f t="shared" si="163"/>
        <v>2.6669048162992998E-2</v>
      </c>
      <c r="F227" s="67">
        <v>147.99</v>
      </c>
      <c r="G227" s="67">
        <v>147.99</v>
      </c>
      <c r="H227" s="35">
        <v>2406</v>
      </c>
      <c r="I227" s="57">
        <v>2.0999999999999999E-3</v>
      </c>
      <c r="J227" s="57">
        <v>2.47E-2</v>
      </c>
      <c r="K227" s="39">
        <v>2113822259.24</v>
      </c>
      <c r="L227" s="34">
        <f t="shared" si="152"/>
        <v>1.8984107079884356E-2</v>
      </c>
      <c r="M227" s="67">
        <v>148.28</v>
      </c>
      <c r="N227" s="67">
        <v>148.28</v>
      </c>
      <c r="O227" s="35">
        <v>2420</v>
      </c>
      <c r="P227" s="57">
        <v>2.5999999999999999E-3</v>
      </c>
      <c r="Q227" s="57">
        <v>2.7400000000000001E-2</v>
      </c>
      <c r="R227" s="63">
        <f t="shared" si="153"/>
        <v>-0.2862019015417458</v>
      </c>
      <c r="S227" s="63">
        <f t="shared" si="154"/>
        <v>1.9595918643151027E-3</v>
      </c>
      <c r="T227" s="63">
        <f t="shared" si="155"/>
        <v>5.8187863674147968E-3</v>
      </c>
      <c r="U227" s="63">
        <f t="shared" si="156"/>
        <v>5.0000000000000001E-4</v>
      </c>
      <c r="V227" s="64">
        <f t="shared" si="157"/>
        <v>2.700000000000001E-3</v>
      </c>
    </row>
    <row r="228" spans="1:22">
      <c r="A228" s="167">
        <v>196</v>
      </c>
      <c r="B228" s="149" t="s">
        <v>275</v>
      </c>
      <c r="C228" s="148" t="s">
        <v>52</v>
      </c>
      <c r="D228" s="39">
        <v>4211809426.98</v>
      </c>
      <c r="E228" s="34">
        <f t="shared" si="163"/>
        <v>3.793002664758148E-2</v>
      </c>
      <c r="F228" s="67">
        <v>1.2478800000000001</v>
      </c>
      <c r="G228" s="67">
        <v>1.2478800000000001</v>
      </c>
      <c r="H228" s="35">
        <v>2162</v>
      </c>
      <c r="I228" s="57">
        <v>2.2000000000000001E-3</v>
      </c>
      <c r="J228" s="57">
        <v>7.46E-2</v>
      </c>
      <c r="K228" s="39">
        <v>4158499009.6599998</v>
      </c>
      <c r="L228" s="34">
        <f t="shared" si="152"/>
        <v>3.7347222618122289E-2</v>
      </c>
      <c r="M228" s="67">
        <v>1.2498499999999999</v>
      </c>
      <c r="N228" s="67">
        <v>1.2498499999999999</v>
      </c>
      <c r="O228" s="35">
        <v>2167</v>
      </c>
      <c r="P228" s="57">
        <v>1.6000000000000001E-3</v>
      </c>
      <c r="Q228" s="57">
        <v>7.7600000000000002E-2</v>
      </c>
      <c r="R228" s="63">
        <f t="shared" si="153"/>
        <v>-1.2657366921329443E-2</v>
      </c>
      <c r="S228" s="63">
        <f t="shared" si="154"/>
        <v>1.5786774369328821E-3</v>
      </c>
      <c r="T228" s="63">
        <f t="shared" si="155"/>
        <v>2.3126734505087882E-3</v>
      </c>
      <c r="U228" s="63">
        <f t="shared" si="156"/>
        <v>-6.0000000000000006E-4</v>
      </c>
      <c r="V228" s="64">
        <f t="shared" si="157"/>
        <v>3.0000000000000027E-3</v>
      </c>
    </row>
    <row r="229" spans="1:22" ht="6" customHeight="1">
      <c r="A229" s="42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</row>
    <row r="230" spans="1:22">
      <c r="A230" s="197" t="s">
        <v>276</v>
      </c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</row>
    <row r="231" spans="1:22">
      <c r="A231" s="167">
        <v>197</v>
      </c>
      <c r="B231" s="149" t="s">
        <v>277</v>
      </c>
      <c r="C231" s="148" t="s">
        <v>19</v>
      </c>
      <c r="D231" s="88">
        <v>529323309.25999999</v>
      </c>
      <c r="E231" s="34">
        <f>(D231/$D$207)</f>
        <v>3.5527874269958917E-2</v>
      </c>
      <c r="F231" s="89">
        <v>115.23390000000001</v>
      </c>
      <c r="G231" s="89">
        <v>115.23390000000001</v>
      </c>
      <c r="H231" s="37">
        <v>110</v>
      </c>
      <c r="I231" s="58">
        <v>3.3E-3</v>
      </c>
      <c r="J231" s="58">
        <v>9.8699999999999996E-2</v>
      </c>
      <c r="K231" s="88">
        <v>532551862.01999998</v>
      </c>
      <c r="L231" s="61">
        <f>(K231/K232)</f>
        <v>4.7925894858970308E-2</v>
      </c>
      <c r="M231" s="89">
        <v>115.4404</v>
      </c>
      <c r="N231" s="89">
        <v>115.4404</v>
      </c>
      <c r="O231" s="37">
        <v>110</v>
      </c>
      <c r="P231" s="58">
        <v>1.8E-3</v>
      </c>
      <c r="Q231" s="58">
        <v>0.1007</v>
      </c>
      <c r="R231" s="63">
        <f>((K231-D231)/D231)</f>
        <v>6.0993965380318205E-3</v>
      </c>
      <c r="S231" s="63">
        <f t="shared" ref="S231" si="164">((N231-G231)/G231)</f>
        <v>1.792007386715118E-3</v>
      </c>
      <c r="T231" s="63">
        <f t="shared" ref="T231" si="165">((O231-H231)/H231)</f>
        <v>0</v>
      </c>
      <c r="U231" s="63">
        <f t="shared" ref="U231" si="166">P231-I231</f>
        <v>-1.5E-3</v>
      </c>
      <c r="V231" s="64">
        <f t="shared" ref="V231" si="167">Q231-J231</f>
        <v>2.0000000000000018E-3</v>
      </c>
    </row>
    <row r="232" spans="1:22">
      <c r="A232" s="167">
        <v>198</v>
      </c>
      <c r="B232" s="149" t="s">
        <v>278</v>
      </c>
      <c r="C232" s="148" t="s">
        <v>23</v>
      </c>
      <c r="D232" s="88">
        <v>10870188239.23</v>
      </c>
      <c r="E232" s="34">
        <f>(D232/$D$207)</f>
        <v>0.72960074551421905</v>
      </c>
      <c r="F232" s="89">
        <v>131.79320000000001</v>
      </c>
      <c r="G232" s="89">
        <v>135.76689999999999</v>
      </c>
      <c r="H232" s="37">
        <v>5067</v>
      </c>
      <c r="I232" s="58">
        <v>1.0699999999999999E-2</v>
      </c>
      <c r="J232" s="58">
        <v>0.34660000000000002</v>
      </c>
      <c r="K232" s="88">
        <v>11111985776.940001</v>
      </c>
      <c r="L232" s="61">
        <f>(K232/$K$207)</f>
        <v>0.74383368392102112</v>
      </c>
      <c r="M232" s="89">
        <v>131.02629999999999</v>
      </c>
      <c r="N232" s="89">
        <v>134.9768</v>
      </c>
      <c r="O232" s="37">
        <v>5188</v>
      </c>
      <c r="P232" s="58">
        <v>-0.3034</v>
      </c>
      <c r="Q232" s="58">
        <v>1.1932</v>
      </c>
      <c r="R232" s="63">
        <f>((K232-D232)/D232)</f>
        <v>2.224409848187955E-2</v>
      </c>
      <c r="S232" s="63">
        <f t="shared" ref="S232" si="168">((N232-G232)/G232)</f>
        <v>-5.8195333324985356E-3</v>
      </c>
      <c r="T232" s="63">
        <f t="shared" ref="T232" si="169">((O232-H232)/H232)</f>
        <v>2.3880007894217486E-2</v>
      </c>
      <c r="U232" s="63">
        <f t="shared" ref="U232" si="170">P232-I232</f>
        <v>-0.31409999999999999</v>
      </c>
      <c r="V232" s="64">
        <f t="shared" ref="V232" si="171">Q232-J232</f>
        <v>0.84660000000000002</v>
      </c>
    </row>
    <row r="233" spans="1:22">
      <c r="A233" s="167">
        <v>199</v>
      </c>
      <c r="B233" s="149" t="s">
        <v>279</v>
      </c>
      <c r="C233" s="148" t="s">
        <v>257</v>
      </c>
      <c r="D233" s="39">
        <v>349516295.77999997</v>
      </c>
      <c r="E233" s="34">
        <f t="shared" ref="E233" si="172">(D233/$D$235)</f>
        <v>3.1476168716886065E-3</v>
      </c>
      <c r="F233" s="38">
        <v>1509.77</v>
      </c>
      <c r="G233" s="38">
        <v>1509.77</v>
      </c>
      <c r="H233" s="35">
        <v>146</v>
      </c>
      <c r="I233" s="57">
        <v>1.47E-2</v>
      </c>
      <c r="J233" s="57">
        <v>0.2097</v>
      </c>
      <c r="K233" s="39">
        <v>339265631.51999998</v>
      </c>
      <c r="L233" s="34">
        <f t="shared" ref="L233" si="173">(K233/$K$235)</f>
        <v>3.0469236706855054E-3</v>
      </c>
      <c r="M233" s="38">
        <v>1465.24</v>
      </c>
      <c r="N233" s="38">
        <v>1465.24</v>
      </c>
      <c r="O233" s="35">
        <v>146</v>
      </c>
      <c r="P233" s="57">
        <v>-2.9499999999999998E-2</v>
      </c>
      <c r="Q233" s="57">
        <v>0.17399999999999999</v>
      </c>
      <c r="R233" s="63">
        <f t="shared" ref="R233" si="174">((K233-D233)/D233)</f>
        <v>-2.9328144020077915E-2</v>
      </c>
      <c r="S233" s="63">
        <f t="shared" ref="S233" si="175">((N233-G233)/G233)</f>
        <v>-2.9494558773852955E-2</v>
      </c>
      <c r="T233" s="63">
        <f t="shared" ref="T233" si="176">((O233-H233)/H233)</f>
        <v>0</v>
      </c>
      <c r="U233" s="63">
        <f t="shared" ref="U233" si="177">P233-I233</f>
        <v>-4.4199999999999996E-2</v>
      </c>
      <c r="V233" s="64">
        <f t="shared" ref="V233" si="178">Q233-J233</f>
        <v>-3.570000000000001E-2</v>
      </c>
    </row>
    <row r="234" spans="1:22">
      <c r="A234" s="167">
        <v>200</v>
      </c>
      <c r="B234" s="149" t="s">
        <v>280</v>
      </c>
      <c r="C234" s="148" t="s">
        <v>281</v>
      </c>
      <c r="D234" s="39">
        <v>146399526.75</v>
      </c>
      <c r="E234" s="34">
        <f t="shared" ref="E234" si="179">(D234/$D$235)</f>
        <v>1.3184209891477566E-3</v>
      </c>
      <c r="F234" s="38">
        <v>117.06</v>
      </c>
      <c r="G234" s="38">
        <v>119.48</v>
      </c>
      <c r="H234" s="35">
        <v>305</v>
      </c>
      <c r="I234" s="57">
        <v>4.7000000000000002E-3</v>
      </c>
      <c r="J234" s="57">
        <v>3.8E-3</v>
      </c>
      <c r="K234" s="39">
        <v>152534512.49000001</v>
      </c>
      <c r="L234" s="34">
        <f t="shared" ref="L234" si="180">(K234/$K$235)</f>
        <v>1.3699030303187573E-3</v>
      </c>
      <c r="M234" s="38">
        <v>117.64</v>
      </c>
      <c r="N234" s="38">
        <v>120.07</v>
      </c>
      <c r="O234" s="35">
        <v>306</v>
      </c>
      <c r="P234" s="57">
        <v>4.8999999999999998E-3</v>
      </c>
      <c r="Q234" s="57">
        <v>9.9099999999999994E-2</v>
      </c>
      <c r="R234" s="63">
        <f t="shared" ref="R234" si="181">((K234-D234)/D234)</f>
        <v>4.1905775764401569E-2</v>
      </c>
      <c r="S234" s="63">
        <f t="shared" ref="S234" si="182">((N234-G234)/G234)</f>
        <v>4.9380649481083798E-3</v>
      </c>
      <c r="T234" s="63">
        <f t="shared" ref="T234" si="183">((O234-H234)/H234)</f>
        <v>3.2786885245901639E-3</v>
      </c>
      <c r="U234" s="63">
        <f t="shared" ref="U234" si="184">P234-I234</f>
        <v>1.9999999999999966E-4</v>
      </c>
      <c r="V234" s="64">
        <f t="shared" ref="V234" si="185">Q234-J234</f>
        <v>9.5299999999999996E-2</v>
      </c>
    </row>
    <row r="235" spans="1:22">
      <c r="A235" s="42"/>
      <c r="B235" s="43"/>
      <c r="C235" s="78" t="s">
        <v>55</v>
      </c>
      <c r="D235" s="66">
        <f>SUM(D211:D234)</f>
        <v>111041562562.37579</v>
      </c>
      <c r="E235" s="46">
        <f>(D235/$D$236)</f>
        <v>1.3279088499449166E-2</v>
      </c>
      <c r="F235" s="47"/>
      <c r="G235" s="81"/>
      <c r="H235" s="91">
        <f>SUM(H211:H234)</f>
        <v>47307</v>
      </c>
      <c r="I235" s="83"/>
      <c r="J235" s="83"/>
      <c r="K235" s="66">
        <f>SUM(K211:K234)</f>
        <v>111346941436.07184</v>
      </c>
      <c r="L235" s="46">
        <f>(K235/$K$236)</f>
        <v>1.3226005874634799E-2</v>
      </c>
      <c r="M235" s="47"/>
      <c r="N235" s="81"/>
      <c r="O235" s="49">
        <f>SUM(O211:O234)</f>
        <v>47621</v>
      </c>
      <c r="P235" s="83"/>
      <c r="Q235" s="83"/>
      <c r="R235" s="63">
        <f t="shared" si="153"/>
        <v>2.7501312720136059E-3</v>
      </c>
      <c r="S235" s="63" t="e">
        <f t="shared" si="154"/>
        <v>#DIV/0!</v>
      </c>
      <c r="T235" s="63">
        <f t="shared" si="155"/>
        <v>6.637495508064346E-3</v>
      </c>
      <c r="U235" s="63">
        <f t="shared" si="156"/>
        <v>0</v>
      </c>
      <c r="V235" s="64">
        <f t="shared" si="157"/>
        <v>0</v>
      </c>
    </row>
    <row r="236" spans="1:22">
      <c r="A236" s="92"/>
      <c r="B236" s="92"/>
      <c r="C236" s="93" t="s">
        <v>282</v>
      </c>
      <c r="D236" s="94">
        <f>SUM(D26,D75,D117,D160,D169,D201,D207,D235)</f>
        <v>8362137398736.5127</v>
      </c>
      <c r="E236" s="95"/>
      <c r="F236" s="95"/>
      <c r="G236" s="96"/>
      <c r="H236" s="94">
        <f>SUM(H26,H75,H117,H160,H169,H201,H207,H235)</f>
        <v>1237679</v>
      </c>
      <c r="I236" s="106"/>
      <c r="J236" s="106"/>
      <c r="K236" s="94">
        <f>SUM(K26,K75,K117,K160,K169,K201,K207,K235)</f>
        <v>8418788142958.2676</v>
      </c>
      <c r="L236" s="95"/>
      <c r="M236" s="95"/>
      <c r="N236" s="96"/>
      <c r="O236" s="94">
        <f>SUM(O26,O75,O117,O160,O169,O201,O207,O235)</f>
        <v>1242702</v>
      </c>
      <c r="P236" s="107"/>
      <c r="Q236" s="94"/>
      <c r="R236" s="111">
        <f t="shared" si="153"/>
        <v>6.7746727326334763E-3</v>
      </c>
      <c r="S236" s="111"/>
      <c r="T236" s="111"/>
      <c r="U236" s="111"/>
      <c r="V236" s="111"/>
    </row>
    <row r="237" spans="1:22" ht="6.75" customHeight="1">
      <c r="A237" s="42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43"/>
    </row>
    <row r="238" spans="1:22" ht="14.4" customHeight="1">
      <c r="A238" s="194" t="s">
        <v>283</v>
      </c>
      <c r="B238" s="194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</row>
    <row r="239" spans="1:22" ht="14.4" customHeight="1">
      <c r="A239" s="167">
        <v>1</v>
      </c>
      <c r="B239" s="149" t="s">
        <v>284</v>
      </c>
      <c r="C239" s="148" t="s">
        <v>23</v>
      </c>
      <c r="D239" s="39">
        <v>2092069939.1057401</v>
      </c>
      <c r="E239" s="34">
        <f t="shared" ref="E239:E242" si="186">(D239/$D$235)</f>
        <v>1.8840422368251113E-2</v>
      </c>
      <c r="F239" s="38">
        <v>1427.8501082999999</v>
      </c>
      <c r="G239" s="38">
        <v>1427.8501082999999</v>
      </c>
      <c r="H239" s="35">
        <v>57</v>
      </c>
      <c r="I239" s="57">
        <v>-0.01</v>
      </c>
      <c r="J239" s="57">
        <v>4.1599999999999998E-2</v>
      </c>
      <c r="K239" s="39">
        <f>1533635.04*FX_RATE</f>
        <v>2075008209.1200001</v>
      </c>
      <c r="L239" s="34">
        <f>(K239/$K$244)</f>
        <v>6.7177311184995384E-2</v>
      </c>
      <c r="M239" s="38">
        <f>1.0467*FX_RATE</f>
        <v>1416.1850999999999</v>
      </c>
      <c r="N239" s="38">
        <f>1.0467*FX_RATE</f>
        <v>1416.1850999999999</v>
      </c>
      <c r="O239" s="35">
        <v>57</v>
      </c>
      <c r="P239" s="57">
        <v>7.9799999999999996E-2</v>
      </c>
      <c r="Q239" s="57">
        <v>4.4999999999999998E-2</v>
      </c>
      <c r="R239" s="63">
        <f t="shared" ref="R239" si="187">((K239-D239)/D239)</f>
        <v>-8.1554300201995261E-3</v>
      </c>
      <c r="S239" s="63">
        <f t="shared" ref="S239" si="188">((N239-G239)/G239)</f>
        <v>-8.1696308542416451E-3</v>
      </c>
      <c r="T239" s="63">
        <f t="shared" ref="T239" si="189">((O239-H239)/H239)</f>
        <v>0</v>
      </c>
      <c r="U239" s="63">
        <f t="shared" ref="U239" si="190">P239-I239</f>
        <v>8.9799999999999991E-2</v>
      </c>
      <c r="V239" s="64">
        <f t="shared" ref="V239" si="191">Q239-J239</f>
        <v>3.4000000000000002E-3</v>
      </c>
    </row>
    <row r="240" spans="1:22" ht="14.4" customHeight="1">
      <c r="A240" s="167">
        <v>2</v>
      </c>
      <c r="B240" s="149" t="s">
        <v>285</v>
      </c>
      <c r="C240" s="148" t="s">
        <v>213</v>
      </c>
      <c r="D240" s="39">
        <v>15275012683.35</v>
      </c>
      <c r="E240" s="34">
        <f t="shared" ref="E240" si="192">(D240/$D$235)</f>
        <v>0.13756121879831718</v>
      </c>
      <c r="F240" s="38">
        <v>123.2</v>
      </c>
      <c r="G240" s="38">
        <v>123.2</v>
      </c>
      <c r="H240" s="35">
        <v>9</v>
      </c>
      <c r="I240" s="57">
        <v>-1.4999999999999999E-2</v>
      </c>
      <c r="J240" s="57">
        <v>0.27350000000000002</v>
      </c>
      <c r="K240" s="39">
        <v>15231195232.889999</v>
      </c>
      <c r="L240" s="34">
        <f>(K240/$K$244)</f>
        <v>0.49310202117860513</v>
      </c>
      <c r="M240" s="38">
        <v>123.2</v>
      </c>
      <c r="N240" s="38">
        <v>123.2</v>
      </c>
      <c r="O240" s="35">
        <v>9</v>
      </c>
      <c r="P240" s="57">
        <v>-2.8999999999999998E-3</v>
      </c>
      <c r="Q240" s="57">
        <v>-3.8E-3</v>
      </c>
      <c r="R240" s="63">
        <f t="shared" ref="R240" si="193">((K240-D240)/D240)</f>
        <v>-2.8685704796672733E-3</v>
      </c>
      <c r="S240" s="63">
        <f t="shared" ref="S240" si="194">((N240-G240)/G240)</f>
        <v>0</v>
      </c>
      <c r="T240" s="63">
        <f t="shared" ref="T240" si="195">((O240-H240)/H240)</f>
        <v>0</v>
      </c>
      <c r="U240" s="63">
        <f t="shared" ref="U240" si="196">P240-I240</f>
        <v>1.21E-2</v>
      </c>
      <c r="V240" s="64">
        <f t="shared" ref="V240" si="197">Q240-J240</f>
        <v>-0.27730000000000005</v>
      </c>
    </row>
    <row r="241" spans="1:22" ht="14.4" customHeight="1">
      <c r="A241" s="167">
        <v>3</v>
      </c>
      <c r="B241" s="149" t="s">
        <v>286</v>
      </c>
      <c r="C241" s="148" t="s">
        <v>31</v>
      </c>
      <c r="D241" s="39">
        <v>1242590580.30426</v>
      </c>
      <c r="E241" s="34">
        <f>(D241/$D$235)</f>
        <v>1.1190319657166702E-2</v>
      </c>
      <c r="F241" s="38">
        <v>152416.95348</v>
      </c>
      <c r="G241" s="38">
        <v>152416.95348</v>
      </c>
      <c r="H241" s="35">
        <v>17</v>
      </c>
      <c r="I241" s="57">
        <v>-8.0000000000000004E-4</v>
      </c>
      <c r="J241" s="57">
        <v>2.0999999999999999E-3</v>
      </c>
      <c r="K241" s="39">
        <f>903648.14*W140</f>
        <v>1222635933.4200001</v>
      </c>
      <c r="L241" s="34">
        <f>(K241/$K$244)</f>
        <v>3.9582202231452847E-2</v>
      </c>
      <c r="M241" s="38">
        <f>110.84*W140</f>
        <v>149966.52000000002</v>
      </c>
      <c r="N241" s="38">
        <f>110.84*W140</f>
        <v>149966.52000000002</v>
      </c>
      <c r="O241" s="35">
        <v>17</v>
      </c>
      <c r="P241" s="57">
        <v>6.4999999999999997E-3</v>
      </c>
      <c r="Q241" s="57">
        <v>-8.5000000000000006E-3</v>
      </c>
      <c r="R241" s="63">
        <f t="shared" ref="R241:R242" si="198">((K241-D241)/D241)</f>
        <v>-1.6058907254370026E-2</v>
      </c>
      <c r="S241" s="63">
        <f t="shared" ref="S241:S242" si="199">((N241-G241)/G241)</f>
        <v>-1.607717136480832E-2</v>
      </c>
      <c r="T241" s="63">
        <f t="shared" ref="T241:T242" si="200">((O241-H241)/H241)</f>
        <v>0</v>
      </c>
      <c r="U241" s="63">
        <f t="shared" ref="U241:U242" si="201">P241-I241</f>
        <v>7.3000000000000001E-3</v>
      </c>
      <c r="V241" s="64">
        <f t="shared" ref="V241:V242" si="202">Q241-J241</f>
        <v>-1.06E-2</v>
      </c>
    </row>
    <row r="242" spans="1:22" ht="14.4" customHeight="1">
      <c r="A242" s="167">
        <v>4</v>
      </c>
      <c r="B242" s="149" t="s">
        <v>287</v>
      </c>
      <c r="C242" s="148" t="s">
        <v>41</v>
      </c>
      <c r="D242" s="39">
        <v>12076359668.83</v>
      </c>
      <c r="E242" s="34">
        <f t="shared" si="186"/>
        <v>0.10875531098588694</v>
      </c>
      <c r="F242" s="38">
        <v>1.1599999999999999</v>
      </c>
      <c r="G242" s="38">
        <v>1.1599999999999999</v>
      </c>
      <c r="H242" s="35">
        <v>16</v>
      </c>
      <c r="I242" s="57">
        <v>1.01E-2</v>
      </c>
      <c r="J242" s="57">
        <v>-0.4793</v>
      </c>
      <c r="K242" s="39">
        <v>12110304859.459999</v>
      </c>
      <c r="L242" s="34">
        <f>(K242/$K$244)</f>
        <v>0.39206481907564272</v>
      </c>
      <c r="M242" s="38">
        <v>1.1599999999999999</v>
      </c>
      <c r="N242" s="38">
        <v>1.1599999999999999</v>
      </c>
      <c r="O242" s="35">
        <v>16</v>
      </c>
      <c r="P242" s="57">
        <v>1.29E-2</v>
      </c>
      <c r="Q242" s="57">
        <v>-0.42509999999999998</v>
      </c>
      <c r="R242" s="63">
        <f t="shared" si="198"/>
        <v>2.8108794008192941E-3</v>
      </c>
      <c r="S242" s="63">
        <f t="shared" si="199"/>
        <v>0</v>
      </c>
      <c r="T242" s="63">
        <f t="shared" si="200"/>
        <v>0</v>
      </c>
      <c r="U242" s="63">
        <f t="shared" si="201"/>
        <v>2.8000000000000004E-3</v>
      </c>
      <c r="V242" s="64">
        <f t="shared" si="202"/>
        <v>5.4200000000000026E-2</v>
      </c>
    </row>
    <row r="243" spans="1:22" ht="14.4" customHeight="1">
      <c r="A243" s="167">
        <v>5</v>
      </c>
      <c r="B243" s="149" t="s">
        <v>288</v>
      </c>
      <c r="C243" s="148" t="s">
        <v>52</v>
      </c>
      <c r="D243" s="39">
        <v>243860314.25</v>
      </c>
      <c r="E243" s="34">
        <f t="shared" ref="E243" si="203">(D243/$D$235)</f>
        <v>2.1961174592893128E-3</v>
      </c>
      <c r="F243" s="38">
        <v>1.36476</v>
      </c>
      <c r="G243" s="38">
        <v>1.36476</v>
      </c>
      <c r="H243" s="35">
        <v>21</v>
      </c>
      <c r="I243" s="57">
        <v>-1.0500000000000001E-2</v>
      </c>
      <c r="J243" s="57">
        <v>0.22389999999999999</v>
      </c>
      <c r="K243" s="39">
        <v>249383044.88999999</v>
      </c>
      <c r="L243" s="34">
        <f>(K243/$K$244)</f>
        <v>8.0736463293039264E-3</v>
      </c>
      <c r="M243" s="38">
        <v>1.37887</v>
      </c>
      <c r="N243" s="38">
        <v>1.37887</v>
      </c>
      <c r="O243" s="35">
        <v>25</v>
      </c>
      <c r="P243" s="57">
        <v>1.01E-2</v>
      </c>
      <c r="Q243" s="57">
        <v>0.23649999999999999</v>
      </c>
      <c r="R243" s="63">
        <f t="shared" ref="R243:R244" si="204">((K243-D243)/D243)</f>
        <v>2.2647107041526279E-2</v>
      </c>
      <c r="S243" s="63">
        <f t="shared" ref="S243" si="205">((N243-G243)/G243)</f>
        <v>1.0338814150473392E-2</v>
      </c>
      <c r="T243" s="63">
        <f t="shared" ref="T243" si="206">((O243-H243)/H243)</f>
        <v>0.19047619047619047</v>
      </c>
      <c r="U243" s="63">
        <f t="shared" ref="U243" si="207">P243-I243</f>
        <v>2.06E-2</v>
      </c>
      <c r="V243" s="64">
        <f t="shared" ref="V243" si="208">Q243-J243</f>
        <v>1.26E-2</v>
      </c>
    </row>
    <row r="244" spans="1:22" ht="14.4" customHeight="1">
      <c r="A244" s="97"/>
      <c r="B244" s="97"/>
      <c r="C244" s="97" t="s">
        <v>55</v>
      </c>
      <c r="D244" s="97">
        <f>SUM(D239:D243)</f>
        <v>30929893185.840004</v>
      </c>
      <c r="E244" s="97"/>
      <c r="F244" s="97"/>
      <c r="G244" s="97"/>
      <c r="H244" s="97">
        <f>SUM(H239:H243)</f>
        <v>120</v>
      </c>
      <c r="I244" s="97"/>
      <c r="J244" s="97"/>
      <c r="K244" s="97">
        <f>SUM(K239:K243)</f>
        <v>30888527279.779999</v>
      </c>
      <c r="L244" s="46"/>
      <c r="M244" s="97"/>
      <c r="N244" s="97"/>
      <c r="O244" s="97">
        <f>SUM(O239:O243)</f>
        <v>124</v>
      </c>
      <c r="P244" s="97"/>
      <c r="Q244" s="97"/>
      <c r="R244" s="111">
        <f t="shared" si="204"/>
        <v>-1.3374086296212265E-3</v>
      </c>
      <c r="S244" s="97"/>
      <c r="T244" s="97"/>
      <c r="U244" s="97"/>
      <c r="V244" s="97"/>
    </row>
    <row r="245" spans="1:22" ht="6" customHeight="1">
      <c r="A245" s="42"/>
      <c r="B245" s="50"/>
      <c r="C245" s="78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43"/>
    </row>
    <row r="246" spans="1:22" ht="15.6">
      <c r="A246" s="194" t="s">
        <v>289</v>
      </c>
      <c r="B246" s="194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</row>
    <row r="247" spans="1:22">
      <c r="A247" s="167">
        <v>1</v>
      </c>
      <c r="B247" s="149" t="s">
        <v>290</v>
      </c>
      <c r="C247" s="148" t="s">
        <v>291</v>
      </c>
      <c r="D247" s="39">
        <v>132461478140</v>
      </c>
      <c r="E247" s="34">
        <f>(D247/$D$249)</f>
        <v>0.9133656654630975</v>
      </c>
      <c r="F247" s="67">
        <v>108.35</v>
      </c>
      <c r="G247" s="67">
        <v>108.35</v>
      </c>
      <c r="H247" s="35">
        <v>0</v>
      </c>
      <c r="I247" s="57">
        <v>1.2800000000000001E-2</v>
      </c>
      <c r="J247" s="57">
        <v>1.2800000000000001E-2</v>
      </c>
      <c r="K247" s="39">
        <v>134147737268</v>
      </c>
      <c r="L247" s="34">
        <f>(K247/$K$249)</f>
        <v>0.91410704071636095</v>
      </c>
      <c r="M247" s="67">
        <v>108.35</v>
      </c>
      <c r="N247" s="67">
        <v>108.35</v>
      </c>
      <c r="O247" s="35">
        <v>0</v>
      </c>
      <c r="P247" s="57">
        <v>1.2800000000000001E-2</v>
      </c>
      <c r="Q247" s="57">
        <v>0.1363</v>
      </c>
      <c r="R247" s="63">
        <f>((K247-D247)/D247)</f>
        <v>1.2730185044574047E-2</v>
      </c>
      <c r="S247" s="63">
        <f>((N247-G247)/G247)</f>
        <v>0</v>
      </c>
      <c r="T247" s="63" t="e">
        <f>((O247-H247)/H247)</f>
        <v>#DIV/0!</v>
      </c>
      <c r="U247" s="63">
        <f>P247-I247</f>
        <v>0</v>
      </c>
      <c r="V247" s="64">
        <f>Q247-J247</f>
        <v>0.1235</v>
      </c>
    </row>
    <row r="248" spans="1:22" ht="14.4" customHeight="1">
      <c r="A248" s="167">
        <v>2</v>
      </c>
      <c r="B248" s="149" t="s">
        <v>292</v>
      </c>
      <c r="C248" s="148" t="s">
        <v>52</v>
      </c>
      <c r="D248" s="39">
        <v>12564203412.02</v>
      </c>
      <c r="E248" s="34">
        <f>(D248/$D$249)</f>
        <v>8.6634334536902585E-2</v>
      </c>
      <c r="F248" s="98">
        <v>1000000</v>
      </c>
      <c r="G248" s="98">
        <v>1000000</v>
      </c>
      <c r="H248" s="35">
        <v>26</v>
      </c>
      <c r="I248" s="57">
        <v>1.699E-3</v>
      </c>
      <c r="J248" s="57">
        <v>0.1699</v>
      </c>
      <c r="K248" s="39">
        <v>12605029413.32</v>
      </c>
      <c r="L248" s="34">
        <f>(K248/$K$249)</f>
        <v>8.5892959283639048E-2</v>
      </c>
      <c r="M248" s="98">
        <v>1000000</v>
      </c>
      <c r="N248" s="98">
        <v>1000000</v>
      </c>
      <c r="O248" s="35">
        <v>26</v>
      </c>
      <c r="P248" s="57">
        <v>1.699E-3</v>
      </c>
      <c r="Q248" s="57">
        <v>0.17</v>
      </c>
      <c r="R248" s="63">
        <f>((K248-D248)/D248)</f>
        <v>3.2493903482127299E-3</v>
      </c>
      <c r="S248" s="63">
        <f>((N248-G248)/G248)</f>
        <v>0</v>
      </c>
      <c r="T248" s="63">
        <f>((O248-H248)/H248)</f>
        <v>0</v>
      </c>
      <c r="U248" s="63">
        <f>P248-I248</f>
        <v>0</v>
      </c>
      <c r="V248" s="64">
        <f>Q248-J248</f>
        <v>1.0000000000001674E-4</v>
      </c>
    </row>
    <row r="249" spans="1:22" ht="15" customHeight="1">
      <c r="A249" s="92"/>
      <c r="B249" s="92"/>
      <c r="C249" s="93" t="s">
        <v>293</v>
      </c>
      <c r="D249" s="97">
        <f>SUM(D247:D248)</f>
        <v>145025681552.01999</v>
      </c>
      <c r="E249" s="99"/>
      <c r="F249" s="100"/>
      <c r="G249" s="100"/>
      <c r="H249" s="97">
        <f>SUM(H247:H248)</f>
        <v>26</v>
      </c>
      <c r="I249" s="108"/>
      <c r="J249" s="108"/>
      <c r="K249" s="97">
        <f>SUM(K247:K248)</f>
        <v>146752766681.32001</v>
      </c>
      <c r="L249" s="99"/>
      <c r="M249" s="100"/>
      <c r="N249" s="100"/>
      <c r="O249" s="97">
        <f>SUM(O247:O248)</f>
        <v>26</v>
      </c>
      <c r="P249" s="108"/>
      <c r="Q249" s="97"/>
      <c r="R249" s="111">
        <f>((K249-D249)/D249)</f>
        <v>1.190882270517392E-2</v>
      </c>
      <c r="S249" s="112"/>
      <c r="T249" s="112"/>
      <c r="U249" s="111"/>
      <c r="V249" s="113"/>
    </row>
    <row r="250" spans="1:22" ht="4.5" customHeight="1">
      <c r="A250" s="42"/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</row>
    <row r="251" spans="1:22" ht="15.6">
      <c r="A251" s="194" t="s">
        <v>294</v>
      </c>
      <c r="B251" s="194"/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</row>
    <row r="252" spans="1:22">
      <c r="A252" s="167">
        <v>1</v>
      </c>
      <c r="B252" s="149" t="s">
        <v>295</v>
      </c>
      <c r="C252" s="148" t="s">
        <v>93</v>
      </c>
      <c r="D252" s="101">
        <v>1846755930.9100001</v>
      </c>
      <c r="E252" s="102">
        <f t="shared" ref="E252:E263" si="209">(D252/$D$264)</f>
        <v>7.6871056741899077E-2</v>
      </c>
      <c r="F252" s="98">
        <v>451.24083952000001</v>
      </c>
      <c r="G252" s="98">
        <v>451.24083952000001</v>
      </c>
      <c r="H252" s="103">
        <v>266</v>
      </c>
      <c r="I252" s="59">
        <v>7.1960000000000001E-3</v>
      </c>
      <c r="J252" s="59">
        <v>0.27828599999999998</v>
      </c>
      <c r="K252" s="101">
        <v>1877324480.8699999</v>
      </c>
      <c r="L252" s="102">
        <f t="shared" ref="L252:L263" si="210">(K252/$K$264)</f>
        <v>7.8006970679734972E-2</v>
      </c>
      <c r="M252" s="98">
        <v>458.71003343000001</v>
      </c>
      <c r="N252" s="98">
        <v>458.71003343000001</v>
      </c>
      <c r="O252" s="103">
        <v>266</v>
      </c>
      <c r="P252" s="59">
        <v>1.67E-2</v>
      </c>
      <c r="Q252" s="59">
        <v>0.2994</v>
      </c>
      <c r="R252" s="63">
        <f>((K252-D252)/D252)</f>
        <v>1.6552566285755455E-2</v>
      </c>
      <c r="S252" s="63">
        <f>((N252-G252)/G252)</f>
        <v>1.6552566292415451E-2</v>
      </c>
      <c r="T252" s="63">
        <f>((O252-H252)/H252)</f>
        <v>0</v>
      </c>
      <c r="U252" s="63">
        <f>P252-I252</f>
        <v>9.5039999999999986E-3</v>
      </c>
      <c r="V252" s="64">
        <f>Q252-J252</f>
        <v>2.1114000000000022E-2</v>
      </c>
    </row>
    <row r="253" spans="1:22">
      <c r="A253" s="167">
        <v>2</v>
      </c>
      <c r="B253" s="149" t="s">
        <v>296</v>
      </c>
      <c r="C253" s="148" t="s">
        <v>257</v>
      </c>
      <c r="D253" s="101">
        <v>2962340970.5</v>
      </c>
      <c r="E253" s="102">
        <f t="shared" si="209"/>
        <v>0.12330718803753797</v>
      </c>
      <c r="F253" s="98">
        <v>84.26</v>
      </c>
      <c r="G253" s="98">
        <v>93.13</v>
      </c>
      <c r="H253" s="103">
        <v>952</v>
      </c>
      <c r="I253" s="59">
        <v>2.0999999999999999E-3</v>
      </c>
      <c r="J253" s="59">
        <v>0.43690000000000001</v>
      </c>
      <c r="K253" s="101">
        <v>2911032872.6100001</v>
      </c>
      <c r="L253" s="102">
        <f t="shared" si="210"/>
        <v>0.1209598331324151</v>
      </c>
      <c r="M253" s="98">
        <v>82.8</v>
      </c>
      <c r="N253" s="98">
        <v>91.51</v>
      </c>
      <c r="O253" s="103">
        <v>952</v>
      </c>
      <c r="P253" s="59">
        <v>-1.7299999999999999E-2</v>
      </c>
      <c r="Q253" s="59">
        <v>0.41210000000000002</v>
      </c>
      <c r="R253" s="63">
        <f t="shared" ref="R253:R264" si="211">((K253-D253)/D253)</f>
        <v>-1.7320118919781139E-2</v>
      </c>
      <c r="S253" s="63">
        <f t="shared" ref="S253:S264" si="212">((N253-G253)/G253)</f>
        <v>-1.7395039192526471E-2</v>
      </c>
      <c r="T253" s="63">
        <f t="shared" ref="T253:T264" si="213">((O253-H253)/H253)</f>
        <v>0</v>
      </c>
      <c r="U253" s="63">
        <f t="shared" ref="U253:U264" si="214">P253-I253</f>
        <v>-1.9400000000000001E-2</v>
      </c>
      <c r="V253" s="64">
        <f t="shared" ref="V253:V264" si="215">Q253-J253</f>
        <v>-2.4799999999999989E-2</v>
      </c>
    </row>
    <row r="254" spans="1:22">
      <c r="A254" s="167">
        <v>3</v>
      </c>
      <c r="B254" s="149" t="s">
        <v>297</v>
      </c>
      <c r="C254" s="148" t="s">
        <v>43</v>
      </c>
      <c r="D254" s="101">
        <v>668371418.51999998</v>
      </c>
      <c r="E254" s="102">
        <f t="shared" si="209"/>
        <v>2.7820902793796617E-2</v>
      </c>
      <c r="F254" s="98">
        <v>55.686127999999997</v>
      </c>
      <c r="G254" s="98">
        <v>55.863097000000003</v>
      </c>
      <c r="H254" s="103">
        <v>219</v>
      </c>
      <c r="I254" s="59">
        <v>-1.1000000000000001E-3</v>
      </c>
      <c r="J254" s="59">
        <v>0.37740000000000001</v>
      </c>
      <c r="K254" s="101">
        <v>681494273.33000004</v>
      </c>
      <c r="L254" s="102">
        <f t="shared" si="210"/>
        <v>2.8317589388396142E-2</v>
      </c>
      <c r="M254" s="98">
        <v>56.779359999999997</v>
      </c>
      <c r="N254" s="98">
        <v>56.964402</v>
      </c>
      <c r="O254" s="103">
        <v>219</v>
      </c>
      <c r="P254" s="59">
        <v>1.9599999999999999E-2</v>
      </c>
      <c r="Q254" s="59">
        <v>0.40439999999999998</v>
      </c>
      <c r="R254" s="63">
        <f t="shared" si="211"/>
        <v>1.9634075375422985E-2</v>
      </c>
      <c r="S254" s="63">
        <f t="shared" si="212"/>
        <v>1.9714356330799137E-2</v>
      </c>
      <c r="T254" s="63">
        <f t="shared" si="213"/>
        <v>0</v>
      </c>
      <c r="U254" s="63">
        <f t="shared" si="214"/>
        <v>2.07E-2</v>
      </c>
      <c r="V254" s="64">
        <f t="shared" si="215"/>
        <v>2.6999999999999968E-2</v>
      </c>
    </row>
    <row r="255" spans="1:22">
      <c r="A255" s="167">
        <v>4</v>
      </c>
      <c r="B255" s="149" t="s">
        <v>298</v>
      </c>
      <c r="C255" s="148" t="s">
        <v>43</v>
      </c>
      <c r="D255" s="101">
        <v>1228631532.8800001</v>
      </c>
      <c r="E255" s="102">
        <f t="shared" si="209"/>
        <v>5.1141681853089267E-2</v>
      </c>
      <c r="F255" s="98">
        <v>104.332634</v>
      </c>
      <c r="G255" s="98">
        <v>104.684313</v>
      </c>
      <c r="H255" s="103">
        <v>261</v>
      </c>
      <c r="I255" s="59">
        <v>-1.01E-2</v>
      </c>
      <c r="J255" s="59">
        <v>0.25240000000000001</v>
      </c>
      <c r="K255" s="101">
        <v>1283141489.8399999</v>
      </c>
      <c r="L255" s="102">
        <f t="shared" si="210"/>
        <v>5.3317357545731379E-2</v>
      </c>
      <c r="M255" s="98">
        <v>108.96149699999999</v>
      </c>
      <c r="N255" s="98">
        <v>109.32847700000001</v>
      </c>
      <c r="O255" s="103">
        <v>261</v>
      </c>
      <c r="P255" s="59">
        <v>4.4400000000000002E-2</v>
      </c>
      <c r="Q255" s="59">
        <v>0.308</v>
      </c>
      <c r="R255" s="63">
        <f t="shared" si="211"/>
        <v>4.4366399120674173E-2</v>
      </c>
      <c r="S255" s="63">
        <f t="shared" si="212"/>
        <v>4.4363514139888406E-2</v>
      </c>
      <c r="T255" s="63">
        <f t="shared" si="213"/>
        <v>0</v>
      </c>
      <c r="U255" s="63">
        <f t="shared" si="214"/>
        <v>5.45E-2</v>
      </c>
      <c r="V255" s="64">
        <f t="shared" si="215"/>
        <v>5.5599999999999983E-2</v>
      </c>
    </row>
    <row r="256" spans="1:22">
      <c r="A256" s="163">
        <v>5</v>
      </c>
      <c r="B256" s="164" t="s">
        <v>299</v>
      </c>
      <c r="C256" s="148" t="s">
        <v>300</v>
      </c>
      <c r="D256" s="101">
        <v>2175420232.0700002</v>
      </c>
      <c r="E256" s="102">
        <f t="shared" si="209"/>
        <v>9.0551680001659016E-2</v>
      </c>
      <c r="F256" s="98">
        <v>61180</v>
      </c>
      <c r="G256" s="98">
        <v>74890</v>
      </c>
      <c r="H256" s="103">
        <v>326</v>
      </c>
      <c r="I256" s="59">
        <v>-2.1999999999999999E-2</v>
      </c>
      <c r="J256" s="59">
        <v>0.11</v>
      </c>
      <c r="K256" s="101">
        <v>1927146897.5999999</v>
      </c>
      <c r="L256" s="102">
        <f t="shared" si="210"/>
        <v>8.0077201926732594E-2</v>
      </c>
      <c r="M256" s="98">
        <v>51500</v>
      </c>
      <c r="N256" s="98">
        <v>59300</v>
      </c>
      <c r="O256" s="103">
        <v>386</v>
      </c>
      <c r="P256" s="59">
        <v>-0.11</v>
      </c>
      <c r="Q256" s="59">
        <v>-0.02</v>
      </c>
      <c r="R256" s="63">
        <f t="shared" si="211"/>
        <v>-0.11412660910750019</v>
      </c>
      <c r="S256" s="63">
        <f t="shared" si="212"/>
        <v>-0.20817198557884897</v>
      </c>
      <c r="T256" s="63">
        <f t="shared" si="213"/>
        <v>0.18404907975460122</v>
      </c>
      <c r="U256" s="63">
        <f t="shared" si="214"/>
        <v>-8.7999999999999995E-2</v>
      </c>
      <c r="V256" s="64">
        <f t="shared" si="215"/>
        <v>-0.13</v>
      </c>
    </row>
    <row r="257" spans="1:26">
      <c r="A257" s="167">
        <v>6</v>
      </c>
      <c r="B257" s="149" t="s">
        <v>301</v>
      </c>
      <c r="C257" s="148" t="s">
        <v>302</v>
      </c>
      <c r="D257" s="101">
        <v>1293398899.9200001</v>
      </c>
      <c r="E257" s="102">
        <f t="shared" si="209"/>
        <v>5.3837617933988675E-2</v>
      </c>
      <c r="F257" s="98">
        <v>7059.5</v>
      </c>
      <c r="G257" s="98">
        <v>7059.5</v>
      </c>
      <c r="H257" s="103">
        <v>588</v>
      </c>
      <c r="I257" s="59">
        <v>-1.6999999999999999E-3</v>
      </c>
      <c r="J257" s="59">
        <v>0.32100000000000001</v>
      </c>
      <c r="K257" s="101">
        <v>1298526474.3299999</v>
      </c>
      <c r="L257" s="102">
        <f t="shared" si="210"/>
        <v>5.3956637566979188E-2</v>
      </c>
      <c r="M257" s="98">
        <v>8951.0300000000007</v>
      </c>
      <c r="N257" s="98">
        <v>8951.0300000000007</v>
      </c>
      <c r="O257" s="103">
        <v>588</v>
      </c>
      <c r="P257" s="59">
        <v>3.8999999999999998E-3</v>
      </c>
      <c r="Q257" s="59">
        <v>0.3261</v>
      </c>
      <c r="R257" s="63">
        <f t="shared" si="211"/>
        <v>3.9644184097551039E-3</v>
      </c>
      <c r="S257" s="63">
        <f t="shared" si="212"/>
        <v>0.26794107231390335</v>
      </c>
      <c r="T257" s="63">
        <f t="shared" si="213"/>
        <v>0</v>
      </c>
      <c r="U257" s="63">
        <f t="shared" si="214"/>
        <v>5.5999999999999999E-3</v>
      </c>
      <c r="V257" s="64">
        <f t="shared" si="215"/>
        <v>5.0999999999999934E-3</v>
      </c>
    </row>
    <row r="258" spans="1:26">
      <c r="A258" s="167">
        <v>7</v>
      </c>
      <c r="B258" s="149" t="s">
        <v>303</v>
      </c>
      <c r="C258" s="148" t="s">
        <v>302</v>
      </c>
      <c r="D258" s="101">
        <v>1347362977.5</v>
      </c>
      <c r="E258" s="102">
        <f t="shared" si="209"/>
        <v>5.60838680205566E-2</v>
      </c>
      <c r="F258" s="98">
        <v>3313.18</v>
      </c>
      <c r="G258" s="98">
        <v>3313.18</v>
      </c>
      <c r="H258" s="103">
        <v>4067</v>
      </c>
      <c r="I258" s="59">
        <v>7.7999999999999996E-3</v>
      </c>
      <c r="J258" s="59">
        <v>0.2455</v>
      </c>
      <c r="K258" s="101">
        <v>1367048267.4300001</v>
      </c>
      <c r="L258" s="102">
        <f t="shared" si="210"/>
        <v>5.6803869124305649E-2</v>
      </c>
      <c r="M258" s="98">
        <v>3488</v>
      </c>
      <c r="N258" s="98">
        <v>3488</v>
      </c>
      <c r="O258" s="103">
        <v>4067</v>
      </c>
      <c r="P258" s="59">
        <v>1.4500000000000001E-2</v>
      </c>
      <c r="Q258" s="59">
        <v>0.2636</v>
      </c>
      <c r="R258" s="63">
        <f t="shared" si="211"/>
        <v>1.4610235147269413E-2</v>
      </c>
      <c r="S258" s="63">
        <f t="shared" si="212"/>
        <v>5.2765017294562983E-2</v>
      </c>
      <c r="T258" s="63">
        <f t="shared" si="213"/>
        <v>0</v>
      </c>
      <c r="U258" s="63">
        <f t="shared" si="214"/>
        <v>6.7000000000000011E-3</v>
      </c>
      <c r="V258" s="64">
        <f t="shared" si="215"/>
        <v>1.8100000000000005E-2</v>
      </c>
    </row>
    <row r="259" spans="1:26">
      <c r="A259" s="167">
        <v>8</v>
      </c>
      <c r="B259" s="149" t="s">
        <v>304</v>
      </c>
      <c r="C259" s="148" t="s">
        <v>305</v>
      </c>
      <c r="D259" s="101">
        <v>402506976.64999998</v>
      </c>
      <c r="E259" s="102">
        <f t="shared" si="209"/>
        <v>1.6754318274113226E-2</v>
      </c>
      <c r="F259" s="98">
        <v>43.89</v>
      </c>
      <c r="G259" s="98">
        <v>43.99</v>
      </c>
      <c r="H259" s="103">
        <v>1445</v>
      </c>
      <c r="I259" s="59">
        <v>-1.8200000000000001E-2</v>
      </c>
      <c r="J259" s="59">
        <v>0.3846</v>
      </c>
      <c r="K259" s="101">
        <v>402325955.98000002</v>
      </c>
      <c r="L259" s="102">
        <f t="shared" si="210"/>
        <v>1.6717530385202219E-2</v>
      </c>
      <c r="M259" s="98">
        <v>43.85</v>
      </c>
      <c r="N259" s="98">
        <v>43.95</v>
      </c>
      <c r="O259" s="103">
        <v>1506</v>
      </c>
      <c r="P259" s="59">
        <v>5.5599999999999997E-2</v>
      </c>
      <c r="Q259" s="59">
        <v>0.46150000000000002</v>
      </c>
      <c r="R259" s="63">
        <f t="shared" si="211"/>
        <v>-4.4973299967757737E-4</v>
      </c>
      <c r="S259" s="63">
        <f t="shared" si="212"/>
        <v>-9.0929756762898721E-4</v>
      </c>
      <c r="T259" s="63">
        <f t="shared" si="213"/>
        <v>4.221453287197232E-2</v>
      </c>
      <c r="U259" s="63">
        <f t="shared" si="214"/>
        <v>7.3800000000000004E-2</v>
      </c>
      <c r="V259" s="64">
        <f t="shared" si="215"/>
        <v>7.6900000000000024E-2</v>
      </c>
    </row>
    <row r="260" spans="1:26">
      <c r="A260" s="167">
        <v>9</v>
      </c>
      <c r="B260" s="149" t="s">
        <v>306</v>
      </c>
      <c r="C260" s="148" t="s">
        <v>305</v>
      </c>
      <c r="D260" s="104">
        <v>1286769493.05</v>
      </c>
      <c r="E260" s="102">
        <f t="shared" si="209"/>
        <v>5.356166944337367E-2</v>
      </c>
      <c r="F260" s="98">
        <v>18.72</v>
      </c>
      <c r="G260" s="98">
        <v>18.82</v>
      </c>
      <c r="H260" s="103">
        <v>1623</v>
      </c>
      <c r="I260" s="59">
        <v>5.7999999999999996E-3</v>
      </c>
      <c r="J260" s="59">
        <v>0.73199999999999998</v>
      </c>
      <c r="K260" s="104">
        <v>1341883297.0699999</v>
      </c>
      <c r="L260" s="102">
        <f t="shared" si="210"/>
        <v>5.575820913050468E-2</v>
      </c>
      <c r="M260" s="98">
        <v>19.53</v>
      </c>
      <c r="N260" s="98">
        <v>19.63</v>
      </c>
      <c r="O260" s="103">
        <v>1721</v>
      </c>
      <c r="P260" s="59">
        <v>-9.1200000000000003E-2</v>
      </c>
      <c r="Q260" s="59">
        <v>0.57399999999999995</v>
      </c>
      <c r="R260" s="63">
        <f t="shared" si="211"/>
        <v>4.2831139778862028E-2</v>
      </c>
      <c r="S260" s="63">
        <f t="shared" si="212"/>
        <v>4.3039319872476021E-2</v>
      </c>
      <c r="T260" s="63">
        <f t="shared" si="213"/>
        <v>6.0382008626001231E-2</v>
      </c>
      <c r="U260" s="63">
        <f t="shared" si="214"/>
        <v>-9.7000000000000003E-2</v>
      </c>
      <c r="V260" s="64">
        <f t="shared" si="215"/>
        <v>-0.15800000000000003</v>
      </c>
    </row>
    <row r="261" spans="1:26" ht="15" customHeight="1">
      <c r="A261" s="167">
        <v>10</v>
      </c>
      <c r="B261" s="149" t="s">
        <v>307</v>
      </c>
      <c r="C261" s="148" t="s">
        <v>305</v>
      </c>
      <c r="D261" s="101">
        <v>278857830.32999998</v>
      </c>
      <c r="E261" s="102">
        <f t="shared" si="209"/>
        <v>1.1607433196468755E-2</v>
      </c>
      <c r="F261" s="98">
        <v>147.83000000000001</v>
      </c>
      <c r="G261" s="98">
        <v>149.83000000000001</v>
      </c>
      <c r="H261" s="103">
        <v>966</v>
      </c>
      <c r="I261" s="59">
        <v>-0.11310000000000001</v>
      </c>
      <c r="J261" s="59">
        <v>0.84760000000000002</v>
      </c>
      <c r="K261" s="101">
        <v>279068115.56999999</v>
      </c>
      <c r="L261" s="102">
        <f t="shared" si="210"/>
        <v>1.1595895398343421E-2</v>
      </c>
      <c r="M261" s="98">
        <v>147.94</v>
      </c>
      <c r="N261" s="98">
        <v>149.94</v>
      </c>
      <c r="O261" s="103">
        <v>966</v>
      </c>
      <c r="P261" s="59">
        <v>2.5000000000000001E-2</v>
      </c>
      <c r="Q261" s="59">
        <v>0.89380000000000004</v>
      </c>
      <c r="R261" s="63">
        <f t="shared" si="211"/>
        <v>7.5409480074903497E-4</v>
      </c>
      <c r="S261" s="63">
        <f t="shared" si="212"/>
        <v>7.3416538743899891E-4</v>
      </c>
      <c r="T261" s="63">
        <f t="shared" si="213"/>
        <v>0</v>
      </c>
      <c r="U261" s="63">
        <f t="shared" si="214"/>
        <v>0.1381</v>
      </c>
      <c r="V261" s="64">
        <f t="shared" si="215"/>
        <v>4.6200000000000019E-2</v>
      </c>
    </row>
    <row r="262" spans="1:26">
      <c r="A262" s="167">
        <v>11</v>
      </c>
      <c r="B262" s="149" t="s">
        <v>308</v>
      </c>
      <c r="C262" s="148" t="s">
        <v>305</v>
      </c>
      <c r="D262" s="101">
        <v>10320578069.709999</v>
      </c>
      <c r="E262" s="102">
        <f t="shared" si="209"/>
        <v>0.42959317423983945</v>
      </c>
      <c r="F262" s="98">
        <v>72.14</v>
      </c>
      <c r="G262" s="98">
        <v>72.34</v>
      </c>
      <c r="H262" s="103">
        <v>2468</v>
      </c>
      <c r="I262" s="59">
        <v>2.4400000000000002E-2</v>
      </c>
      <c r="J262" s="59">
        <v>0.47939999999999999</v>
      </c>
      <c r="K262" s="101">
        <v>10462666299.549999</v>
      </c>
      <c r="L262" s="102">
        <f t="shared" si="210"/>
        <v>0.43474684934733199</v>
      </c>
      <c r="M262" s="98">
        <v>73.150000000000006</v>
      </c>
      <c r="N262" s="98">
        <v>73.349999999999994</v>
      </c>
      <c r="O262" s="103">
        <v>2524</v>
      </c>
      <c r="P262" s="59">
        <v>-7.3800000000000004E-2</v>
      </c>
      <c r="Q262" s="59">
        <v>0.37009999999999998</v>
      </c>
      <c r="R262" s="63">
        <f t="shared" si="211"/>
        <v>1.3767468147643472E-2</v>
      </c>
      <c r="S262" s="63">
        <f t="shared" si="212"/>
        <v>1.3961846834393016E-2</v>
      </c>
      <c r="T262" s="63">
        <f t="shared" si="213"/>
        <v>2.2690437601296597E-2</v>
      </c>
      <c r="U262" s="63">
        <f t="shared" si="214"/>
        <v>-9.820000000000001E-2</v>
      </c>
      <c r="V262" s="64">
        <f t="shared" si="215"/>
        <v>-0.10930000000000001</v>
      </c>
    </row>
    <row r="263" spans="1:26">
      <c r="A263" s="167">
        <v>12</v>
      </c>
      <c r="B263" s="149" t="s">
        <v>309</v>
      </c>
      <c r="C263" s="148" t="s">
        <v>305</v>
      </c>
      <c r="D263" s="104">
        <v>213079346.44</v>
      </c>
      <c r="E263" s="102">
        <f t="shared" si="209"/>
        <v>8.8694094636776657E-3</v>
      </c>
      <c r="F263" s="98">
        <v>80.25</v>
      </c>
      <c r="G263" s="98">
        <v>80.45</v>
      </c>
      <c r="H263" s="103">
        <v>1783</v>
      </c>
      <c r="I263" s="59">
        <v>-0.23680000000000001</v>
      </c>
      <c r="J263" s="59">
        <v>0.59</v>
      </c>
      <c r="K263" s="104">
        <v>234453418.28</v>
      </c>
      <c r="L263" s="102">
        <f t="shared" si="210"/>
        <v>9.7420563743226812E-3</v>
      </c>
      <c r="M263" s="98">
        <v>88.01</v>
      </c>
      <c r="N263" s="98">
        <v>88.21</v>
      </c>
      <c r="O263" s="103">
        <v>1837</v>
      </c>
      <c r="P263" s="59">
        <v>0.10059999999999999</v>
      </c>
      <c r="Q263" s="59">
        <v>0.75</v>
      </c>
      <c r="R263" s="63">
        <f t="shared" si="211"/>
        <v>0.10031038764246739</v>
      </c>
      <c r="S263" s="63">
        <f t="shared" si="212"/>
        <v>9.6457426973275209E-2</v>
      </c>
      <c r="T263" s="63">
        <f t="shared" si="213"/>
        <v>3.0286034772854738E-2</v>
      </c>
      <c r="U263" s="63">
        <f t="shared" si="214"/>
        <v>0.33740000000000003</v>
      </c>
      <c r="V263" s="64">
        <f t="shared" si="215"/>
        <v>0.16000000000000003</v>
      </c>
    </row>
    <row r="264" spans="1:26">
      <c r="A264" s="114"/>
      <c r="B264" s="114"/>
      <c r="C264" s="115" t="s">
        <v>310</v>
      </c>
      <c r="D264" s="97">
        <f>SUM(D252:D263)</f>
        <v>24024073678.48</v>
      </c>
      <c r="E264" s="99"/>
      <c r="F264" s="99"/>
      <c r="G264" s="100"/>
      <c r="H264" s="97">
        <f>SUM(H252:H263)</f>
        <v>14964</v>
      </c>
      <c r="I264" s="108"/>
      <c r="J264" s="108"/>
      <c r="K264" s="97">
        <f>SUM(K252:K263)</f>
        <v>24066111842.459999</v>
      </c>
      <c r="L264" s="99"/>
      <c r="M264" s="99"/>
      <c r="N264" s="100"/>
      <c r="O264" s="97">
        <f>SUM(O252:O263)</f>
        <v>15293</v>
      </c>
      <c r="P264" s="108"/>
      <c r="Q264" s="108"/>
      <c r="R264" s="63">
        <f t="shared" si="211"/>
        <v>1.7498349589918213E-3</v>
      </c>
      <c r="S264" s="63" t="e">
        <f t="shared" si="212"/>
        <v>#DIV/0!</v>
      </c>
      <c r="T264" s="63">
        <f t="shared" si="213"/>
        <v>2.1986099973269179E-2</v>
      </c>
      <c r="U264" s="63">
        <f t="shared" si="214"/>
        <v>0</v>
      </c>
      <c r="V264" s="64">
        <f t="shared" si="215"/>
        <v>0</v>
      </c>
      <c r="Z264" s="72"/>
    </row>
    <row r="265" spans="1:26">
      <c r="A265" s="116"/>
      <c r="B265" s="116"/>
      <c r="C265" s="117" t="s">
        <v>311</v>
      </c>
      <c r="D265" s="118">
        <f>SUM(D236,D244,D249,D264)</f>
        <v>8562117047152.8525</v>
      </c>
      <c r="E265" s="119"/>
      <c r="F265" s="119"/>
      <c r="G265" s="120"/>
      <c r="H265" s="118">
        <f>SUM(H236,H244,H249,H264)</f>
        <v>1252789</v>
      </c>
      <c r="I265" s="131"/>
      <c r="J265" s="131"/>
      <c r="K265" s="118">
        <f>SUM(K236,K244,K249,K264)</f>
        <v>8620495548761.8281</v>
      </c>
      <c r="L265" s="119"/>
      <c r="M265" s="119"/>
      <c r="N265" s="118"/>
      <c r="O265" s="118">
        <f>SUM(O236,O244,O249,O264)</f>
        <v>1258145</v>
      </c>
      <c r="P265" s="132"/>
      <c r="Q265" s="118"/>
      <c r="R265" s="136"/>
      <c r="S265" s="137"/>
      <c r="T265" s="137"/>
      <c r="U265" s="138"/>
      <c r="V265" s="138"/>
      <c r="Z265" s="72"/>
    </row>
    <row r="266" spans="1:26">
      <c r="A266" s="121" t="s">
        <v>312</v>
      </c>
      <c r="B266" s="122" t="s">
        <v>340</v>
      </c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</row>
    <row r="267" spans="1:26">
      <c r="B267" s="124"/>
    </row>
    <row r="268" spans="1:26">
      <c r="B268" s="124"/>
      <c r="C268" s="125"/>
      <c r="D268" s="126"/>
      <c r="K268" s="126"/>
    </row>
    <row r="269" spans="1:26" ht="15">
      <c r="B269" s="127"/>
      <c r="C269" s="128"/>
      <c r="D269" s="129"/>
      <c r="F269" s="130"/>
      <c r="G269" s="130"/>
      <c r="I269" s="133"/>
      <c r="J269" s="134"/>
    </row>
    <row r="270" spans="1:26">
      <c r="C270" s="124"/>
    </row>
    <row r="271" spans="1:26">
      <c r="K271" s="110"/>
    </row>
    <row r="272" spans="1:26">
      <c r="B272" s="125"/>
    </row>
    <row r="273" spans="11:11">
      <c r="K273" s="135"/>
    </row>
  </sheetData>
  <sheetProtection algorithmName="SHA-512" hashValue="q7zSq5yFq69cijWlfY68+WJUOKHgVuVXuDRnzg9fGqBjKQf2Okn/nOuIJquFp5IDtvxlKZtj7zt2n9d4O65vRw==" saltValue="3rCmQqt3BGOynU00rDec6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6:V76"/>
    <mergeCell ref="A77:V77"/>
    <mergeCell ref="B118:V118"/>
    <mergeCell ref="A119:V119"/>
    <mergeCell ref="A120:V120"/>
    <mergeCell ref="B138:V138"/>
    <mergeCell ref="A139:V139"/>
    <mergeCell ref="B161:V161"/>
    <mergeCell ref="A162:V162"/>
    <mergeCell ref="B170:V170"/>
    <mergeCell ref="A171:V171"/>
    <mergeCell ref="B202:V202"/>
    <mergeCell ref="A203:V203"/>
    <mergeCell ref="B208:V208"/>
    <mergeCell ref="A209:V209"/>
    <mergeCell ref="A210:V210"/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6"/>
      <c r="B1" s="156"/>
      <c r="C1" s="156"/>
      <c r="D1" s="156"/>
      <c r="E1" s="15"/>
      <c r="F1" s="15"/>
      <c r="G1" s="15"/>
      <c r="H1" s="20"/>
    </row>
    <row r="2" spans="1:8" ht="27.6">
      <c r="A2" s="184" t="s">
        <v>313</v>
      </c>
      <c r="B2" s="185" t="s">
        <v>338</v>
      </c>
      <c r="C2" s="185" t="s">
        <v>341</v>
      </c>
      <c r="D2" s="186"/>
      <c r="E2" s="15"/>
      <c r="F2" s="15"/>
      <c r="G2" s="15"/>
      <c r="H2" s="20"/>
    </row>
    <row r="3" spans="1:8">
      <c r="A3" s="187" t="s">
        <v>17</v>
      </c>
      <c r="B3" s="188">
        <f t="shared" ref="B3:C10" si="0">B13</f>
        <v>163.53812004190127</v>
      </c>
      <c r="C3" s="188">
        <f t="shared" si="0"/>
        <v>167.3626047272158</v>
      </c>
      <c r="D3" s="186"/>
      <c r="E3" s="15"/>
      <c r="F3" s="15"/>
      <c r="G3" s="15"/>
      <c r="H3" s="20"/>
    </row>
    <row r="4" spans="1:8" ht="15.6" customHeight="1">
      <c r="A4" s="184" t="s">
        <v>56</v>
      </c>
      <c r="B4" s="189">
        <f t="shared" si="0"/>
        <v>5391.3879402954881</v>
      </c>
      <c r="C4" s="189">
        <f t="shared" si="0"/>
        <v>5463.8538960393162</v>
      </c>
      <c r="D4" s="186"/>
      <c r="E4" s="15"/>
      <c r="F4" s="15"/>
      <c r="G4" s="15"/>
      <c r="H4" s="20"/>
    </row>
    <row r="5" spans="1:8" ht="16.2" customHeight="1">
      <c r="A5" s="184" t="s">
        <v>314</v>
      </c>
      <c r="B5" s="188">
        <f t="shared" si="0"/>
        <v>242.72539371977263</v>
      </c>
      <c r="C5" s="188">
        <f t="shared" si="0"/>
        <v>241.72360586783211</v>
      </c>
      <c r="D5" s="186"/>
      <c r="E5" s="15"/>
      <c r="F5" s="15"/>
      <c r="G5" s="15"/>
      <c r="H5" s="20"/>
    </row>
    <row r="6" spans="1:8">
      <c r="A6" s="184" t="s">
        <v>173</v>
      </c>
      <c r="B6" s="189">
        <f t="shared" si="0"/>
        <v>1825.8203972687413</v>
      </c>
      <c r="C6" s="189">
        <f t="shared" si="0"/>
        <v>1804.4903572118433</v>
      </c>
      <c r="D6" s="186"/>
      <c r="E6" s="15"/>
      <c r="F6" s="15"/>
      <c r="G6" s="15"/>
      <c r="H6" s="20"/>
    </row>
    <row r="7" spans="1:8">
      <c r="A7" s="184" t="s">
        <v>315</v>
      </c>
      <c r="B7" s="188">
        <f t="shared" si="0"/>
        <v>492.69537474603169</v>
      </c>
      <c r="C7" s="188">
        <f t="shared" si="0"/>
        <v>493.14988846967896</v>
      </c>
      <c r="D7" s="186"/>
      <c r="E7" s="15"/>
      <c r="F7" s="15"/>
      <c r="G7" s="15"/>
      <c r="H7" s="20"/>
    </row>
    <row r="8" spans="1:8">
      <c r="A8" s="184" t="s">
        <v>218</v>
      </c>
      <c r="B8" s="190">
        <f t="shared" si="0"/>
        <v>120.02979276126135</v>
      </c>
      <c r="C8" s="190">
        <f t="shared" si="0"/>
        <v>121.92204498549958</v>
      </c>
      <c r="D8" s="186"/>
      <c r="E8" s="15"/>
      <c r="F8" s="15"/>
      <c r="G8" s="15"/>
      <c r="H8" s="20"/>
    </row>
    <row r="9" spans="1:8">
      <c r="A9" s="184" t="s">
        <v>250</v>
      </c>
      <c r="B9" s="188">
        <f t="shared" si="0"/>
        <v>14.898817340940001</v>
      </c>
      <c r="C9" s="188">
        <f t="shared" si="0"/>
        <v>14.938804220809999</v>
      </c>
      <c r="D9" s="186"/>
      <c r="E9" s="15"/>
      <c r="F9" s="15"/>
      <c r="G9" s="15"/>
      <c r="H9" s="20"/>
    </row>
    <row r="10" spans="1:8">
      <c r="A10" s="184" t="s">
        <v>316</v>
      </c>
      <c r="B10" s="188">
        <f t="shared" si="0"/>
        <v>111.04156256237579</v>
      </c>
      <c r="C10" s="188">
        <f t="shared" si="0"/>
        <v>111.34694143607184</v>
      </c>
      <c r="D10" s="186"/>
      <c r="E10" s="15"/>
      <c r="F10" s="15"/>
      <c r="G10" s="15"/>
      <c r="H10" s="20"/>
    </row>
    <row r="11" spans="1:8">
      <c r="A11" s="184" t="s">
        <v>283</v>
      </c>
      <c r="B11" s="188">
        <f>B21</f>
        <v>30.929893185840005</v>
      </c>
      <c r="C11" s="188">
        <f>C21</f>
        <v>30.88852727978</v>
      </c>
      <c r="D11" s="186"/>
      <c r="E11" s="15"/>
      <c r="F11" s="15"/>
      <c r="G11" s="15"/>
      <c r="H11" s="20"/>
    </row>
    <row r="12" spans="1:8">
      <c r="A12" s="156"/>
      <c r="B12" s="156"/>
      <c r="C12" s="156"/>
      <c r="D12" s="156"/>
      <c r="E12" s="15"/>
      <c r="F12" s="15"/>
      <c r="G12" s="15"/>
      <c r="H12" s="20"/>
    </row>
    <row r="13" spans="1:8">
      <c r="A13" s="191" t="s">
        <v>17</v>
      </c>
      <c r="B13" s="157">
        <f>'Weekly Valuation'!D26/1000000000</f>
        <v>163.53812004190127</v>
      </c>
      <c r="C13" s="158">
        <f>'Weekly Valuation'!K26/1000000000</f>
        <v>167.3626047272158</v>
      </c>
      <c r="D13" s="156"/>
      <c r="E13" s="15"/>
      <c r="F13" s="15"/>
      <c r="G13" s="15"/>
      <c r="H13" s="20"/>
    </row>
    <row r="14" spans="1:8">
      <c r="A14" s="159" t="s">
        <v>56</v>
      </c>
      <c r="B14" s="157">
        <f>'Weekly Valuation'!D75/1000000000</f>
        <v>5391.3879402954881</v>
      </c>
      <c r="C14" s="192">
        <f>'Weekly Valuation'!K75/1000000000</f>
        <v>5463.8538960393162</v>
      </c>
      <c r="D14" s="156"/>
      <c r="E14" s="15"/>
      <c r="F14" s="15"/>
      <c r="G14" s="15"/>
      <c r="H14" s="20"/>
    </row>
    <row r="15" spans="1:8">
      <c r="A15" s="159" t="s">
        <v>314</v>
      </c>
      <c r="B15" s="157">
        <f>'Weekly Valuation'!D117/1000000000</f>
        <v>242.72539371977263</v>
      </c>
      <c r="C15" s="158">
        <f>'Weekly Valuation'!K117/1000000000</f>
        <v>241.72360586783211</v>
      </c>
      <c r="D15" s="156"/>
      <c r="E15" s="15"/>
      <c r="F15" s="15"/>
      <c r="G15" s="15"/>
      <c r="H15" s="20"/>
    </row>
    <row r="16" spans="1:8">
      <c r="A16" s="159" t="s">
        <v>173</v>
      </c>
      <c r="B16" s="157">
        <f>'Weekly Valuation'!D160/1000000000</f>
        <v>1825.8203972687413</v>
      </c>
      <c r="C16" s="192">
        <f>'Weekly Valuation'!K160/1000000000</f>
        <v>1804.4903572118433</v>
      </c>
      <c r="D16" s="156"/>
      <c r="E16" s="15"/>
      <c r="F16" s="15"/>
      <c r="G16" s="15"/>
      <c r="H16" s="20"/>
    </row>
    <row r="17" spans="1:8">
      <c r="A17" s="159" t="s">
        <v>315</v>
      </c>
      <c r="B17" s="157">
        <f>'Weekly Valuation'!D169/1000000000</f>
        <v>492.69537474603169</v>
      </c>
      <c r="C17" s="158">
        <f>'Weekly Valuation'!K169/1000000000</f>
        <v>493.14988846967896</v>
      </c>
      <c r="D17" s="156"/>
      <c r="E17" s="15"/>
      <c r="F17" s="15"/>
      <c r="G17" s="15"/>
      <c r="H17" s="20"/>
    </row>
    <row r="18" spans="1:8">
      <c r="A18" s="159" t="s">
        <v>218</v>
      </c>
      <c r="B18" s="157">
        <f>'Weekly Valuation'!D201/1000000000</f>
        <v>120.02979276126135</v>
      </c>
      <c r="C18" s="193">
        <f>'Weekly Valuation'!K201/1000000000</f>
        <v>121.92204498549958</v>
      </c>
      <c r="D18" s="156"/>
      <c r="E18" s="15"/>
      <c r="F18" s="15"/>
      <c r="G18" s="15"/>
      <c r="H18" s="20"/>
    </row>
    <row r="19" spans="1:8">
      <c r="A19" s="159" t="s">
        <v>250</v>
      </c>
      <c r="B19" s="157">
        <f>'Weekly Valuation'!D207/1000000000</f>
        <v>14.898817340940001</v>
      </c>
      <c r="C19" s="158">
        <f>'Weekly Valuation'!K207/1000000000</f>
        <v>14.938804220809999</v>
      </c>
      <c r="D19" s="156"/>
      <c r="E19" s="15"/>
      <c r="F19" s="15"/>
      <c r="G19" s="15"/>
      <c r="H19" s="20"/>
    </row>
    <row r="20" spans="1:8">
      <c r="A20" s="159" t="s">
        <v>316</v>
      </c>
      <c r="B20" s="157">
        <f>'Weekly Valuation'!D235/1000000000</f>
        <v>111.04156256237579</v>
      </c>
      <c r="C20" s="158">
        <f>'Weekly Valuation'!K235/1000000000</f>
        <v>111.34694143607184</v>
      </c>
      <c r="D20" s="156"/>
      <c r="E20" s="15"/>
      <c r="F20" s="15"/>
      <c r="G20" s="15"/>
      <c r="H20" s="20"/>
    </row>
    <row r="21" spans="1:8">
      <c r="A21" s="159" t="s">
        <v>283</v>
      </c>
      <c r="B21" s="157">
        <f>'Weekly Valuation'!D244/1000000000</f>
        <v>30.929893185840005</v>
      </c>
      <c r="C21" s="158">
        <f>'Weekly Valuation'!K244/1000000000</f>
        <v>30.88852727978</v>
      </c>
      <c r="D21" s="156"/>
      <c r="F21" s="15"/>
      <c r="G21" s="15"/>
      <c r="H21" s="20"/>
    </row>
    <row r="22" spans="1:8">
      <c r="A22" s="160"/>
      <c r="B22" s="156"/>
      <c r="C22" s="21"/>
      <c r="D22" s="156"/>
      <c r="F22" s="15"/>
      <c r="G22" s="15"/>
      <c r="H22" s="20"/>
    </row>
    <row r="23" spans="1:8">
      <c r="A23" s="22"/>
      <c r="B23" s="21"/>
      <c r="C23" s="161"/>
      <c r="F23" s="15"/>
      <c r="G23" s="15"/>
      <c r="H23" s="20"/>
    </row>
    <row r="24" spans="1:8">
      <c r="A24" s="153"/>
      <c r="B24" s="154"/>
      <c r="C24" s="154"/>
      <c r="D24" s="15"/>
      <c r="E24" s="15"/>
      <c r="F24" s="15"/>
      <c r="G24" s="20"/>
      <c r="H24" s="20"/>
    </row>
    <row r="25" spans="1:8">
      <c r="A25" s="153"/>
      <c r="B25" s="154"/>
      <c r="C25" s="154"/>
      <c r="D25" s="15"/>
      <c r="E25" s="15"/>
      <c r="F25" s="15"/>
      <c r="G25" s="20"/>
      <c r="H25" s="20"/>
    </row>
    <row r="26" spans="1:8">
      <c r="A26" s="153"/>
      <c r="B26" s="154"/>
      <c r="C26" s="154"/>
      <c r="D26" s="15"/>
      <c r="E26" s="15"/>
      <c r="F26" s="15"/>
      <c r="G26" s="20"/>
      <c r="H26" s="20"/>
    </row>
    <row r="27" spans="1:8">
      <c r="A27" s="153"/>
      <c r="B27" s="154"/>
      <c r="C27" s="154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fhdZ4Dyvct85UwPeKwqCFZuvl3p+b3zbeRW1MNeSovZXGdF41ZcRUNkxspzz6B4tIfpS9Q1WeHKjgAc3U2GiWw==" saltValue="oTculrIcZZKrlq229yox0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4" sqref="I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0" t="s">
        <v>313</v>
      </c>
      <c r="B1" s="181">
        <v>46099</v>
      </c>
      <c r="C1" s="15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0" t="s">
        <v>250</v>
      </c>
      <c r="B2" s="21">
        <f>'Weekly Valuation'!K207</f>
        <v>14938804220.809999</v>
      </c>
      <c r="C2" s="15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0" t="s">
        <v>283</v>
      </c>
      <c r="B3" s="21">
        <f>'Weekly Valuation'!K244</f>
        <v>30888527279.779999</v>
      </c>
      <c r="C3" s="15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0" t="s">
        <v>17</v>
      </c>
      <c r="B4" s="21">
        <f>'Weekly Valuation'!K26</f>
        <v>167362604727.21579</v>
      </c>
      <c r="C4" s="15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0" t="s">
        <v>316</v>
      </c>
      <c r="B5" s="161">
        <f>'Weekly Valuation'!K235</f>
        <v>111346941436.07184</v>
      </c>
      <c r="C5" s="15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0" t="s">
        <v>218</v>
      </c>
      <c r="B6" s="21">
        <f>'Weekly Valuation'!K201</f>
        <v>121922044985.49959</v>
      </c>
      <c r="C6" s="15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0" t="s">
        <v>315</v>
      </c>
      <c r="B7" s="21">
        <f>'Weekly Valuation'!K169</f>
        <v>493149888469.67896</v>
      </c>
      <c r="C7" s="15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0" t="s">
        <v>314</v>
      </c>
      <c r="B8" s="21">
        <f>'Weekly Valuation'!K117</f>
        <v>241723605867.83209</v>
      </c>
      <c r="C8" s="15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0" t="s">
        <v>173</v>
      </c>
      <c r="B9" s="182">
        <f>'Weekly Valuation'!K160</f>
        <v>1804490357211.8433</v>
      </c>
      <c r="C9" s="15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0" t="s">
        <v>56</v>
      </c>
      <c r="B10" s="182">
        <f>'Weekly Valuation'!K75</f>
        <v>5463853896039.3164</v>
      </c>
      <c r="C10" s="15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6"/>
      <c r="B11" s="156"/>
      <c r="C11" s="15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0"/>
      <c r="B12" s="183"/>
      <c r="C12" s="15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3"/>
      <c r="B13" s="172"/>
      <c r="C13" s="17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4"/>
      <c r="B14" s="154"/>
      <c r="C14" s="17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54"/>
      <c r="B15" s="15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3"/>
      <c r="B16" s="17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3"/>
    </row>
    <row r="34" spans="1:17" ht="1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3"/>
    </row>
  </sheetData>
  <sheetProtection algorithmName="SHA-512" hashValue="YWBQBguMDjkjE6GjCSHt7EgPu6fBwZ20aJxGOaV/VL0weQfpf1rewJfZa4fPWKEwup/kLbZjLSziKLNwWHy/BQ==" saltValue="efc6OcP7yLcysJUngKeMs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2"/>
    </row>
    <row r="2" spans="1:15">
      <c r="A2" s="175" t="s">
        <v>317</v>
      </c>
      <c r="B2" s="176">
        <v>46052</v>
      </c>
      <c r="C2" s="176">
        <v>46059</v>
      </c>
      <c r="D2" s="176">
        <v>46066</v>
      </c>
      <c r="E2" s="176">
        <v>46073</v>
      </c>
      <c r="F2" s="176">
        <v>46080</v>
      </c>
      <c r="G2" s="176">
        <v>46087</v>
      </c>
      <c r="H2" s="176">
        <v>46094</v>
      </c>
      <c r="I2" s="176">
        <v>46099</v>
      </c>
      <c r="J2" s="20"/>
      <c r="K2" s="15"/>
      <c r="L2" s="15"/>
      <c r="M2" s="15"/>
      <c r="N2" s="15"/>
      <c r="O2" s="152"/>
    </row>
    <row r="3" spans="1:15">
      <c r="A3" s="175" t="s">
        <v>318</v>
      </c>
      <c r="B3" s="177">
        <f t="shared" ref="B3:I3" si="0">B4</f>
        <v>8081.3813988736874</v>
      </c>
      <c r="C3" s="177">
        <f t="shared" si="0"/>
        <v>8107.597332853632</v>
      </c>
      <c r="D3" s="177">
        <f t="shared" si="0"/>
        <v>8176.5089785345672</v>
      </c>
      <c r="E3" s="177">
        <f t="shared" si="0"/>
        <v>8210.0158947677137</v>
      </c>
      <c r="F3" s="177">
        <f t="shared" si="0"/>
        <v>8244.4012797571122</v>
      </c>
      <c r="G3" s="177">
        <f t="shared" si="0"/>
        <v>8344.3102028916874</v>
      </c>
      <c r="H3" s="177">
        <f t="shared" si="0"/>
        <v>8393.0672919223525</v>
      </c>
      <c r="I3" s="177">
        <f t="shared" si="0"/>
        <v>8449.6766702380482</v>
      </c>
      <c r="J3" s="20"/>
      <c r="K3" s="15"/>
      <c r="L3" s="15"/>
      <c r="M3" s="15"/>
      <c r="N3" s="15"/>
      <c r="O3" s="152"/>
    </row>
    <row r="4" spans="1:15">
      <c r="A4" s="20"/>
      <c r="B4" s="178">
        <f>'NAV Trend'!C11/1000000000</f>
        <v>8081.3813988736874</v>
      </c>
      <c r="C4" s="178">
        <f>'NAV Trend'!D11/1000000000</f>
        <v>8107.597332853632</v>
      </c>
      <c r="D4" s="178">
        <f>'NAV Trend'!E11/1000000000</f>
        <v>8176.5089785345672</v>
      </c>
      <c r="E4" s="178">
        <f>'NAV Trend'!F11/1000000000</f>
        <v>8210.0158947677137</v>
      </c>
      <c r="F4" s="178">
        <f>'NAV Trend'!G11/1000000000</f>
        <v>8244.4012797571122</v>
      </c>
      <c r="G4" s="178">
        <f>'NAV Trend'!H11/1000000000</f>
        <v>8344.3102028916874</v>
      </c>
      <c r="H4" s="179">
        <f>'NAV Trend'!I11/1000000000</f>
        <v>8393.0672919223525</v>
      </c>
      <c r="I4" s="179">
        <f>'NAV Trend'!J11/1000000000</f>
        <v>8449.6766702380482</v>
      </c>
      <c r="J4" s="20"/>
      <c r="K4" s="15"/>
      <c r="L4" s="15"/>
      <c r="M4" s="15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2"/>
    </row>
    <row r="6" spans="1: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2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1pxUnX/38/wPPA3dpL3jZNu9vk2f0D/HOKo6n6raktK5Xh16j2YlQQgyNBMOarn3hldmIDz7PBudzbakF5K5iw==" saltValue="lkxHdz7bYtQQZEXboqtmn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H30" sqref="H30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5" t="s">
        <v>317</v>
      </c>
      <c r="B2" s="176">
        <v>46052</v>
      </c>
      <c r="C2" s="176">
        <v>46059</v>
      </c>
      <c r="D2" s="176">
        <v>46066</v>
      </c>
      <c r="E2" s="176">
        <v>46073</v>
      </c>
      <c r="F2" s="176">
        <v>46080</v>
      </c>
      <c r="G2" s="176">
        <v>46087</v>
      </c>
      <c r="H2" s="176">
        <v>46094</v>
      </c>
      <c r="I2" s="176">
        <v>46099</v>
      </c>
      <c r="J2" s="20"/>
      <c r="K2" s="20"/>
      <c r="L2" s="20"/>
      <c r="M2" s="15"/>
      <c r="N2" s="20"/>
      <c r="O2" s="20"/>
      <c r="P2" s="142"/>
    </row>
    <row r="3" spans="1:16">
      <c r="A3" s="175" t="s">
        <v>319</v>
      </c>
      <c r="B3" s="177">
        <f t="shared" ref="B3:I3" si="0">B4</f>
        <v>19.641137987049994</v>
      </c>
      <c r="C3" s="177">
        <f t="shared" si="0"/>
        <v>20.41173907228</v>
      </c>
      <c r="D3" s="177">
        <f t="shared" si="0"/>
        <v>21.462872515840001</v>
      </c>
      <c r="E3" s="177">
        <f t="shared" si="0"/>
        <v>23.060251227759998</v>
      </c>
      <c r="F3" s="177">
        <f t="shared" si="0"/>
        <v>23.429388175410001</v>
      </c>
      <c r="G3" s="177">
        <f t="shared" si="0"/>
        <v>23.933072983509998</v>
      </c>
      <c r="H3" s="177">
        <f t="shared" si="0"/>
        <v>24.024073678480001</v>
      </c>
      <c r="I3" s="177">
        <f t="shared" si="0"/>
        <v>24.06611184246</v>
      </c>
      <c r="J3" s="20"/>
      <c r="K3" s="20"/>
      <c r="L3" s="20"/>
      <c r="M3" s="15"/>
      <c r="N3" s="20"/>
      <c r="O3" s="20"/>
      <c r="P3" s="142"/>
    </row>
    <row r="4" spans="1:16">
      <c r="A4" s="20"/>
      <c r="B4" s="178">
        <f>'NAV Trend'!C17/1000000000</f>
        <v>19.641137987049994</v>
      </c>
      <c r="C4" s="178">
        <f>'NAV Trend'!D17/1000000000</f>
        <v>20.41173907228</v>
      </c>
      <c r="D4" s="178">
        <f>'NAV Trend'!E17/1000000000</f>
        <v>21.462872515840001</v>
      </c>
      <c r="E4" s="178">
        <f>'NAV Trend'!F17/1000000000</f>
        <v>23.060251227759998</v>
      </c>
      <c r="F4" s="178">
        <f>'NAV Trend'!G17/1000000000</f>
        <v>23.429388175410001</v>
      </c>
      <c r="G4" s="178">
        <f>'NAV Trend'!H17/1000000000</f>
        <v>23.933072983509998</v>
      </c>
      <c r="H4" s="178">
        <f>'NAV Trend'!I17/1000000000</f>
        <v>24.024073678480001</v>
      </c>
      <c r="I4" s="179">
        <f>'NAV Trend'!J17/1000000000</f>
        <v>24.06611184246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hLiq9rxR+GaDGxtiQQwsrK7Iu3G4JAZVOVZoqs70GlzLebxgj1uxjOCQiVY0Abe9U2OiOSzw1y3X5vWQ3lhnSg==" saltValue="WFhEcdcmKtufrbgKYLE46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313</v>
      </c>
      <c r="B1" s="2">
        <v>46045</v>
      </c>
      <c r="C1" s="2">
        <v>46052</v>
      </c>
      <c r="D1" s="2">
        <v>46059</v>
      </c>
      <c r="E1" s="2">
        <v>46066</v>
      </c>
      <c r="F1" s="2">
        <v>46073</v>
      </c>
      <c r="G1" s="2">
        <v>46080</v>
      </c>
      <c r="H1" s="2">
        <v>46087</v>
      </c>
      <c r="I1" s="2">
        <v>46094</v>
      </c>
      <c r="J1" s="2">
        <v>46099</v>
      </c>
    </row>
    <row r="2" spans="1:11">
      <c r="A2" s="3" t="s">
        <v>17</v>
      </c>
      <c r="B2" s="4">
        <v>97343280758.238815</v>
      </c>
      <c r="C2" s="4">
        <v>100449483893.22079</v>
      </c>
      <c r="D2" s="4">
        <v>106635929371.092</v>
      </c>
      <c r="E2" s="4">
        <v>119849143942.72949</v>
      </c>
      <c r="F2" s="4">
        <v>139857154415.89801</v>
      </c>
      <c r="G2" s="4">
        <v>148191654431.43802</v>
      </c>
      <c r="H2" s="4">
        <v>159211652092.74878</v>
      </c>
      <c r="I2" s="4">
        <v>163538120041.90128</v>
      </c>
      <c r="J2" s="4">
        <v>167362604727.21579</v>
      </c>
    </row>
    <row r="3" spans="1:11">
      <c r="A3" s="3" t="s">
        <v>56</v>
      </c>
      <c r="B3" s="4">
        <v>5108518173049.8516</v>
      </c>
      <c r="C3" s="4">
        <v>5168017665961.8213</v>
      </c>
      <c r="D3" s="4">
        <v>5200745752031.0068</v>
      </c>
      <c r="E3" s="4">
        <v>5255316816008.0068</v>
      </c>
      <c r="F3" s="4">
        <v>5272968475352.1689</v>
      </c>
      <c r="G3" s="4">
        <v>5290967255505.7646</v>
      </c>
      <c r="H3" s="4">
        <v>5336290181627.8701</v>
      </c>
      <c r="I3" s="4">
        <v>5391387940295.4883</v>
      </c>
      <c r="J3" s="4">
        <v>5463853896039.3164</v>
      </c>
    </row>
    <row r="4" spans="1:11">
      <c r="A4" s="3" t="s">
        <v>314</v>
      </c>
      <c r="B4" s="5">
        <v>243035319324.12384</v>
      </c>
      <c r="C4" s="5">
        <v>241463824670.87335</v>
      </c>
      <c r="D4" s="5">
        <v>242097642886.62512</v>
      </c>
      <c r="E4" s="5">
        <v>244647170303.8353</v>
      </c>
      <c r="F4" s="5">
        <v>244284723034.70218</v>
      </c>
      <c r="G4" s="5">
        <v>246072284820.23425</v>
      </c>
      <c r="H4" s="5">
        <v>242895635845.56708</v>
      </c>
      <c r="I4" s="5">
        <v>242725393719.77261</v>
      </c>
      <c r="J4" s="5">
        <v>241723605867.83209</v>
      </c>
    </row>
    <row r="5" spans="1:11">
      <c r="A5" s="3" t="s">
        <v>173</v>
      </c>
      <c r="B5" s="4">
        <v>1915257941328.8516</v>
      </c>
      <c r="C5" s="4">
        <v>1879340816992.0879</v>
      </c>
      <c r="D5" s="4">
        <v>1855852687433.3228</v>
      </c>
      <c r="E5" s="4">
        <v>1840472590032.0491</v>
      </c>
      <c r="F5" s="4">
        <v>1821080718904.251</v>
      </c>
      <c r="G5" s="4">
        <v>1833915688463.2009</v>
      </c>
      <c r="H5" s="4">
        <v>1871197469152.2844</v>
      </c>
      <c r="I5" s="4">
        <v>1825820397268.7412</v>
      </c>
      <c r="J5" s="4">
        <v>1804490357211.8433</v>
      </c>
    </row>
    <row r="6" spans="1:11">
      <c r="A6" s="3" t="s">
        <v>315</v>
      </c>
      <c r="B6" s="5">
        <v>505309533936.44556</v>
      </c>
      <c r="C6" s="5">
        <v>503446552793.28357</v>
      </c>
      <c r="D6" s="5">
        <v>504339412317.29657</v>
      </c>
      <c r="E6" s="5">
        <v>505370559321.13531</v>
      </c>
      <c r="F6" s="5">
        <v>505882627163.35651</v>
      </c>
      <c r="G6" s="5">
        <v>491072409821.2135</v>
      </c>
      <c r="H6" s="5">
        <v>492232053531.7984</v>
      </c>
      <c r="I6" s="5">
        <v>492695374746.03168</v>
      </c>
      <c r="J6" s="5">
        <v>493149888469.67896</v>
      </c>
    </row>
    <row r="7" spans="1:11">
      <c r="A7" s="3" t="s">
        <v>218</v>
      </c>
      <c r="B7" s="7">
        <v>92487511317.429947</v>
      </c>
      <c r="C7" s="7">
        <v>93467466492.254761</v>
      </c>
      <c r="D7" s="7">
        <v>97403173769.586121</v>
      </c>
      <c r="E7" s="7">
        <v>104178871055.63953</v>
      </c>
      <c r="F7" s="7">
        <v>112022899742.21411</v>
      </c>
      <c r="G7" s="7">
        <v>115751455134.97435</v>
      </c>
      <c r="H7" s="7">
        <v>119284434936.1797</v>
      </c>
      <c r="I7" s="7">
        <v>120029792761.26135</v>
      </c>
      <c r="J7" s="7">
        <v>121922044985.49959</v>
      </c>
    </row>
    <row r="8" spans="1:11">
      <c r="A8" s="3" t="s">
        <v>250</v>
      </c>
      <c r="B8" s="6">
        <v>9969512236.25</v>
      </c>
      <c r="C8" s="6">
        <v>9672057599.0100002</v>
      </c>
      <c r="D8" s="6">
        <v>10809295044.16016</v>
      </c>
      <c r="E8" s="6">
        <v>12237483860.206491</v>
      </c>
      <c r="F8" s="6">
        <v>13490483321.859869</v>
      </c>
      <c r="G8" s="6">
        <v>14050360664.833527</v>
      </c>
      <c r="H8" s="6">
        <v>14784118823.610147</v>
      </c>
      <c r="I8" s="6">
        <v>14898817340.940001</v>
      </c>
      <c r="J8" s="6">
        <v>14938804220.809999</v>
      </c>
    </row>
    <row r="9" spans="1:11">
      <c r="A9" s="3" t="s">
        <v>316</v>
      </c>
      <c r="B9" s="6">
        <v>84213244832.69693</v>
      </c>
      <c r="C9" s="6">
        <v>85523530471.136795</v>
      </c>
      <c r="D9" s="6">
        <v>89713440000.541626</v>
      </c>
      <c r="E9" s="6">
        <v>94436344010.965378</v>
      </c>
      <c r="F9" s="6">
        <v>100428812833.26227</v>
      </c>
      <c r="G9" s="6">
        <v>104380170915.45007</v>
      </c>
      <c r="H9" s="6">
        <v>108414656881.62793</v>
      </c>
      <c r="I9" s="6">
        <v>111041562562.37579</v>
      </c>
      <c r="J9" s="6">
        <v>111346941436.07184</v>
      </c>
    </row>
    <row r="10" spans="1:11">
      <c r="A10" s="3" t="s">
        <v>283</v>
      </c>
      <c r="B10" s="6">
        <v>19311194832.128181</v>
      </c>
      <c r="C10" s="6">
        <v>19390708322.203178</v>
      </c>
      <c r="D10" s="6">
        <v>19490186623.385223</v>
      </c>
      <c r="E10" s="6">
        <v>20735268519.028137</v>
      </c>
      <c r="F10" s="6">
        <v>19639536605.41069</v>
      </c>
      <c r="G10" s="6">
        <v>19763627528.168037</v>
      </c>
      <c r="H10" s="6">
        <v>31180088808.191078</v>
      </c>
      <c r="I10" s="6">
        <v>30929893185.840004</v>
      </c>
      <c r="J10" s="6">
        <v>30888527279.779999</v>
      </c>
    </row>
    <row r="11" spans="1:11" ht="15.6">
      <c r="A11" s="8" t="s">
        <v>320</v>
      </c>
      <c r="B11" s="9">
        <f t="shared" ref="B11:H11" si="0">SUM(B2:B9)</f>
        <v>8056134516783.8887</v>
      </c>
      <c r="C11" s="9">
        <f t="shared" si="0"/>
        <v>8081381398873.6875</v>
      </c>
      <c r="D11" s="9">
        <f t="shared" si="0"/>
        <v>8107597332853.6318</v>
      </c>
      <c r="E11" s="9">
        <f t="shared" si="0"/>
        <v>8176508978534.5674</v>
      </c>
      <c r="F11" s="9">
        <f t="shared" si="0"/>
        <v>8210015894767.7139</v>
      </c>
      <c r="G11" s="9">
        <f t="shared" si="0"/>
        <v>8244401279757.1113</v>
      </c>
      <c r="H11" s="9">
        <f t="shared" si="0"/>
        <v>8344310202891.6875</v>
      </c>
      <c r="I11" s="9">
        <f>SUM(I2:I10)</f>
        <v>8393067291922.3525</v>
      </c>
      <c r="J11" s="9">
        <f>SUM(J2:J10)</f>
        <v>8449676670238.0479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321</v>
      </c>
      <c r="B13" s="139" t="s">
        <v>322</v>
      </c>
      <c r="C13" s="13">
        <f>(B11+C11)/2</f>
        <v>8068757957828.7881</v>
      </c>
      <c r="D13" s="14">
        <f t="shared" ref="D13:J13" si="1">(C11+D11)/2</f>
        <v>8094489365863.6602</v>
      </c>
      <c r="E13" s="14">
        <f t="shared" si="1"/>
        <v>8142053155694.0996</v>
      </c>
      <c r="F13" s="14">
        <f t="shared" si="1"/>
        <v>8193262436651.1406</v>
      </c>
      <c r="G13" s="14">
        <f t="shared" si="1"/>
        <v>8227208587262.4121</v>
      </c>
      <c r="H13" s="14">
        <f t="shared" si="1"/>
        <v>8294355741324.3994</v>
      </c>
      <c r="I13" s="14">
        <f t="shared" si="1"/>
        <v>8368688747407.0195</v>
      </c>
      <c r="J13" s="14">
        <f t="shared" si="1"/>
        <v>8421371981080.2002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46045</v>
      </c>
      <c r="C16" s="2">
        <v>46052</v>
      </c>
      <c r="D16" s="2">
        <v>46059</v>
      </c>
      <c r="E16" s="2">
        <v>46066</v>
      </c>
      <c r="F16" s="2">
        <v>46073</v>
      </c>
      <c r="G16" s="2">
        <v>46080</v>
      </c>
      <c r="H16" s="2">
        <v>46087</v>
      </c>
      <c r="I16" s="2">
        <v>46094</v>
      </c>
      <c r="J16" s="2">
        <v>46099</v>
      </c>
      <c r="K16" s="15"/>
    </row>
    <row r="17" spans="1:11">
      <c r="A17" s="16" t="s">
        <v>323</v>
      </c>
      <c r="B17" s="17">
        <v>19447744548.880001</v>
      </c>
      <c r="C17" s="17">
        <v>19641137987.049995</v>
      </c>
      <c r="D17" s="17">
        <v>20411739072.279999</v>
      </c>
      <c r="E17" s="17">
        <v>21462872515.84</v>
      </c>
      <c r="F17" s="17">
        <v>23060251227.759998</v>
      </c>
      <c r="G17" s="17">
        <v>23429388175.41</v>
      </c>
      <c r="H17" s="17">
        <v>23933072983.509998</v>
      </c>
      <c r="I17" s="17">
        <v>24024073678.48</v>
      </c>
      <c r="J17" s="17">
        <v>24066111842.459999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IyklBbTtFn00j6UvM0sH/L3vwxBW/OBQ5pxN7l4tfu2X98DEaSYpYz6IoD0gWnEybnmIpv5pYzLZima3i4Av1Q==" saltValue="Z0IeWXYb6OhLr5r5DdNFx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