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496" windowHeight="904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30" i="1" l="1"/>
  <c r="M130" i="1"/>
  <c r="N144" i="1"/>
  <c r="M144" i="1"/>
  <c r="N118" i="1"/>
  <c r="M118" i="1"/>
  <c r="N124" i="1" l="1"/>
  <c r="M124" i="1"/>
  <c r="K124" i="1"/>
  <c r="N133" i="1"/>
  <c r="M133" i="1"/>
  <c r="K133" i="1"/>
  <c r="K145" i="1" l="1"/>
  <c r="N147" i="1"/>
  <c r="M147" i="1"/>
  <c r="M123" i="1" l="1"/>
  <c r="K123" i="1"/>
  <c r="K139" i="1"/>
  <c r="N132" i="1"/>
  <c r="M132" i="1"/>
  <c r="K132" i="1"/>
  <c r="N151" i="1"/>
  <c r="M151" i="1"/>
  <c r="K151" i="1"/>
  <c r="N149" i="1"/>
  <c r="M149" i="1"/>
  <c r="K149" i="1"/>
  <c r="N148" i="1"/>
  <c r="M148" i="1"/>
  <c r="K148" i="1"/>
  <c r="N122" i="1"/>
  <c r="M122" i="1"/>
  <c r="K122" i="1"/>
  <c r="N137" i="1"/>
  <c r="M137" i="1"/>
  <c r="K137" i="1"/>
  <c r="K155" i="1"/>
  <c r="N138" i="1"/>
  <c r="M138" i="1"/>
  <c r="K138" i="1"/>
  <c r="N125" i="1"/>
  <c r="M125" i="1"/>
  <c r="K125" i="1"/>
  <c r="N146" i="1"/>
  <c r="M146" i="1"/>
  <c r="K146" i="1"/>
  <c r="N119" i="1" l="1"/>
  <c r="M119" i="1"/>
  <c r="K119" i="1"/>
  <c r="K130" i="1"/>
  <c r="N234" i="1"/>
  <c r="M234" i="1"/>
  <c r="K234" i="1"/>
  <c r="N121" i="1"/>
  <c r="M121" i="1"/>
  <c r="K121" i="1"/>
  <c r="N120" i="1"/>
  <c r="M120" i="1"/>
  <c r="K120" i="1"/>
  <c r="K154" i="1"/>
  <c r="K143" i="1"/>
  <c r="K141" i="1"/>
  <c r="N141" i="1"/>
  <c r="M141" i="1"/>
  <c r="N236" i="1"/>
  <c r="M236" i="1"/>
  <c r="K236" i="1"/>
  <c r="N128" i="1"/>
  <c r="M128" i="1"/>
  <c r="K128" i="1"/>
  <c r="N127" i="1"/>
  <c r="M127" i="1"/>
  <c r="K127" i="1"/>
  <c r="N152" i="1"/>
  <c r="M152" i="1"/>
  <c r="K152" i="1"/>
  <c r="N134" i="1"/>
  <c r="M134" i="1"/>
  <c r="K134" i="1"/>
  <c r="K129" i="1"/>
  <c r="K131" i="1"/>
  <c r="N153" i="1"/>
  <c r="M153" i="1"/>
  <c r="K153" i="1"/>
  <c r="N155" i="1" l="1"/>
  <c r="M155" i="1"/>
  <c r="S192" i="1" l="1"/>
  <c r="N145" i="1" l="1"/>
  <c r="M145" i="1"/>
  <c r="N154" i="1" l="1"/>
  <c r="M154" i="1"/>
  <c r="N131" i="1" l="1"/>
  <c r="M131" i="1"/>
  <c r="S81" i="1" l="1"/>
  <c r="I11" i="4" l="1"/>
  <c r="N123" i="1" l="1"/>
  <c r="L226" i="1" l="1"/>
  <c r="R226" i="1"/>
  <c r="R253" i="1" l="1"/>
  <c r="R152" i="1"/>
  <c r="J11" i="4" l="1"/>
  <c r="K197" i="1"/>
  <c r="L186" i="1" s="1"/>
  <c r="N143" i="1" l="1"/>
  <c r="S213" i="1"/>
  <c r="S163" i="1"/>
  <c r="M143" i="1" l="1"/>
  <c r="R35" i="1" l="1"/>
  <c r="V24" i="1"/>
  <c r="U24" i="1"/>
  <c r="T24" i="1"/>
  <c r="S24" i="1"/>
  <c r="R24" i="1"/>
  <c r="K202" i="1" l="1"/>
  <c r="L227" i="1" l="1"/>
  <c r="L200" i="1"/>
  <c r="N129" i="1"/>
  <c r="V190" i="1" l="1"/>
  <c r="U190" i="1"/>
  <c r="T190" i="1"/>
  <c r="S190" i="1"/>
  <c r="R190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L94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<sst xmlns="http://schemas.openxmlformats.org/spreadsheetml/2006/main" count="535" uniqueCount="337">
  <si>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</si>
  <si>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</si>
  <si>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</si>
  <si>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</si>
  <si>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</si>
  <si>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</si>
  <si>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</si>
  <si>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</si>
  <si>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</si>
  <si>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</si>
  <si>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</si>
  <si>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</si>
  <si>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</si>
  <si>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</si>
  <si>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</si>
  <si>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</si>
  <si>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</si>
  <si>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</si>
  <si>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</si>
  <si>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</si>
  <si>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</si>
  <si>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</si>
  <si>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</si>
  <si>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</si>
  <si>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</si>
  <si>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</si>
  <si>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</si>
  <si>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</si>
  <si>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</si>
  <si>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</si>
  <si>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</si>
  <si>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</si>
  <si>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</si>
  <si>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</si>
  <si>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</si>
  <si>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</si>
  <si>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</si>
  <si>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</si>
  <si>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</si>
  <si>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</si>
  <si>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</si>
  <si>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</si>
  <si>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</si>
  <si>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</si>
  <si>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</si>
  <si>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</si>
  <si>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</si>
  <si>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</si>
  <si>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</si>
  <si>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</si>
  <si>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</si>
  <si>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</si>
  <si>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</si>
  <si>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</si>
  <si>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</si>
  <si>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</si>
  <si>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</si>
  <si>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</si>
  <si>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</si>
  <si>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</si>
  <si>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</si>
  <si>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</si>
  <si>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</si>
  <si>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</si>
  <si>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</si>
  <si>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</si>
  <si>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</si>
  <si>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</si>
  <si>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</si>
  <si>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</si>
  <si>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</si>
  <si>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</si>
  <si>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</si>
  <si>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</si>
  <si>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</si>
  <si>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</si>
  <si>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</si>
  <si>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</si>
  <si>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</si>
  <si>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</si>
  <si>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</si>
  <si>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</si>
  <si>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</si>
  <si>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</si>
  <si>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</si>
  <si>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</si>
  <si>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</si>
  <si>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</si>
  <si>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</si>
  <si>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</si>
  <si>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</si>
  <si>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</si>
  <si>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</si>
  <si>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</si>
  <si>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</si>
  <si>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</si>
  <si>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</si>
  <si>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</si>
  <si>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</si>
  <si>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</si>
  <si>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</si>
  <si>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</si>
  <si>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</si>
  <si>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</si>
  <si>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</si>
  <si>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</si>
  <si>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</si>
  <si>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</si>
  <si>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</si>
  <si>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</si>
  <si>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</si>
  <si>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</si>
  <si>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</si>
  <si>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</si>
  <si>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</si>
  <si>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</si>
  <si>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</si>
  <si>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</si>
  <si>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</si>
  <si>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</si>
  <si>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</si>
  <si>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</si>
  <si>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</si>
  <si>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</si>
  <si>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</si>
  <si>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</si>
  <si>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</si>
  <si>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</si>
  <si>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</si>
  <si>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</si>
  <si>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</si>
  <si>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</si>
  <si>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</si>
  <si>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</si>
  <si>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</si>
  <si>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</si>
  <si>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</si>
  <si>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</si>
  <si>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</si>
  <si>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</si>
  <si>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</si>
  <si>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</si>
  <si>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</si>
  <si>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</si>
  <si>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</si>
  <si>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</si>
  <si>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</si>
  <si>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</si>
  <si>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</si>
  <si>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</si>
  <si>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</si>
  <si>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</si>
  <si>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</si>
  <si>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</si>
  <si>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</si>
  <si>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</si>
  <si>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</si>
  <si>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</si>
  <si>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</si>
  <si>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</si>
  <si>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</si>
  <si>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</si>
  <si>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</si>
  <si>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</si>
  <si>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</si>
  <si>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</si>
  <si>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</si>
  <si>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</si>
  <si>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</si>
  <si>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</si>
  <si>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</si>
  <si>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</si>
  <si>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</si>
  <si>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</si>
  <si>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</si>
  <si>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</si>
  <si>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</si>
  <si>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</si>
  <si>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</si>
  <si>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</si>
  <si>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</si>
  <si>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</si>
  <si>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</si>
  <si>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</si>
  <si>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</si>
  <si>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</si>
  <si>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</si>
  <si>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</si>
  <si>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</si>
  <si>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</si>
  <si>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</si>
  <si>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</si>
  <si>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</si>
  <si>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</si>
  <si>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</si>
  <si>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</si>
  <si>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</si>
  <si>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</si>
  <si>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</si>
  <si>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</si>
  <si>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</si>
  <si>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</si>
  <si>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</si>
  <si>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</si>
  <si>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</si>
  <si>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</si>
  <si>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</si>
  <si>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</si>
  <si>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</si>
  <si>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</si>
  <si>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</si>
  <si>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</si>
  <si>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</si>
  <si>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</si>
  <si>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</si>
  <si>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</si>
  <si>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</si>
  <si>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</si>
  <si>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</si>
  <si>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</si>
  <si>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</si>
  <si>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</si>
  <si>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</si>
  <si>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</si>
  <si>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</si>
  <si>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</si>
  <si>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</si>
  <si>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</si>
  <si>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</si>
  <si>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</si>
  <si>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</si>
  <si>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</si>
  <si>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</si>
  <si>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</si>
  <si>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</si>
  <si>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</si>
  <si>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</si>
  <si>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</si>
  <si>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</si>
  <si>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</si>
  <si>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</si>
  <si>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</si>
  <si>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</si>
  <si>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</si>
  <si>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</si>
  <si>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</si>
  <si>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</si>
  <si>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</si>
  <si>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</si>
  <si>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</si>
  <si>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</si>
  <si>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</si>
  <si>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</si>
  <si>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</si>
  <si>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</si>
  <si>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</si>
  <si>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</si>
  <si>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</si>
  <si>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</si>
  <si>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</si>
  <si>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</si>
  <si>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</si>
  <si>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</si>
  <si>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</si>
  <si>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</si>
  <si>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</si>
  <si>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</si>
  <si>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</si>
  <si>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</si>
  <si>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</si>
  <si>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</si>
  <si>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</si>
  <si>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</si>
  <si>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</si>
  <si>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</si>
  <si>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</si>
  <si>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</si>
  <si>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</si>
  <si>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</si>
  <si>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</si>
  <si>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</si>
  <si>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</si>
  <si>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</si>
  <si>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</si>
  <si>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</si>
  <si>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</si>
  <si>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</si>
  <si>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</si>
  <si>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</si>
  <si>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</si>
  <si>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</si>
  <si>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</si>
  <si>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</si>
  <si>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</si>
  <si>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</si>
  <si>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</si>
  <si>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</si>
  <si>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</si>
  <si>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</si>
  <si>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</si>
  <si>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</si>
  <si>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</si>
  <si>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</si>
  <si>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</si>
  <si>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</si>
  <si>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</si>
  <si>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</si>
  <si>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</si>
  <si>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</si>
  <si>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</si>
  <si>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</si>
  <si>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</si>
  <si>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</si>
  <si>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</si>
  <si>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</si>
  <si>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</si>
  <si>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</si>
  <si>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</si>
  <si>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</si>
  <si>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</si>
  <si>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</si>
  <si>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</si>
  <si>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</si>
  <si>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</si>
  <si>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</si>
  <si>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</si>
  <si>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</si>
  <si>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</si>
  <si>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</si>
  <si>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</si>
  <si>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NAV, Unit Price and Yield as at Week Ended January 23, 2026</t>
  </si>
  <si>
    <t>Week Ended January 23, 2026</t>
  </si>
  <si>
    <t>WEEKLY VALUATION REPORT OF COLLECTIVE INVESTMENT SCHEMES AS AT WEEK ENDED FRIDAY, JANUARY 30, 2026</t>
  </si>
  <si>
    <t>NAV, Unit Price and Yield as at Week Ended January 30, 2026</t>
  </si>
  <si>
    <t>NFEM RATE NG₦/US$ as at 30th January, 2026 = N1386.5532</t>
  </si>
  <si>
    <t>RT Briscoe Savings &amp; Investment Fund</t>
  </si>
  <si>
    <t>Week Ended 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</si>
</sst>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4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2" borderId="1" xfId="44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23,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97.343280758238819</c:v>
                </c:pt>
                <c:pt idx="1">
                  <c:v>5108.5181730498516</c:v>
                </c:pt>
                <c:pt idx="2">
                  <c:v>243.03531932412383</c:v>
                </c:pt>
                <c:pt idx="3">
                  <c:v>1915.2579413288515</c:v>
                </c:pt>
                <c:pt idx="4">
                  <c:v>505.30953393644558</c:v>
                </c:pt>
                <c:pt idx="5" formatCode="_-* #,##0.00_-;\-* #,##0.00_-;_-* &quot;-&quot;??_-;_-@_-">
                  <c:v>92.487511317429949</c:v>
                </c:pt>
                <c:pt idx="6">
                  <c:v>9.9695122362500008</c:v>
                </c:pt>
                <c:pt idx="7">
                  <c:v>84.21324483269693</c:v>
                </c:pt>
                <c:pt idx="8">
                  <c:v>19.31119483212818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30,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100.4494838932208</c:v>
                </c:pt>
                <c:pt idx="1">
                  <c:v>5168.017665961821</c:v>
                </c:pt>
                <c:pt idx="2">
                  <c:v>241.46382467087335</c:v>
                </c:pt>
                <c:pt idx="3">
                  <c:v>1879.3408169920879</c:v>
                </c:pt>
                <c:pt idx="4">
                  <c:v>503.44655279328356</c:v>
                </c:pt>
                <c:pt idx="5" formatCode="_-* #,##0.00_-;\-* #,##0.00_-;_-* &quot;-&quot;??_-;_-@_-">
                  <c:v>93.467466492254758</c:v>
                </c:pt>
                <c:pt idx="6">
                  <c:v>9.6720575990099995</c:v>
                </c:pt>
                <c:pt idx="7">
                  <c:v>85.523530471136795</c:v>
                </c:pt>
                <c:pt idx="8">
                  <c:v>19.390708322203178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30TH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30-Jan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9672057599.0100002</c:v>
                </c:pt>
                <c:pt idx="1">
                  <c:v>19390708322.203178</c:v>
                </c:pt>
                <c:pt idx="2">
                  <c:v>100449483893.22079</c:v>
                </c:pt>
                <c:pt idx="3" formatCode="_-* #,##0.00_-;\-* #,##0.00_-;_-* &quot;-&quot;??_-;_-@_-">
                  <c:v>85523530471.136795</c:v>
                </c:pt>
                <c:pt idx="4">
                  <c:v>93467466492.254761</c:v>
                </c:pt>
                <c:pt idx="5">
                  <c:v>503446552793.28357</c:v>
                </c:pt>
                <c:pt idx="6">
                  <c:v>241463824670.87335</c:v>
                </c:pt>
                <c:pt idx="7">
                  <c:v>1879340816992.0879</c:v>
                </c:pt>
                <c:pt idx="8">
                  <c:v>5168017665961.8213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46003</c:v>
                </c:pt>
                <c:pt idx="1">
                  <c:v>46010</c:v>
                </c:pt>
                <c:pt idx="2">
                  <c:v>46015</c:v>
                </c:pt>
                <c:pt idx="3">
                  <c:v>46024</c:v>
                </c:pt>
                <c:pt idx="4">
                  <c:v>46031</c:v>
                </c:pt>
                <c:pt idx="5">
                  <c:v>46038</c:v>
                </c:pt>
                <c:pt idx="6">
                  <c:v>46045</c:v>
                </c:pt>
                <c:pt idx="7">
                  <c:v>46052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7522.4259502457116</c:v>
                </c:pt>
                <c:pt idx="1">
                  <c:v>7603.1851114640458</c:v>
                </c:pt>
                <c:pt idx="2">
                  <c:v>7672.435028174913</c:v>
                </c:pt>
                <c:pt idx="3">
                  <c:v>7797.3820775891299</c:v>
                </c:pt>
                <c:pt idx="4">
                  <c:v>7922.6135885840922</c:v>
                </c:pt>
                <c:pt idx="5">
                  <c:v>8029.3427073122812</c:v>
                </c:pt>
                <c:pt idx="6">
                  <c:v>8075.4457116160165</c:v>
                </c:pt>
                <c:pt idx="7">
                  <c:v>8100.7721071958904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46003</c:v>
                </c:pt>
                <c:pt idx="1">
                  <c:v>46010</c:v>
                </c:pt>
                <c:pt idx="2">
                  <c:v>46015</c:v>
                </c:pt>
                <c:pt idx="3">
                  <c:v>46024</c:v>
                </c:pt>
                <c:pt idx="4">
                  <c:v>46031</c:v>
                </c:pt>
                <c:pt idx="5">
                  <c:v>46038</c:v>
                </c:pt>
                <c:pt idx="6">
                  <c:v>46045</c:v>
                </c:pt>
                <c:pt idx="7">
                  <c:v>46052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17.682838809310002</c:v>
                </c:pt>
                <c:pt idx="1">
                  <c:v>17.94056485019</c:v>
                </c:pt>
                <c:pt idx="2">
                  <c:v>18.082167415780003</c:v>
                </c:pt>
                <c:pt idx="3">
                  <c:v>18.294657025999999</c:v>
                </c:pt>
                <c:pt idx="4">
                  <c:v>18.629129376529999</c:v>
                </c:pt>
                <c:pt idx="5">
                  <c:v>19.377061801090001</c:v>
                </c:pt>
                <c:pt idx="6">
                  <c:v>19.447744548879999</c:v>
                </c:pt>
                <c:pt idx="7">
                  <c:v>19.641137987049994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1" t="s">
        <v>332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5" ht="14.4" customHeight="1">
      <c r="A2" s="25"/>
      <c r="B2" s="26"/>
      <c r="C2" s="27"/>
      <c r="D2" s="192" t="s">
        <v>330</v>
      </c>
      <c r="E2" s="192"/>
      <c r="F2" s="192"/>
      <c r="G2" s="192"/>
      <c r="H2" s="192"/>
      <c r="I2" s="192"/>
      <c r="J2" s="192"/>
      <c r="K2" s="192" t="s">
        <v>333</v>
      </c>
      <c r="L2" s="192"/>
      <c r="M2" s="192"/>
      <c r="N2" s="192"/>
      <c r="O2" s="192"/>
      <c r="P2" s="192"/>
      <c r="Q2" s="192"/>
      <c r="R2" s="192" t="s">
        <v>0</v>
      </c>
      <c r="S2" s="192"/>
      <c r="T2" s="192"/>
      <c r="U2" s="192" t="s">
        <v>1</v>
      </c>
      <c r="V2" s="192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1:25" ht="15" customHeight="1">
      <c r="A5" s="189" t="s">
        <v>18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</row>
    <row r="6" spans="1:25">
      <c r="A6" s="154">
        <v>1</v>
      </c>
      <c r="B6" s="149" t="s">
        <v>19</v>
      </c>
      <c r="C6" s="148" t="s">
        <v>20</v>
      </c>
      <c r="D6" s="146">
        <v>5828371503.6800003</v>
      </c>
      <c r="E6" s="144">
        <f t="shared" ref="E6:E24" si="0">(D6/$D$26)</f>
        <v>5.987441000838372E-2</v>
      </c>
      <c r="F6" s="146">
        <v>661.56659999999999</v>
      </c>
      <c r="G6" s="146">
        <v>669.98069999999996</v>
      </c>
      <c r="H6" s="38">
        <v>1695</v>
      </c>
      <c r="I6" s="59">
        <v>1.84E-2</v>
      </c>
      <c r="J6" s="59">
        <v>6.8900000000000003E-2</v>
      </c>
      <c r="K6" s="146">
        <v>6118536896.4300003</v>
      </c>
      <c r="L6" s="144">
        <f t="shared" ref="L6:L25" si="1">(K6/$K$26)</f>
        <v>6.0911581217620699E-2</v>
      </c>
      <c r="M6" s="146">
        <v>660.79489999999998</v>
      </c>
      <c r="N6" s="146">
        <v>668.84389999999996</v>
      </c>
      <c r="O6" s="38">
        <v>1695</v>
      </c>
      <c r="P6" s="59">
        <v>-1.1999999999999999E-3</v>
      </c>
      <c r="Q6" s="59">
        <v>6.7599999999999993E-2</v>
      </c>
      <c r="R6" s="64">
        <f>((K6-D6)/D6)</f>
        <v>4.9784985834686622E-2</v>
      </c>
      <c r="S6" s="64">
        <f>((N6-G6)/G6)</f>
        <v>-1.6967652948808732E-3</v>
      </c>
      <c r="T6" s="64">
        <f>((O6-H6)/H6)</f>
        <v>0</v>
      </c>
      <c r="U6" s="64">
        <f>P6-I6</f>
        <v>-1.9599999999999999E-2</v>
      </c>
      <c r="V6" s="65">
        <f>Q6-J6</f>
        <v>-1.3000000000000095E-3</v>
      </c>
      <c r="W6" s="147"/>
    </row>
    <row r="7" spans="1:25">
      <c r="A7" s="154">
        <v>2</v>
      </c>
      <c r="B7" s="149" t="s">
        <v>21</v>
      </c>
      <c r="C7" s="148" t="s">
        <v>22</v>
      </c>
      <c r="D7" s="34">
        <v>1451955838.3599999</v>
      </c>
      <c r="E7" s="35">
        <f t="shared" si="0"/>
        <v>1.4915830112260841E-2</v>
      </c>
      <c r="F7" s="34">
        <v>451.35890000000001</v>
      </c>
      <c r="G7" s="34">
        <v>456.7509</v>
      </c>
      <c r="H7" s="36">
        <v>648</v>
      </c>
      <c r="I7" s="58">
        <v>4.75E-4</v>
      </c>
      <c r="J7" s="58">
        <v>0.1018</v>
      </c>
      <c r="K7" s="34">
        <v>1388116073.7</v>
      </c>
      <c r="L7" s="35">
        <f t="shared" si="1"/>
        <v>1.381904634946245E-2</v>
      </c>
      <c r="M7" s="34">
        <v>449.8809</v>
      </c>
      <c r="N7" s="34">
        <v>455.47719999999998</v>
      </c>
      <c r="O7" s="36">
        <v>653</v>
      </c>
      <c r="P7" s="58">
        <v>8.5499999999999997E-4</v>
      </c>
      <c r="Q7" s="58">
        <v>9.8199999999999996E-2</v>
      </c>
      <c r="R7" s="63">
        <f t="shared" ref="R7:R26" si="2">((K7-D7)/D7)</f>
        <v>-4.3968117330694827E-2</v>
      </c>
      <c r="S7" s="63">
        <f t="shared" ref="S7:S26" si="3">((N7-G7)/G7)</f>
        <v>-2.7886097214039848E-3</v>
      </c>
      <c r="T7" s="63">
        <f t="shared" ref="T7:T26" si="4">((O7-H7)/H7)</f>
        <v>7.716049382716049E-3</v>
      </c>
      <c r="U7" s="64">
        <f t="shared" ref="U7:U26" si="5">P7-I7</f>
        <v>3.7999999999999997E-4</v>
      </c>
      <c r="V7" s="65">
        <f t="shared" ref="V7:V26" si="6">Q7-J7</f>
        <v>-3.600000000000006E-3</v>
      </c>
    </row>
    <row r="8" spans="1:25">
      <c r="A8" s="154">
        <v>3</v>
      </c>
      <c r="B8" s="149" t="s">
        <v>23</v>
      </c>
      <c r="C8" s="148" t="s">
        <v>24</v>
      </c>
      <c r="D8" s="34">
        <v>8800440345.0300007</v>
      </c>
      <c r="E8" s="35">
        <f t="shared" si="0"/>
        <v>9.0406243517585166E-2</v>
      </c>
      <c r="F8" s="34">
        <v>56.005299999999998</v>
      </c>
      <c r="G8" s="37">
        <v>57.693899999999999</v>
      </c>
      <c r="H8" s="38">
        <v>8773</v>
      </c>
      <c r="I8" s="59">
        <v>-0.1167</v>
      </c>
      <c r="J8" s="59">
        <v>0.91139999999999999</v>
      </c>
      <c r="K8" s="34">
        <v>8873622931.1299992</v>
      </c>
      <c r="L8" s="35">
        <f t="shared" si="1"/>
        <v>8.8339159020097952E-2</v>
      </c>
      <c r="M8" s="34">
        <v>56.0092</v>
      </c>
      <c r="N8" s="37">
        <v>57.698</v>
      </c>
      <c r="O8" s="38">
        <v>8810</v>
      </c>
      <c r="P8" s="59">
        <v>3.7000000000000002E-3</v>
      </c>
      <c r="Q8" s="59">
        <v>0.6996</v>
      </c>
      <c r="R8" s="63">
        <f t="shared" si="2"/>
        <v>8.3157868505213985E-3</v>
      </c>
      <c r="S8" s="63">
        <f t="shared" si="3"/>
        <v>7.1064705280820029E-5</v>
      </c>
      <c r="T8" s="63">
        <f t="shared" si="4"/>
        <v>4.2174854667730534E-3</v>
      </c>
      <c r="U8" s="64">
        <f t="shared" si="5"/>
        <v>0.12039999999999999</v>
      </c>
      <c r="V8" s="65">
        <f t="shared" si="6"/>
        <v>-0.21179999999999999</v>
      </c>
      <c r="X8" s="66"/>
      <c r="Y8" s="66"/>
    </row>
    <row r="9" spans="1:25">
      <c r="A9" s="154">
        <v>4</v>
      </c>
      <c r="B9" s="149" t="s">
        <v>25</v>
      </c>
      <c r="C9" s="148" t="s">
        <v>26</v>
      </c>
      <c r="D9" s="34">
        <v>1210917430.1600001</v>
      </c>
      <c r="E9" s="35">
        <f t="shared" si="0"/>
        <v>1.2439661173609172E-2</v>
      </c>
      <c r="F9" s="34">
        <v>266.32240000000002</v>
      </c>
      <c r="G9" s="34">
        <v>266.32240000000002</v>
      </c>
      <c r="H9" s="36">
        <v>2316</v>
      </c>
      <c r="I9" s="58">
        <v>-9.4999999999999998E-3</v>
      </c>
      <c r="J9" s="58">
        <v>6.4199999999999993E-2</v>
      </c>
      <c r="K9" s="34">
        <v>1255156909.9300001</v>
      </c>
      <c r="L9" s="35">
        <f t="shared" si="1"/>
        <v>1.2495404269714809E-2</v>
      </c>
      <c r="M9" s="34">
        <v>267.23930000000001</v>
      </c>
      <c r="N9" s="34">
        <v>267.23930000000001</v>
      </c>
      <c r="O9" s="36">
        <v>2319</v>
      </c>
      <c r="P9" s="58">
        <v>3.3999999999999998E-3</v>
      </c>
      <c r="Q9" s="58">
        <v>6.7799999999999999E-2</v>
      </c>
      <c r="R9" s="63">
        <f t="shared" si="2"/>
        <v>3.6533853314965135E-2</v>
      </c>
      <c r="S9" s="63">
        <f t="shared" si="3"/>
        <v>3.4428196802071408E-3</v>
      </c>
      <c r="T9" s="63">
        <f t="shared" si="4"/>
        <v>1.2953367875647669E-3</v>
      </c>
      <c r="U9" s="64">
        <f t="shared" si="5"/>
        <v>1.29E-2</v>
      </c>
      <c r="V9" s="65">
        <f t="shared" si="6"/>
        <v>3.600000000000006E-3</v>
      </c>
    </row>
    <row r="10" spans="1:25">
      <c r="A10" s="154">
        <v>5</v>
      </c>
      <c r="B10" s="149" t="s">
        <v>27</v>
      </c>
      <c r="C10" s="148" t="s">
        <v>28</v>
      </c>
      <c r="D10" s="34">
        <v>3398514261.5599999</v>
      </c>
      <c r="E10" s="35">
        <f t="shared" si="0"/>
        <v>3.4912674352948196E-2</v>
      </c>
      <c r="F10" s="34">
        <v>1.9798</v>
      </c>
      <c r="G10" s="34">
        <v>2.0013999999999998</v>
      </c>
      <c r="H10" s="36">
        <v>1229</v>
      </c>
      <c r="I10" s="58">
        <v>3.8999999999999998E-3</v>
      </c>
      <c r="J10" s="58">
        <v>6.9400000000000003E-2</v>
      </c>
      <c r="K10" s="34">
        <v>3501813001.8299999</v>
      </c>
      <c r="L10" s="35">
        <f t="shared" si="1"/>
        <v>3.4861433489817392E-2</v>
      </c>
      <c r="M10" s="34">
        <v>1.9798</v>
      </c>
      <c r="N10" s="34">
        <v>2.0013999999999998</v>
      </c>
      <c r="O10" s="36">
        <v>1268</v>
      </c>
      <c r="P10" s="58">
        <v>2.9999999999999997E-4</v>
      </c>
      <c r="Q10" s="58">
        <v>6.9400000000000003E-2</v>
      </c>
      <c r="R10" s="63">
        <f t="shared" si="2"/>
        <v>3.0395264612655581E-2</v>
      </c>
      <c r="S10" s="63">
        <f t="shared" si="3"/>
        <v>0</v>
      </c>
      <c r="T10" s="63">
        <f t="shared" si="4"/>
        <v>3.173311635475997E-2</v>
      </c>
      <c r="U10" s="64">
        <f t="shared" si="5"/>
        <v>-3.5999999999999999E-3</v>
      </c>
      <c r="V10" s="65">
        <f t="shared" si="6"/>
        <v>0</v>
      </c>
    </row>
    <row r="11" spans="1:25">
      <c r="A11" s="154">
        <v>6</v>
      </c>
      <c r="B11" s="149" t="s">
        <v>29</v>
      </c>
      <c r="C11" s="148" t="s">
        <v>30</v>
      </c>
      <c r="D11" s="39">
        <v>333111033.44999999</v>
      </c>
      <c r="E11" s="35">
        <f t="shared" si="0"/>
        <v>3.4220239019610663E-3</v>
      </c>
      <c r="F11" s="34">
        <v>226.9941</v>
      </c>
      <c r="G11" s="34">
        <v>228.3211</v>
      </c>
      <c r="H11" s="38">
        <v>120</v>
      </c>
      <c r="I11" s="59">
        <v>4.08E-4</v>
      </c>
      <c r="J11" s="59">
        <v>6.0400000000000002E-2</v>
      </c>
      <c r="K11" s="39">
        <v>389044958.72000003</v>
      </c>
      <c r="L11" s="35">
        <f t="shared" si="1"/>
        <v>3.8730408922116539E-3</v>
      </c>
      <c r="M11" s="34">
        <v>227.13939999999999</v>
      </c>
      <c r="N11" s="34">
        <v>228.2731</v>
      </c>
      <c r="O11" s="38">
        <v>122</v>
      </c>
      <c r="P11" s="59">
        <v>1.388E-2</v>
      </c>
      <c r="Q11" s="59">
        <v>6.1899999999999997E-2</v>
      </c>
      <c r="R11" s="63">
        <f t="shared" si="2"/>
        <v>0.16791375743606443</v>
      </c>
      <c r="S11" s="63">
        <f t="shared" si="3"/>
        <v>-2.102302415326565E-4</v>
      </c>
      <c r="T11" s="63">
        <f t="shared" si="4"/>
        <v>1.6666666666666666E-2</v>
      </c>
      <c r="U11" s="64">
        <f t="shared" si="5"/>
        <v>1.3472E-2</v>
      </c>
      <c r="V11" s="65">
        <f t="shared" si="6"/>
        <v>1.4999999999999944E-3</v>
      </c>
    </row>
    <row r="12" spans="1:25">
      <c r="A12" s="154">
        <v>7</v>
      </c>
      <c r="B12" s="149" t="s">
        <v>31</v>
      </c>
      <c r="C12" s="148" t="s">
        <v>32</v>
      </c>
      <c r="D12" s="34">
        <v>3132594208.4000001</v>
      </c>
      <c r="E12" s="35">
        <f t="shared" si="0"/>
        <v>3.2180898198614159E-2</v>
      </c>
      <c r="F12" s="34">
        <v>476.93</v>
      </c>
      <c r="G12" s="34">
        <v>482.63</v>
      </c>
      <c r="H12" s="38">
        <v>1906</v>
      </c>
      <c r="I12" s="59">
        <v>-5.4000000000000003E-3</v>
      </c>
      <c r="J12" s="59">
        <v>5.21E-2</v>
      </c>
      <c r="K12" s="34">
        <v>3318752256.9200001</v>
      </c>
      <c r="L12" s="35">
        <f t="shared" si="1"/>
        <v>3.3039017507027514E-2</v>
      </c>
      <c r="M12" s="34">
        <v>480.25</v>
      </c>
      <c r="N12" s="34">
        <v>486.52</v>
      </c>
      <c r="O12" s="38">
        <v>1918</v>
      </c>
      <c r="P12" s="59">
        <v>7.4999999999999997E-3</v>
      </c>
      <c r="Q12" s="59">
        <v>5.9400000000000001E-2</v>
      </c>
      <c r="R12" s="63">
        <f t="shared" si="2"/>
        <v>5.9426161237488159E-2</v>
      </c>
      <c r="S12" s="63">
        <f t="shared" si="3"/>
        <v>8.0600045583573057E-3</v>
      </c>
      <c r="T12" s="63">
        <f t="shared" si="4"/>
        <v>6.2959076600209865E-3</v>
      </c>
      <c r="U12" s="64">
        <f t="shared" si="5"/>
        <v>1.29E-2</v>
      </c>
      <c r="V12" s="65">
        <f t="shared" si="6"/>
        <v>7.3000000000000009E-3</v>
      </c>
    </row>
    <row r="13" spans="1:25">
      <c r="A13" s="154">
        <v>8</v>
      </c>
      <c r="B13" s="149" t="s">
        <v>33</v>
      </c>
      <c r="C13" s="148" t="s">
        <v>34</v>
      </c>
      <c r="D13" s="40">
        <v>535483420.44</v>
      </c>
      <c r="E13" s="35">
        <f t="shared" si="0"/>
        <v>5.5009797930472819E-3</v>
      </c>
      <c r="F13" s="34">
        <v>266.20999999999998</v>
      </c>
      <c r="G13" s="34">
        <v>278.04000000000002</v>
      </c>
      <c r="H13" s="36">
        <v>2469</v>
      </c>
      <c r="I13" s="58">
        <v>3.2899999999999999E-2</v>
      </c>
      <c r="J13" s="58">
        <v>0.25700000000000001</v>
      </c>
      <c r="K13" s="40">
        <v>528235658.05000001</v>
      </c>
      <c r="L13" s="35">
        <f t="shared" si="1"/>
        <v>5.2587194834323083E-3</v>
      </c>
      <c r="M13" s="34">
        <v>263.83999999999997</v>
      </c>
      <c r="N13" s="34">
        <v>275.75</v>
      </c>
      <c r="O13" s="36">
        <v>2469</v>
      </c>
      <c r="P13" s="58">
        <v>3.2899999999999999E-2</v>
      </c>
      <c r="Q13" s="58">
        <v>0.25700000000000001</v>
      </c>
      <c r="R13" s="63">
        <f t="shared" si="2"/>
        <v>-1.3534989344851407E-2</v>
      </c>
      <c r="S13" s="63">
        <f t="shared" si="3"/>
        <v>-8.2362250035966783E-3</v>
      </c>
      <c r="T13" s="63">
        <f t="shared" si="4"/>
        <v>0</v>
      </c>
      <c r="U13" s="64">
        <f t="shared" si="5"/>
        <v>0</v>
      </c>
      <c r="V13" s="65">
        <f t="shared" si="6"/>
        <v>0</v>
      </c>
    </row>
    <row r="14" spans="1:25">
      <c r="A14" s="154">
        <v>9</v>
      </c>
      <c r="B14" s="149" t="s">
        <v>35</v>
      </c>
      <c r="C14" s="148" t="s">
        <v>36</v>
      </c>
      <c r="D14" s="39">
        <v>100454650.18880001</v>
      </c>
      <c r="E14" s="35">
        <f t="shared" si="0"/>
        <v>1.0319628576962447E-3</v>
      </c>
      <c r="F14" s="34">
        <v>364.16430000000003</v>
      </c>
      <c r="G14" s="34">
        <v>374.52019999999999</v>
      </c>
      <c r="H14" s="36">
        <v>29</v>
      </c>
      <c r="I14" s="58">
        <v>4.3700000000000003E-2</v>
      </c>
      <c r="J14" s="58">
        <v>0.64549999999999996</v>
      </c>
      <c r="K14" s="39">
        <v>99118845.300799996</v>
      </c>
      <c r="L14" s="35">
        <f t="shared" si="1"/>
        <v>9.8675315650366825E-4</v>
      </c>
      <c r="M14" s="34">
        <v>357.12099999999998</v>
      </c>
      <c r="N14" s="34">
        <v>367.11349999999999</v>
      </c>
      <c r="O14" s="36">
        <v>29</v>
      </c>
      <c r="P14" s="58">
        <v>-1.9599999999999999E-2</v>
      </c>
      <c r="Q14" s="58">
        <v>0.61319999999999997</v>
      </c>
      <c r="R14" s="63">
        <f t="shared" si="2"/>
        <v>-1.3297591355795139E-2</v>
      </c>
      <c r="S14" s="63">
        <f t="shared" si="3"/>
        <v>-1.9776503376853907E-2</v>
      </c>
      <c r="T14" s="63">
        <f t="shared" si="4"/>
        <v>0</v>
      </c>
      <c r="U14" s="64">
        <f t="shared" si="5"/>
        <v>-6.3299999999999995E-2</v>
      </c>
      <c r="V14" s="65">
        <f t="shared" si="6"/>
        <v>-3.2299999999999995E-2</v>
      </c>
    </row>
    <row r="15" spans="1:25" ht="14.25" customHeight="1">
      <c r="A15" s="154">
        <v>10</v>
      </c>
      <c r="B15" s="149" t="s">
        <v>37</v>
      </c>
      <c r="C15" s="148" t="s">
        <v>38</v>
      </c>
      <c r="D15" s="40">
        <v>5405827092.6700001</v>
      </c>
      <c r="E15" s="35">
        <f t="shared" si="0"/>
        <v>5.5533643930656906E-2</v>
      </c>
      <c r="F15" s="34">
        <v>4.2386650000000001</v>
      </c>
      <c r="G15" s="34">
        <v>4.2689190000000004</v>
      </c>
      <c r="H15" s="36">
        <v>4256</v>
      </c>
      <c r="I15" s="58">
        <v>-1.29E-2</v>
      </c>
      <c r="J15" s="58">
        <v>7.9299999999999995E-2</v>
      </c>
      <c r="K15" s="40">
        <v>5855833926.3299999</v>
      </c>
      <c r="L15" s="35">
        <f t="shared" si="1"/>
        <v>5.8296306754097742E-2</v>
      </c>
      <c r="M15" s="34">
        <v>4.2959519999999998</v>
      </c>
      <c r="N15" s="34">
        <v>4.3235010000000003</v>
      </c>
      <c r="O15" s="36">
        <v>4553</v>
      </c>
      <c r="P15" s="58">
        <v>4.0000000000000002E-4</v>
      </c>
      <c r="Q15" s="58">
        <v>7.9799999999999996E-2</v>
      </c>
      <c r="R15" s="63">
        <f t="shared" si="2"/>
        <v>8.3244770124109968E-2</v>
      </c>
      <c r="S15" s="63">
        <f t="shared" si="3"/>
        <v>1.2785906689726347E-2</v>
      </c>
      <c r="T15" s="63">
        <f t="shared" si="4"/>
        <v>6.978383458646617E-2</v>
      </c>
      <c r="U15" s="64">
        <f t="shared" si="5"/>
        <v>1.3299999999999999E-2</v>
      </c>
      <c r="V15" s="65">
        <f t="shared" si="6"/>
        <v>5.0000000000000044E-4</v>
      </c>
    </row>
    <row r="16" spans="1:25" ht="14.25" customHeight="1">
      <c r="A16" s="156">
        <v>11</v>
      </c>
      <c r="B16" s="149" t="s">
        <v>39</v>
      </c>
      <c r="C16" s="148" t="s">
        <v>40</v>
      </c>
      <c r="D16" s="40">
        <v>149570796.13999999</v>
      </c>
      <c r="E16" s="35">
        <f t="shared" si="0"/>
        <v>1.5365292290843691E-3</v>
      </c>
      <c r="F16" s="34">
        <v>29.65</v>
      </c>
      <c r="G16" s="34">
        <v>29.94</v>
      </c>
      <c r="H16" s="36">
        <v>110</v>
      </c>
      <c r="I16" s="58">
        <v>0</v>
      </c>
      <c r="J16" s="58">
        <v>0.06</v>
      </c>
      <c r="K16" s="40">
        <v>294312242.44999999</v>
      </c>
      <c r="L16" s="35">
        <f t="shared" si="1"/>
        <v>2.9299527587703486E-3</v>
      </c>
      <c r="M16" s="34">
        <v>29.64</v>
      </c>
      <c r="N16" s="34">
        <v>29.89</v>
      </c>
      <c r="O16" s="36">
        <v>110</v>
      </c>
      <c r="P16" s="58">
        <v>0</v>
      </c>
      <c r="Q16" s="58">
        <v>0.13</v>
      </c>
      <c r="R16" s="63">
        <f t="shared" ref="R16" si="7">((K16-D16)/D16)</f>
        <v>0.96771194675276273</v>
      </c>
      <c r="S16" s="63">
        <f t="shared" ref="S16" si="8">((N16-G16)/G16)</f>
        <v>-1.6700066800267438E-3</v>
      </c>
      <c r="T16" s="63">
        <f t="shared" ref="T16" si="9">((O16-H16)/H16)</f>
        <v>0</v>
      </c>
      <c r="U16" s="64">
        <f t="shared" ref="U16" si="10">P16-I16</f>
        <v>0</v>
      </c>
      <c r="V16" s="65">
        <f t="shared" ref="V16" si="11">Q16-J16</f>
        <v>7.0000000000000007E-2</v>
      </c>
    </row>
    <row r="17" spans="1:22">
      <c r="A17" s="154">
        <v>12</v>
      </c>
      <c r="B17" s="149" t="s">
        <v>41</v>
      </c>
      <c r="C17" s="148" t="s">
        <v>42</v>
      </c>
      <c r="D17" s="41">
        <v>2916303176.0999999</v>
      </c>
      <c r="E17" s="35">
        <f t="shared" si="0"/>
        <v>2.9958957139968528E-2</v>
      </c>
      <c r="F17" s="34">
        <v>5.94</v>
      </c>
      <c r="G17" s="34">
        <v>6.07</v>
      </c>
      <c r="H17" s="36">
        <v>3716</v>
      </c>
      <c r="I17" s="58">
        <v>0.13539999999999999</v>
      </c>
      <c r="J17" s="58">
        <v>7.3099999999999998E-2</v>
      </c>
      <c r="K17" s="41">
        <v>2938155225.6900001</v>
      </c>
      <c r="L17" s="35">
        <f t="shared" si="1"/>
        <v>2.9250077868128225E-2</v>
      </c>
      <c r="M17" s="34">
        <v>5.93</v>
      </c>
      <c r="N17" s="34">
        <v>6.06</v>
      </c>
      <c r="O17" s="36">
        <v>3726</v>
      </c>
      <c r="P17" s="58">
        <v>-1.14E-2</v>
      </c>
      <c r="Q17" s="58">
        <v>7.2300000000000003E-2</v>
      </c>
      <c r="R17" s="63">
        <f t="shared" si="2"/>
        <v>7.4930651137660887E-3</v>
      </c>
      <c r="S17" s="63">
        <f t="shared" si="3"/>
        <v>-1.6474464579902264E-3</v>
      </c>
      <c r="T17" s="63">
        <f t="shared" si="4"/>
        <v>2.691065662002153E-3</v>
      </c>
      <c r="U17" s="64">
        <f t="shared" si="5"/>
        <v>-0.14679999999999999</v>
      </c>
      <c r="V17" s="65">
        <f t="shared" si="6"/>
        <v>-7.9999999999999516E-4</v>
      </c>
    </row>
    <row r="18" spans="1:22">
      <c r="A18" s="154">
        <v>13</v>
      </c>
      <c r="B18" s="149" t="s">
        <v>43</v>
      </c>
      <c r="C18" s="148" t="s">
        <v>44</v>
      </c>
      <c r="D18" s="34">
        <v>4437200996.54</v>
      </c>
      <c r="E18" s="35">
        <f t="shared" si="0"/>
        <v>4.5583022905917932E-2</v>
      </c>
      <c r="F18" s="34">
        <v>34.483077999999999</v>
      </c>
      <c r="G18" s="34">
        <v>34.606428999999999</v>
      </c>
      <c r="H18" s="36">
        <v>1291</v>
      </c>
      <c r="I18" s="58">
        <v>-2.53E-2</v>
      </c>
      <c r="J18" s="58">
        <v>6.0100000000000001E-2</v>
      </c>
      <c r="K18" s="34">
        <v>4492692746.1300001</v>
      </c>
      <c r="L18" s="35">
        <f t="shared" si="1"/>
        <v>4.4725891781642158E-2</v>
      </c>
      <c r="M18" s="34">
        <v>34.350700000000003</v>
      </c>
      <c r="N18" s="34">
        <v>34.420720000000003</v>
      </c>
      <c r="O18" s="36">
        <v>1369</v>
      </c>
      <c r="P18" s="58">
        <v>-3.8E-3</v>
      </c>
      <c r="Q18" s="58">
        <v>5.6000000000000001E-2</v>
      </c>
      <c r="R18" s="63">
        <f t="shared" si="2"/>
        <v>1.2506025675481232E-2</v>
      </c>
      <c r="S18" s="63">
        <f t="shared" si="3"/>
        <v>-5.3663150277653811E-3</v>
      </c>
      <c r="T18" s="63">
        <f t="shared" si="4"/>
        <v>6.0418280402788536E-2</v>
      </c>
      <c r="U18" s="64">
        <f t="shared" si="5"/>
        <v>2.1499999999999998E-2</v>
      </c>
      <c r="V18" s="65">
        <f t="shared" si="6"/>
        <v>-4.0999999999999995E-3</v>
      </c>
    </row>
    <row r="19" spans="1:22">
      <c r="A19" s="154">
        <v>14</v>
      </c>
      <c r="B19" s="149" t="s">
        <v>45</v>
      </c>
      <c r="C19" s="148" t="s">
        <v>46</v>
      </c>
      <c r="D19" s="34">
        <v>191917279.11000001</v>
      </c>
      <c r="E19" s="35">
        <f t="shared" si="0"/>
        <v>1.9715513758637804E-3</v>
      </c>
      <c r="F19" s="34">
        <v>2.0699999999999998</v>
      </c>
      <c r="G19" s="34">
        <v>2.15</v>
      </c>
      <c r="H19" s="36">
        <v>25</v>
      </c>
      <c r="I19" s="58">
        <v>-1.17E-2</v>
      </c>
      <c r="J19" s="58">
        <v>4.1999999999999997E-3</v>
      </c>
      <c r="K19" s="34">
        <v>192407642.92999998</v>
      </c>
      <c r="L19" s="35">
        <f t="shared" si="1"/>
        <v>1.9154667149363553E-3</v>
      </c>
      <c r="M19" s="34">
        <v>2.0780120000000002</v>
      </c>
      <c r="N19" s="34">
        <v>2.156787</v>
      </c>
      <c r="O19" s="36">
        <v>25</v>
      </c>
      <c r="P19" s="58">
        <v>3.0999999999999999E-3</v>
      </c>
      <c r="Q19" s="58">
        <v>6.7000000000000002E-3</v>
      </c>
      <c r="R19" s="63">
        <f t="shared" si="2"/>
        <v>2.5550790542361967E-3</v>
      </c>
      <c r="S19" s="63">
        <f t="shared" si="3"/>
        <v>3.1567441860465575E-3</v>
      </c>
      <c r="T19" s="63">
        <f t="shared" si="4"/>
        <v>0</v>
      </c>
      <c r="U19" s="64">
        <f t="shared" si="5"/>
        <v>1.4800000000000001E-2</v>
      </c>
      <c r="V19" s="65">
        <f t="shared" si="6"/>
        <v>2.5000000000000005E-3</v>
      </c>
    </row>
    <row r="20" spans="1:22">
      <c r="A20" s="154">
        <v>15</v>
      </c>
      <c r="B20" s="149" t="s">
        <v>47</v>
      </c>
      <c r="C20" s="148" t="s">
        <v>48</v>
      </c>
      <c r="D20" s="142">
        <v>9218416959.9799995</v>
      </c>
      <c r="E20" s="35">
        <f t="shared" si="0"/>
        <v>9.4700084979412236E-2</v>
      </c>
      <c r="F20" s="34">
        <v>52.03</v>
      </c>
      <c r="G20" s="34">
        <v>52.1</v>
      </c>
      <c r="H20" s="36">
        <v>14246</v>
      </c>
      <c r="I20" s="58">
        <v>-6.3E-3</v>
      </c>
      <c r="J20" s="58">
        <v>9.6199999999999994E-2</v>
      </c>
      <c r="K20" s="142">
        <v>9755116008.9500008</v>
      </c>
      <c r="L20" s="35">
        <f t="shared" si="1"/>
        <v>9.7114645400466423E-2</v>
      </c>
      <c r="M20" s="34">
        <v>52.17</v>
      </c>
      <c r="N20" s="34">
        <v>52.27</v>
      </c>
      <c r="O20" s="36">
        <v>14845</v>
      </c>
      <c r="P20" s="58">
        <v>3.0999999999999999E-3</v>
      </c>
      <c r="Q20" s="58">
        <v>9.9299999999999999E-2</v>
      </c>
      <c r="R20" s="63">
        <f t="shared" si="2"/>
        <v>5.8220305210751243E-2</v>
      </c>
      <c r="S20" s="63">
        <f t="shared" si="3"/>
        <v>3.2629558541267122E-3</v>
      </c>
      <c r="T20" s="63">
        <f t="shared" si="4"/>
        <v>4.2046890355187418E-2</v>
      </c>
      <c r="U20" s="64">
        <f t="shared" si="5"/>
        <v>9.4000000000000004E-3</v>
      </c>
      <c r="V20" s="65">
        <f t="shared" si="6"/>
        <v>3.1000000000000055E-3</v>
      </c>
    </row>
    <row r="21" spans="1:22" ht="12.75" customHeight="1">
      <c r="A21" s="154">
        <v>16</v>
      </c>
      <c r="B21" s="149" t="s">
        <v>49</v>
      </c>
      <c r="C21" s="148" t="s">
        <v>50</v>
      </c>
      <c r="D21" s="34">
        <v>1876867155.3399999</v>
      </c>
      <c r="E21" s="35">
        <f t="shared" si="0"/>
        <v>1.9280911232089824E-2</v>
      </c>
      <c r="F21" s="34">
        <v>13370.45</v>
      </c>
      <c r="G21" s="34">
        <v>13534.52</v>
      </c>
      <c r="H21" s="36">
        <v>40</v>
      </c>
      <c r="I21" s="58">
        <v>-6.6E-3</v>
      </c>
      <c r="J21" s="58">
        <v>5.2299999999999999E-2</v>
      </c>
      <c r="K21" s="34">
        <v>1969900447.8</v>
      </c>
      <c r="L21" s="35">
        <f t="shared" si="1"/>
        <v>1.9610856835203173E-2</v>
      </c>
      <c r="M21" s="34">
        <v>13395.68</v>
      </c>
      <c r="N21" s="34">
        <v>13560.16</v>
      </c>
      <c r="O21" s="36">
        <v>44</v>
      </c>
      <c r="P21" s="58">
        <v>1.9E-3</v>
      </c>
      <c r="Q21" s="58">
        <v>5.4300000000000001E-2</v>
      </c>
      <c r="R21" s="63">
        <f t="shared" si="2"/>
        <v>4.9568394968873962E-2</v>
      </c>
      <c r="S21" s="63">
        <f t="shared" si="3"/>
        <v>1.8944151695072613E-3</v>
      </c>
      <c r="T21" s="63">
        <f t="shared" si="4"/>
        <v>0.1</v>
      </c>
      <c r="U21" s="64">
        <f t="shared" si="5"/>
        <v>8.5000000000000006E-3</v>
      </c>
      <c r="V21" s="65">
        <f t="shared" si="6"/>
        <v>2.0000000000000018E-3</v>
      </c>
    </row>
    <row r="22" spans="1:22">
      <c r="A22" s="154">
        <v>17</v>
      </c>
      <c r="B22" s="149" t="s">
        <v>51</v>
      </c>
      <c r="C22" s="148" t="s">
        <v>50</v>
      </c>
      <c r="D22" s="34">
        <v>29548320656.91</v>
      </c>
      <c r="E22" s="35">
        <f t="shared" si="0"/>
        <v>0.30354761445010292</v>
      </c>
      <c r="F22" s="34">
        <v>45124.62</v>
      </c>
      <c r="G22" s="34">
        <v>45692.63</v>
      </c>
      <c r="H22" s="36">
        <v>21395</v>
      </c>
      <c r="I22" s="58">
        <v>-1.2999999999999999E-3</v>
      </c>
      <c r="J22" s="58">
        <v>5.5800000000000002E-2</v>
      </c>
      <c r="K22" s="34">
        <v>30343441674.48</v>
      </c>
      <c r="L22" s="35">
        <f t="shared" si="1"/>
        <v>0.30207663094352483</v>
      </c>
      <c r="M22" s="34">
        <v>45376.49</v>
      </c>
      <c r="N22" s="34">
        <v>45978.81</v>
      </c>
      <c r="O22" s="36">
        <v>21728</v>
      </c>
      <c r="P22" s="58">
        <v>6.3E-3</v>
      </c>
      <c r="Q22" s="58">
        <v>6.2399999999999997E-2</v>
      </c>
      <c r="R22" s="63">
        <f t="shared" si="2"/>
        <v>2.6909177912419105E-2</v>
      </c>
      <c r="S22" s="63">
        <f t="shared" si="3"/>
        <v>6.2631544737083485E-3</v>
      </c>
      <c r="T22" s="63">
        <f t="shared" si="4"/>
        <v>1.5564384201916335E-2</v>
      </c>
      <c r="U22" s="64">
        <f t="shared" si="5"/>
        <v>7.6E-3</v>
      </c>
      <c r="V22" s="65">
        <f t="shared" si="6"/>
        <v>6.5999999999999948E-3</v>
      </c>
    </row>
    <row r="23" spans="1:22">
      <c r="A23" s="156">
        <v>18</v>
      </c>
      <c r="B23" s="148" t="s">
        <v>52</v>
      </c>
      <c r="C23" s="148" t="s">
        <v>53</v>
      </c>
      <c r="D23" s="34">
        <v>7807872316.3199997</v>
      </c>
      <c r="E23" s="35">
        <f t="shared" si="0"/>
        <v>8.0209668869817369E-2</v>
      </c>
      <c r="F23" s="34">
        <v>2.0467</v>
      </c>
      <c r="G23" s="42">
        <v>2.0667</v>
      </c>
      <c r="H23" s="36">
        <v>6962</v>
      </c>
      <c r="I23" s="58">
        <v>-6.0000000000000001E-3</v>
      </c>
      <c r="J23" s="58">
        <v>6.4699999999999994E-2</v>
      </c>
      <c r="K23" s="34">
        <v>7946799865.6199999</v>
      </c>
      <c r="L23" s="35">
        <f t="shared" si="1"/>
        <v>7.9112401155465958E-2</v>
      </c>
      <c r="M23" s="34">
        <v>2.0455000000000001</v>
      </c>
      <c r="N23" s="42">
        <v>2.0653000000000001</v>
      </c>
      <c r="O23" s="36">
        <v>6999</v>
      </c>
      <c r="P23" s="58">
        <v>-5.9999999999999995E-4</v>
      </c>
      <c r="Q23" s="58">
        <v>6.4100000000000004E-2</v>
      </c>
      <c r="R23" s="63">
        <f t="shared" ref="R23:R24" si="12">((K23-D23)/D23)</f>
        <v>1.7793266036076703E-2</v>
      </c>
      <c r="S23" s="63">
        <f t="shared" ref="S23:S24" si="13">((N23-G23)/G23)</f>
        <v>-6.7740842889623353E-4</v>
      </c>
      <c r="T23" s="63">
        <f t="shared" ref="T23:T24" si="14">((O23-H23)/H23)</f>
        <v>5.3145647802355644E-3</v>
      </c>
      <c r="U23" s="64">
        <f t="shared" ref="U23:U24" si="15">P23-I23</f>
        <v>5.4000000000000003E-3</v>
      </c>
      <c r="V23" s="65">
        <f t="shared" ref="V23:V24" si="16">Q23-J23</f>
        <v>-5.9999999999998943E-4</v>
      </c>
    </row>
    <row r="24" spans="1:22">
      <c r="A24" s="156">
        <v>19</v>
      </c>
      <c r="B24" s="149" t="s">
        <v>328</v>
      </c>
      <c r="C24" s="148" t="s">
        <v>125</v>
      </c>
      <c r="D24" s="34">
        <v>346734758.85000002</v>
      </c>
      <c r="E24" s="35">
        <f t="shared" si="0"/>
        <v>3.5619793800781008E-3</v>
      </c>
      <c r="F24" s="34">
        <v>1.1200000000000001</v>
      </c>
      <c r="G24" s="42">
        <v>1.1399999999999999</v>
      </c>
      <c r="H24" s="36">
        <v>190</v>
      </c>
      <c r="I24" s="58">
        <v>6.6E-3</v>
      </c>
      <c r="J24" s="58">
        <v>0.1057</v>
      </c>
      <c r="K24" s="34">
        <v>405517933.92000002</v>
      </c>
      <c r="L24" s="35">
        <f t="shared" si="1"/>
        <v>4.0370335237468339E-3</v>
      </c>
      <c r="M24" s="34">
        <v>1.1299999999999999</v>
      </c>
      <c r="N24" s="42">
        <v>1.1399999999999999</v>
      </c>
      <c r="O24" s="36">
        <v>233</v>
      </c>
      <c r="P24" s="58">
        <v>3.7000000000000002E-3</v>
      </c>
      <c r="Q24" s="58">
        <v>0.10970000000000001</v>
      </c>
      <c r="R24" s="63">
        <f t="shared" si="12"/>
        <v>0.16953355142404405</v>
      </c>
      <c r="S24" s="63">
        <f t="shared" si="13"/>
        <v>0</v>
      </c>
      <c r="T24" s="63">
        <f t="shared" si="14"/>
        <v>0.22631578947368422</v>
      </c>
      <c r="U24" s="64">
        <f t="shared" si="15"/>
        <v>-2.8999999999999998E-3</v>
      </c>
      <c r="V24" s="65">
        <f t="shared" si="16"/>
        <v>4.0000000000000036E-3</v>
      </c>
    </row>
    <row r="25" spans="1:22">
      <c r="A25" s="154">
        <v>20</v>
      </c>
      <c r="B25" s="148" t="s">
        <v>54</v>
      </c>
      <c r="C25" s="148" t="s">
        <v>55</v>
      </c>
      <c r="D25" s="34">
        <v>10652406879.01</v>
      </c>
      <c r="E25" s="35">
        <f>(D25/$D$26)</f>
        <v>0.10943135259090202</v>
      </c>
      <c r="F25" s="34">
        <v>231.86</v>
      </c>
      <c r="G25" s="42">
        <v>235.85</v>
      </c>
      <c r="H25" s="36">
        <v>84</v>
      </c>
      <c r="I25" s="58">
        <v>-6.6E-3</v>
      </c>
      <c r="J25" s="58">
        <v>9.7900000000000001E-2</v>
      </c>
      <c r="K25" s="34">
        <v>10782908646.91</v>
      </c>
      <c r="L25" s="35">
        <f t="shared" si="1"/>
        <v>0.10734658087812957</v>
      </c>
      <c r="M25" s="34">
        <v>233.41</v>
      </c>
      <c r="N25" s="42">
        <v>237.42</v>
      </c>
      <c r="O25" s="36">
        <v>88</v>
      </c>
      <c r="P25" s="58">
        <v>6.7000000000000002E-3</v>
      </c>
      <c r="Q25" s="58">
        <v>0.1052</v>
      </c>
      <c r="R25" s="63">
        <f t="shared" si="2"/>
        <v>1.2250918443337571E-2</v>
      </c>
      <c r="S25" s="63">
        <f t="shared" si="3"/>
        <v>6.6567733729064795E-3</v>
      </c>
      <c r="T25" s="63">
        <f t="shared" si="4"/>
        <v>4.7619047619047616E-2</v>
      </c>
      <c r="U25" s="64">
        <f t="shared" si="5"/>
        <v>1.3299999999999999E-2</v>
      </c>
      <c r="V25" s="65">
        <f t="shared" si="6"/>
        <v>7.3000000000000009E-3</v>
      </c>
    </row>
    <row r="26" spans="1:22">
      <c r="A26" s="43"/>
      <c r="B26" s="44"/>
      <c r="C26" s="45" t="s">
        <v>56</v>
      </c>
      <c r="D26" s="46">
        <f>SUM(D6:D25)</f>
        <v>97343280758.238815</v>
      </c>
      <c r="E26" s="47">
        <f>(D26/$D$231)</f>
        <v>1.2083125046563831E-2</v>
      </c>
      <c r="F26" s="48"/>
      <c r="G26" s="49"/>
      <c r="H26" s="50">
        <f>SUM(H6:H25)</f>
        <v>71500</v>
      </c>
      <c r="I26" s="60"/>
      <c r="J26" s="36">
        <v>0</v>
      </c>
      <c r="K26" s="46">
        <f>SUM(K6:K25)</f>
        <v>100449483893.22079</v>
      </c>
      <c r="L26" s="47">
        <f>(K26/$K$231)</f>
        <v>1.242974176509236E-2</v>
      </c>
      <c r="M26" s="48"/>
      <c r="N26" s="49"/>
      <c r="O26" s="50">
        <f>SUM(O6:O25)</f>
        <v>73003</v>
      </c>
      <c r="P26" s="60"/>
      <c r="Q26" s="50"/>
      <c r="R26" s="63">
        <f t="shared" si="2"/>
        <v>3.1909784741039567E-2</v>
      </c>
      <c r="S26" s="63" t="e">
        <f t="shared" si="3"/>
        <v>#DIV/0!</v>
      </c>
      <c r="T26" s="63">
        <f t="shared" si="4"/>
        <v>2.1020979020979019E-2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 ht="15" customHeight="1">
      <c r="A28" s="189" t="s">
        <v>57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>
      <c r="A29" s="153">
        <v>21</v>
      </c>
      <c r="B29" s="149" t="s">
        <v>58</v>
      </c>
      <c r="C29" s="148" t="s">
        <v>20</v>
      </c>
      <c r="D29" s="52">
        <v>5957953833.4499998</v>
      </c>
      <c r="E29" s="35">
        <f t="shared" ref="E29:E34" si="17">(D29/$K$72)</f>
        <v>1.1528509031017724E-3</v>
      </c>
      <c r="F29" s="42">
        <v>100</v>
      </c>
      <c r="G29" s="42">
        <v>100</v>
      </c>
      <c r="H29" s="36">
        <v>893</v>
      </c>
      <c r="I29" s="58">
        <v>0.13950000000000001</v>
      </c>
      <c r="J29" s="58">
        <v>0.13950000000000001</v>
      </c>
      <c r="K29" s="52">
        <v>6134559827.6999998</v>
      </c>
      <c r="L29" s="35">
        <f t="shared" ref="L29:L34" si="18">(K29/$K$72)</f>
        <v>1.1870237727908957E-3</v>
      </c>
      <c r="M29" s="42">
        <v>100</v>
      </c>
      <c r="N29" s="42">
        <v>100</v>
      </c>
      <c r="O29" s="36">
        <v>893</v>
      </c>
      <c r="P29" s="58">
        <v>0.14610000000000001</v>
      </c>
      <c r="Q29" s="58">
        <v>0.14610000000000001</v>
      </c>
      <c r="R29" s="63">
        <f>((K29-D29)/D29)</f>
        <v>2.9642054837429804E-2</v>
      </c>
      <c r="S29" s="63">
        <f>((N29-G29)/G29)</f>
        <v>0</v>
      </c>
      <c r="T29" s="63">
        <f>((O29-H29)/H29)</f>
        <v>0</v>
      </c>
      <c r="U29" s="63">
        <f>P29-I29</f>
        <v>6.5999999999999948E-3</v>
      </c>
      <c r="V29" s="110">
        <f>Q29-J29</f>
        <v>6.5999999999999948E-3</v>
      </c>
    </row>
    <row r="30" spans="1:22">
      <c r="A30" s="153">
        <v>22</v>
      </c>
      <c r="B30" s="149" t="s">
        <v>59</v>
      </c>
      <c r="C30" s="148" t="s">
        <v>60</v>
      </c>
      <c r="D30" s="52">
        <v>35308755128.309998</v>
      </c>
      <c r="E30" s="35">
        <f t="shared" si="17"/>
        <v>6.8321661051711354E-3</v>
      </c>
      <c r="F30" s="42">
        <v>100</v>
      </c>
      <c r="G30" s="42">
        <v>100</v>
      </c>
      <c r="H30" s="36">
        <v>4072</v>
      </c>
      <c r="I30" s="58">
        <v>0.17340900000000001</v>
      </c>
      <c r="J30" s="58">
        <v>0.17340900000000001</v>
      </c>
      <c r="K30" s="52">
        <v>35776879109.040001</v>
      </c>
      <c r="L30" s="35">
        <f t="shared" si="18"/>
        <v>6.9227470611560992E-3</v>
      </c>
      <c r="M30" s="42">
        <v>100</v>
      </c>
      <c r="N30" s="42">
        <v>100</v>
      </c>
      <c r="O30" s="36">
        <v>4127</v>
      </c>
      <c r="P30" s="58">
        <v>0.177005</v>
      </c>
      <c r="Q30" s="58">
        <v>0.177005</v>
      </c>
      <c r="R30" s="63">
        <f t="shared" ref="R30:R72" si="19">((K30-D30)/D30)</f>
        <v>1.3258014309166878E-2</v>
      </c>
      <c r="S30" s="63">
        <f t="shared" ref="S30:S72" si="20">((N30-G30)/G30)</f>
        <v>0</v>
      </c>
      <c r="T30" s="63">
        <f t="shared" ref="T30:T72" si="21">((O30-H30)/H30)</f>
        <v>1.3506876227897839E-2</v>
      </c>
      <c r="U30" s="64">
        <f t="shared" ref="U30:U72" si="22">P30-I30</f>
        <v>3.5959999999999881E-3</v>
      </c>
      <c r="V30" s="65">
        <f t="shared" ref="V30:V72" si="23">Q30-J30</f>
        <v>3.5959999999999881E-3</v>
      </c>
    </row>
    <row r="31" spans="1:22">
      <c r="A31" s="153">
        <v>23</v>
      </c>
      <c r="B31" s="149" t="s">
        <v>61</v>
      </c>
      <c r="C31" s="148" t="s">
        <v>22</v>
      </c>
      <c r="D31" s="52">
        <v>3213356608.0599999</v>
      </c>
      <c r="E31" s="35">
        <f t="shared" si="17"/>
        <v>6.2177740397912533E-4</v>
      </c>
      <c r="F31" s="42">
        <v>100</v>
      </c>
      <c r="G31" s="42">
        <v>100</v>
      </c>
      <c r="H31" s="36">
        <v>2367</v>
      </c>
      <c r="I31" s="58">
        <v>0.18</v>
      </c>
      <c r="J31" s="58">
        <v>0.18</v>
      </c>
      <c r="K31" s="52">
        <v>3267130519.23</v>
      </c>
      <c r="L31" s="35">
        <f t="shared" si="18"/>
        <v>6.3218253698092838E-4</v>
      </c>
      <c r="M31" s="42">
        <v>100</v>
      </c>
      <c r="N31" s="42">
        <v>100</v>
      </c>
      <c r="O31" s="36">
        <v>2388</v>
      </c>
      <c r="P31" s="58">
        <v>0.1774</v>
      </c>
      <c r="Q31" s="58">
        <v>0.1774</v>
      </c>
      <c r="R31" s="63">
        <f t="shared" si="19"/>
        <v>1.6734498447859791E-2</v>
      </c>
      <c r="S31" s="63">
        <f t="shared" si="20"/>
        <v>0</v>
      </c>
      <c r="T31" s="63">
        <f t="shared" si="21"/>
        <v>8.8719898605830166E-3</v>
      </c>
      <c r="U31" s="64">
        <f t="shared" si="22"/>
        <v>-2.5999999999999912E-3</v>
      </c>
      <c r="V31" s="65">
        <f t="shared" si="23"/>
        <v>-2.5999999999999912E-3</v>
      </c>
    </row>
    <row r="32" spans="1:22">
      <c r="A32" s="153">
        <v>24</v>
      </c>
      <c r="B32" s="149" t="s">
        <v>62</v>
      </c>
      <c r="C32" s="148" t="s">
        <v>24</v>
      </c>
      <c r="D32" s="52">
        <v>355852828948.46002</v>
      </c>
      <c r="E32" s="35">
        <f t="shared" si="17"/>
        <v>6.8856736170276253E-2</v>
      </c>
      <c r="F32" s="42">
        <v>1</v>
      </c>
      <c r="G32" s="42">
        <v>1</v>
      </c>
      <c r="H32" s="36">
        <v>79165</v>
      </c>
      <c r="I32" s="58">
        <v>0.17829999999999999</v>
      </c>
      <c r="J32" s="58">
        <v>0.17829999999999999</v>
      </c>
      <c r="K32" s="52">
        <v>359972000818.71997</v>
      </c>
      <c r="L32" s="35">
        <f t="shared" si="18"/>
        <v>6.9653786826157346E-2</v>
      </c>
      <c r="M32" s="42">
        <v>1</v>
      </c>
      <c r="N32" s="42">
        <v>1</v>
      </c>
      <c r="O32" s="36">
        <v>79580</v>
      </c>
      <c r="P32" s="58">
        <v>0.17849999999999999</v>
      </c>
      <c r="Q32" s="58">
        <v>0.17849999999999999</v>
      </c>
      <c r="R32" s="63">
        <f t="shared" si="19"/>
        <v>1.1575492830651487E-2</v>
      </c>
      <c r="S32" s="63">
        <f t="shared" si="20"/>
        <v>0</v>
      </c>
      <c r="T32" s="63">
        <f t="shared" si="21"/>
        <v>5.2422156255921178E-3</v>
      </c>
      <c r="U32" s="64">
        <f t="shared" si="22"/>
        <v>2.0000000000000573E-4</v>
      </c>
      <c r="V32" s="65">
        <f t="shared" si="23"/>
        <v>2.0000000000000573E-4</v>
      </c>
    </row>
    <row r="33" spans="1:22">
      <c r="A33" s="153">
        <v>25</v>
      </c>
      <c r="B33" s="149" t="s">
        <v>63</v>
      </c>
      <c r="C33" s="148" t="s">
        <v>64</v>
      </c>
      <c r="D33" s="52">
        <v>1876181501.3699999</v>
      </c>
      <c r="E33" s="35">
        <f t="shared" si="17"/>
        <v>3.6303697522690711E-4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2027778241.0799999</v>
      </c>
      <c r="L33" s="35">
        <f t="shared" si="18"/>
        <v>3.9237060941869082E-4</v>
      </c>
      <c r="M33" s="42">
        <v>1</v>
      </c>
      <c r="N33" s="42">
        <v>1</v>
      </c>
      <c r="O33" s="36">
        <v>300</v>
      </c>
      <c r="P33" s="58">
        <v>0.16200000000000001</v>
      </c>
      <c r="Q33" s="58">
        <v>0.16200000000000001</v>
      </c>
      <c r="R33" s="63">
        <f t="shared" si="19"/>
        <v>8.0800679251609248E-2</v>
      </c>
      <c r="S33" s="63">
        <f t="shared" si="20"/>
        <v>0</v>
      </c>
      <c r="T33" s="63">
        <f t="shared" si="21"/>
        <v>0</v>
      </c>
      <c r="U33" s="64">
        <f t="shared" si="22"/>
        <v>0</v>
      </c>
      <c r="V33" s="65">
        <f t="shared" si="23"/>
        <v>0</v>
      </c>
    </row>
    <row r="34" spans="1:22">
      <c r="A34" s="153">
        <v>26</v>
      </c>
      <c r="B34" s="149" t="s">
        <v>65</v>
      </c>
      <c r="C34" s="148" t="s">
        <v>26</v>
      </c>
      <c r="D34" s="52">
        <v>167361210479.45001</v>
      </c>
      <c r="E34" s="35">
        <f t="shared" si="17"/>
        <v>3.2384024455207112E-2</v>
      </c>
      <c r="F34" s="42">
        <v>1</v>
      </c>
      <c r="G34" s="42">
        <v>1</v>
      </c>
      <c r="H34" s="36">
        <v>38335</v>
      </c>
      <c r="I34" s="58">
        <v>0.15329999999999999</v>
      </c>
      <c r="J34" s="58">
        <v>0.15329999999999999</v>
      </c>
      <c r="K34" s="52">
        <v>168247640322.39001</v>
      </c>
      <c r="L34" s="35">
        <f t="shared" si="18"/>
        <v>3.2555546671312975E-2</v>
      </c>
      <c r="M34" s="42">
        <v>1</v>
      </c>
      <c r="N34" s="42">
        <v>1</v>
      </c>
      <c r="O34" s="36">
        <v>38485</v>
      </c>
      <c r="P34" s="58">
        <v>0.15759999999999999</v>
      </c>
      <c r="Q34" s="58">
        <v>0.15759999999999999</v>
      </c>
      <c r="R34" s="63">
        <f t="shared" si="19"/>
        <v>5.2965071201420688E-3</v>
      </c>
      <c r="S34" s="63">
        <f t="shared" si="20"/>
        <v>0</v>
      </c>
      <c r="T34" s="63">
        <f t="shared" si="21"/>
        <v>3.9128733533324639E-3</v>
      </c>
      <c r="U34" s="64">
        <f t="shared" si="22"/>
        <v>4.2999999999999983E-3</v>
      </c>
      <c r="V34" s="65">
        <f t="shared" si="23"/>
        <v>4.2999999999999983E-3</v>
      </c>
    </row>
    <row r="35" spans="1:22">
      <c r="A35" s="153">
        <v>27</v>
      </c>
      <c r="B35" s="149" t="s">
        <v>66</v>
      </c>
      <c r="C35" s="148" t="s">
        <v>28</v>
      </c>
      <c r="D35" s="34">
        <v>17321830521.459999</v>
      </c>
      <c r="E35" s="35">
        <f t="shared" ref="E35" si="24">(D35/$D$26)</f>
        <v>0.17794582621968941</v>
      </c>
      <c r="F35" s="34">
        <v>1</v>
      </c>
      <c r="G35" s="34">
        <v>1</v>
      </c>
      <c r="H35" s="36">
        <v>1523</v>
      </c>
      <c r="I35" s="58">
        <v>0.1762</v>
      </c>
      <c r="J35" s="58">
        <v>0.1762</v>
      </c>
      <c r="K35" s="34">
        <v>18078428320.07</v>
      </c>
      <c r="L35" s="35">
        <f t="shared" ref="L35" si="25">(K35/$K$26)</f>
        <v>0.17997532311154155</v>
      </c>
      <c r="M35" s="34">
        <v>1</v>
      </c>
      <c r="N35" s="34">
        <v>1</v>
      </c>
      <c r="O35" s="36">
        <v>1573</v>
      </c>
      <c r="P35" s="58">
        <v>0.18329999999999999</v>
      </c>
      <c r="Q35" s="58">
        <v>0.18329999999999999</v>
      </c>
      <c r="R35" s="63">
        <f t="shared" si="19"/>
        <v>4.3678859325673017E-2</v>
      </c>
      <c r="S35" s="63">
        <f t="shared" si="20"/>
        <v>0</v>
      </c>
      <c r="T35" s="63">
        <f t="shared" si="21"/>
        <v>3.2829940906106372E-2</v>
      </c>
      <c r="U35" s="64">
        <f t="shared" si="22"/>
        <v>7.0999999999999952E-3</v>
      </c>
      <c r="V35" s="65">
        <f t="shared" si="23"/>
        <v>7.0999999999999952E-3</v>
      </c>
    </row>
    <row r="36" spans="1:22" ht="15" customHeight="1">
      <c r="A36" s="153">
        <v>28</v>
      </c>
      <c r="B36" s="149" t="s">
        <v>67</v>
      </c>
      <c r="C36" s="148" t="s">
        <v>48</v>
      </c>
      <c r="D36" s="52">
        <v>36751416350.290001</v>
      </c>
      <c r="E36" s="35">
        <f t="shared" ref="E36:E50" si="26">(D36/$K$72)</f>
        <v>7.1113178641679783E-3</v>
      </c>
      <c r="F36" s="42">
        <v>100</v>
      </c>
      <c r="G36" s="42">
        <v>100</v>
      </c>
      <c r="H36" s="36">
        <v>7311</v>
      </c>
      <c r="I36" s="58">
        <v>0.17499999999999999</v>
      </c>
      <c r="J36" s="58">
        <v>0.17499999999999999</v>
      </c>
      <c r="K36" s="52">
        <v>37195996073.75</v>
      </c>
      <c r="L36" s="35">
        <f t="shared" ref="L36:L50" si="27">(K36/$K$72)</f>
        <v>7.1973430583905408E-3</v>
      </c>
      <c r="M36" s="42">
        <v>100</v>
      </c>
      <c r="N36" s="42">
        <v>100</v>
      </c>
      <c r="O36" s="36">
        <v>11485</v>
      </c>
      <c r="P36" s="58">
        <v>0.1757</v>
      </c>
      <c r="Q36" s="58">
        <v>0.1757</v>
      </c>
      <c r="R36" s="63">
        <f t="shared" si="19"/>
        <v>1.2096941223232365E-2</v>
      </c>
      <c r="S36" s="63">
        <f t="shared" si="20"/>
        <v>0</v>
      </c>
      <c r="T36" s="63">
        <f t="shared" si="21"/>
        <v>0.57092053070715365</v>
      </c>
      <c r="U36" s="64">
        <f t="shared" si="22"/>
        <v>7.0000000000000617E-4</v>
      </c>
      <c r="V36" s="65">
        <f t="shared" si="23"/>
        <v>7.0000000000000617E-4</v>
      </c>
    </row>
    <row r="37" spans="1:22" ht="15" customHeight="1">
      <c r="A37" s="153">
        <v>29</v>
      </c>
      <c r="B37" s="149" t="s">
        <v>68</v>
      </c>
      <c r="C37" s="148" t="s">
        <v>69</v>
      </c>
      <c r="D37" s="52">
        <v>2441516813.4299998</v>
      </c>
      <c r="E37" s="35">
        <f t="shared" si="26"/>
        <v>4.7242810904277519E-4</v>
      </c>
      <c r="F37" s="42">
        <v>1</v>
      </c>
      <c r="G37" s="42">
        <v>1</v>
      </c>
      <c r="H37" s="36">
        <v>623</v>
      </c>
      <c r="I37" s="58">
        <v>0.1633</v>
      </c>
      <c r="J37" s="58">
        <v>0.1633</v>
      </c>
      <c r="K37" s="52">
        <v>2436251966.1799998</v>
      </c>
      <c r="L37" s="35">
        <f t="shared" si="27"/>
        <v>4.7140937273220182E-4</v>
      </c>
      <c r="M37" s="42">
        <v>1</v>
      </c>
      <c r="N37" s="42">
        <v>1</v>
      </c>
      <c r="O37" s="36">
        <v>633</v>
      </c>
      <c r="P37" s="58">
        <v>0.1633</v>
      </c>
      <c r="Q37" s="58">
        <v>0.1633</v>
      </c>
      <c r="R37" s="63">
        <f t="shared" si="19"/>
        <v>-2.156383777920253E-3</v>
      </c>
      <c r="S37" s="63">
        <f t="shared" si="20"/>
        <v>0</v>
      </c>
      <c r="T37" s="63">
        <f t="shared" si="21"/>
        <v>1.6051364365971106E-2</v>
      </c>
      <c r="U37" s="64">
        <f t="shared" si="22"/>
        <v>0</v>
      </c>
      <c r="V37" s="65">
        <f t="shared" si="23"/>
        <v>0</v>
      </c>
    </row>
    <row r="38" spans="1:22">
      <c r="A38" s="153">
        <v>30</v>
      </c>
      <c r="B38" s="149" t="s">
        <v>70</v>
      </c>
      <c r="C38" s="148" t="s">
        <v>71</v>
      </c>
      <c r="D38" s="52">
        <v>90158250263.139999</v>
      </c>
      <c r="E38" s="35">
        <f t="shared" si="26"/>
        <v>1.7445422227743222E-2</v>
      </c>
      <c r="F38" s="42">
        <v>100</v>
      </c>
      <c r="G38" s="42">
        <v>100</v>
      </c>
      <c r="H38" s="36">
        <v>5646</v>
      </c>
      <c r="I38" s="58">
        <v>0.159</v>
      </c>
      <c r="J38" s="58">
        <v>0.159</v>
      </c>
      <c r="K38" s="52">
        <v>89328149100.600006</v>
      </c>
      <c r="L38" s="35">
        <f t="shared" si="27"/>
        <v>1.7284799486840592E-2</v>
      </c>
      <c r="M38" s="42">
        <v>100</v>
      </c>
      <c r="N38" s="42">
        <v>100</v>
      </c>
      <c r="O38" s="36">
        <v>5708</v>
      </c>
      <c r="P38" s="58">
        <v>0.15959999999999999</v>
      </c>
      <c r="Q38" s="58">
        <v>0.15959999999999999</v>
      </c>
      <c r="R38" s="63">
        <f t="shared" si="19"/>
        <v>-9.2071569725146844E-3</v>
      </c>
      <c r="S38" s="63">
        <f t="shared" si="20"/>
        <v>0</v>
      </c>
      <c r="T38" s="63">
        <f t="shared" si="21"/>
        <v>1.0981225646475381E-2</v>
      </c>
      <c r="U38" s="64">
        <f t="shared" si="22"/>
        <v>5.9999999999998943E-4</v>
      </c>
      <c r="V38" s="65">
        <f t="shared" si="23"/>
        <v>5.9999999999998943E-4</v>
      </c>
    </row>
    <row r="39" spans="1:22">
      <c r="A39" s="153">
        <v>31</v>
      </c>
      <c r="B39" s="149" t="s">
        <v>72</v>
      </c>
      <c r="C39" s="148" t="s">
        <v>73</v>
      </c>
      <c r="D39" s="52">
        <v>38282700722.459999</v>
      </c>
      <c r="E39" s="35">
        <f t="shared" si="26"/>
        <v>7.4076180069201046E-3</v>
      </c>
      <c r="F39" s="42">
        <v>100</v>
      </c>
      <c r="G39" s="42">
        <v>100</v>
      </c>
      <c r="H39" s="36">
        <v>5606</v>
      </c>
      <c r="I39" s="58">
        <v>0.16420000000000001</v>
      </c>
      <c r="J39" s="58">
        <v>0.16420000000000001</v>
      </c>
      <c r="K39" s="52">
        <v>38936932327.410004</v>
      </c>
      <c r="L39" s="35">
        <f t="shared" si="27"/>
        <v>7.5342103770002188E-3</v>
      </c>
      <c r="M39" s="42">
        <v>100</v>
      </c>
      <c r="N39" s="42">
        <v>100</v>
      </c>
      <c r="O39" s="36">
        <v>5654</v>
      </c>
      <c r="P39" s="58">
        <v>0.16200000000000001</v>
      </c>
      <c r="Q39" s="58">
        <v>0.16200000000000001</v>
      </c>
      <c r="R39" s="63">
        <f t="shared" si="19"/>
        <v>1.7089484090817418E-2</v>
      </c>
      <c r="S39" s="63">
        <f t="shared" si="20"/>
        <v>0</v>
      </c>
      <c r="T39" s="63">
        <f t="shared" si="21"/>
        <v>8.5622547270781304E-3</v>
      </c>
      <c r="U39" s="64">
        <f t="shared" si="22"/>
        <v>-2.2000000000000075E-3</v>
      </c>
      <c r="V39" s="65">
        <f t="shared" si="23"/>
        <v>-2.2000000000000075E-3</v>
      </c>
    </row>
    <row r="40" spans="1:22">
      <c r="A40" s="153">
        <v>32</v>
      </c>
      <c r="B40" s="149" t="s">
        <v>74</v>
      </c>
      <c r="C40" s="148" t="s">
        <v>75</v>
      </c>
      <c r="D40" s="52">
        <v>79741408932.380005</v>
      </c>
      <c r="E40" s="35">
        <f t="shared" si="26"/>
        <v>1.5429786445503434E-2</v>
      </c>
      <c r="F40" s="42">
        <v>1</v>
      </c>
      <c r="G40" s="42">
        <v>1</v>
      </c>
      <c r="H40" s="36">
        <v>14239</v>
      </c>
      <c r="I40" s="58">
        <v>0.1681</v>
      </c>
      <c r="J40" s="58">
        <v>0.1681</v>
      </c>
      <c r="K40" s="52">
        <v>81822377103.009995</v>
      </c>
      <c r="L40" s="35">
        <f t="shared" si="27"/>
        <v>1.583244918877072E-2</v>
      </c>
      <c r="M40" s="42">
        <v>1</v>
      </c>
      <c r="N40" s="42">
        <v>1</v>
      </c>
      <c r="O40" s="36">
        <v>14472</v>
      </c>
      <c r="P40" s="58">
        <v>0.16830000000000001</v>
      </c>
      <c r="Q40" s="58">
        <v>0.16830000000000001</v>
      </c>
      <c r="R40" s="63">
        <f t="shared" si="19"/>
        <v>2.6096456013144084E-2</v>
      </c>
      <c r="S40" s="63">
        <f t="shared" si="20"/>
        <v>0</v>
      </c>
      <c r="T40" s="63">
        <f t="shared" si="21"/>
        <v>1.6363508673361893E-2</v>
      </c>
      <c r="U40" s="64">
        <f t="shared" si="22"/>
        <v>2.0000000000000573E-4</v>
      </c>
      <c r="V40" s="65">
        <f t="shared" si="23"/>
        <v>2.0000000000000573E-4</v>
      </c>
    </row>
    <row r="41" spans="1:22">
      <c r="A41" s="153">
        <v>33</v>
      </c>
      <c r="B41" s="149" t="s">
        <v>76</v>
      </c>
      <c r="C41" s="148" t="s">
        <v>77</v>
      </c>
      <c r="D41" s="52">
        <v>843546977.20000005</v>
      </c>
      <c r="E41" s="35">
        <v>0</v>
      </c>
      <c r="F41" s="42">
        <v>1000</v>
      </c>
      <c r="G41" s="42">
        <v>1000</v>
      </c>
      <c r="H41" s="36">
        <v>60</v>
      </c>
      <c r="I41" s="58">
        <v>1.61E-2</v>
      </c>
      <c r="J41" s="58">
        <v>0.18870000000000001</v>
      </c>
      <c r="K41" s="52">
        <v>830122120.73000002</v>
      </c>
      <c r="L41" s="35">
        <f t="shared" si="27"/>
        <v>1.6062679626608934E-4</v>
      </c>
      <c r="M41" s="42">
        <v>1000</v>
      </c>
      <c r="N41" s="42">
        <v>1000</v>
      </c>
      <c r="O41" s="36">
        <v>63</v>
      </c>
      <c r="P41" s="58">
        <v>1.6E-2</v>
      </c>
      <c r="Q41" s="58">
        <v>0.18840000000000001</v>
      </c>
      <c r="R41" s="63">
        <f t="shared" si="19"/>
        <v>-1.5914770407406811E-2</v>
      </c>
      <c r="S41" s="63">
        <f t="shared" si="20"/>
        <v>0</v>
      </c>
      <c r="T41" s="63">
        <f t="shared" si="21"/>
        <v>0.05</v>
      </c>
      <c r="U41" s="64">
        <f t="shared" si="22"/>
        <v>-9.9999999999999395E-5</v>
      </c>
      <c r="V41" s="65">
        <f t="shared" si="23"/>
        <v>-2.9999999999999472E-4</v>
      </c>
    </row>
    <row r="42" spans="1:22">
      <c r="A42" s="153">
        <v>34</v>
      </c>
      <c r="B42" s="149" t="s">
        <v>78</v>
      </c>
      <c r="C42" s="148" t="s">
        <v>79</v>
      </c>
      <c r="D42" s="52">
        <v>87104040717.449997</v>
      </c>
      <c r="E42" s="35">
        <f t="shared" si="26"/>
        <v>1.6854439428708692E-2</v>
      </c>
      <c r="F42" s="53">
        <v>100</v>
      </c>
      <c r="G42" s="53">
        <v>100</v>
      </c>
      <c r="H42" s="36">
        <v>4546</v>
      </c>
      <c r="I42" s="58">
        <v>0.15129999999999999</v>
      </c>
      <c r="J42" s="58">
        <v>0.15129999999999999</v>
      </c>
      <c r="K42" s="52">
        <v>87271563337.149994</v>
      </c>
      <c r="L42" s="35">
        <f t="shared" si="27"/>
        <v>1.6886854685491455E-2</v>
      </c>
      <c r="M42" s="53">
        <v>100</v>
      </c>
      <c r="N42" s="53">
        <v>100</v>
      </c>
      <c r="O42" s="36">
        <v>4546</v>
      </c>
      <c r="P42" s="58">
        <v>0.15609999999999999</v>
      </c>
      <c r="Q42" s="58">
        <v>0.15609999999999999</v>
      </c>
      <c r="R42" s="63">
        <f t="shared" si="19"/>
        <v>1.9232473984003855E-3</v>
      </c>
      <c r="S42" s="63">
        <f t="shared" si="20"/>
        <v>0</v>
      </c>
      <c r="T42" s="63">
        <f t="shared" si="21"/>
        <v>0</v>
      </c>
      <c r="U42" s="64">
        <f t="shared" si="22"/>
        <v>4.7999999999999987E-3</v>
      </c>
      <c r="V42" s="65">
        <f t="shared" si="23"/>
        <v>4.7999999999999987E-3</v>
      </c>
    </row>
    <row r="43" spans="1:22">
      <c r="A43" s="153">
        <v>35</v>
      </c>
      <c r="B43" s="149" t="s">
        <v>80</v>
      </c>
      <c r="C43" s="148" t="s">
        <v>79</v>
      </c>
      <c r="D43" s="52">
        <v>9587967430.2399998</v>
      </c>
      <c r="E43" s="35">
        <f t="shared" si="26"/>
        <v>1.8552505138264811E-3</v>
      </c>
      <c r="F43" s="53">
        <v>1000000</v>
      </c>
      <c r="G43" s="53">
        <v>1000000</v>
      </c>
      <c r="H43" s="36">
        <v>45</v>
      </c>
      <c r="I43" s="58">
        <v>0.16089999999999999</v>
      </c>
      <c r="J43" s="58">
        <v>0.16089999999999999</v>
      </c>
      <c r="K43" s="52">
        <v>9013942333.7299995</v>
      </c>
      <c r="L43" s="35">
        <f t="shared" si="27"/>
        <v>1.7441779259189921E-3</v>
      </c>
      <c r="M43" s="53">
        <v>1000000</v>
      </c>
      <c r="N43" s="53">
        <v>1000000</v>
      </c>
      <c r="O43" s="36">
        <v>45</v>
      </c>
      <c r="P43" s="58">
        <v>0.16919999999999999</v>
      </c>
      <c r="Q43" s="58">
        <v>0.16919999999999999</v>
      </c>
      <c r="R43" s="63">
        <f t="shared" si="19"/>
        <v>-5.9869320654923376E-2</v>
      </c>
      <c r="S43" s="63">
        <f t="shared" si="20"/>
        <v>0</v>
      </c>
      <c r="T43" s="63">
        <f t="shared" si="21"/>
        <v>0</v>
      </c>
      <c r="U43" s="64">
        <f t="shared" si="22"/>
        <v>8.3000000000000018E-3</v>
      </c>
      <c r="V43" s="65">
        <f t="shared" si="23"/>
        <v>8.3000000000000018E-3</v>
      </c>
    </row>
    <row r="44" spans="1:22">
      <c r="A44" s="153">
        <v>36</v>
      </c>
      <c r="B44" s="149" t="s">
        <v>81</v>
      </c>
      <c r="C44" s="148" t="s">
        <v>82</v>
      </c>
      <c r="D44" s="52">
        <v>7209464039.6099997</v>
      </c>
      <c r="E44" s="35">
        <f t="shared" si="26"/>
        <v>1.3950153628718767E-3</v>
      </c>
      <c r="F44" s="42">
        <v>1</v>
      </c>
      <c r="G44" s="42">
        <v>1</v>
      </c>
      <c r="H44" s="36">
        <v>1067</v>
      </c>
      <c r="I44" s="58">
        <v>0.19270000000000001</v>
      </c>
      <c r="J44" s="58">
        <v>0.19270000000000001</v>
      </c>
      <c r="K44" s="52">
        <v>7162813391.5799999</v>
      </c>
      <c r="L44" s="35">
        <f t="shared" si="27"/>
        <v>1.3859885655493258E-3</v>
      </c>
      <c r="M44" s="42">
        <v>1</v>
      </c>
      <c r="N44" s="42">
        <v>1</v>
      </c>
      <c r="O44" s="36">
        <v>1092</v>
      </c>
      <c r="P44" s="58">
        <v>0.18609999999999999</v>
      </c>
      <c r="Q44" s="58">
        <v>0.18609999999999999</v>
      </c>
      <c r="R44" s="63">
        <f t="shared" si="19"/>
        <v>-6.4707511922791044E-3</v>
      </c>
      <c r="S44" s="63">
        <f t="shared" si="20"/>
        <v>0</v>
      </c>
      <c r="T44" s="63">
        <f t="shared" si="21"/>
        <v>2.3430178069353328E-2</v>
      </c>
      <c r="U44" s="64">
        <f t="shared" si="22"/>
        <v>-6.6000000000000225E-3</v>
      </c>
      <c r="V44" s="65">
        <f t="shared" si="23"/>
        <v>-6.6000000000000225E-3</v>
      </c>
    </row>
    <row r="45" spans="1:22">
      <c r="A45" s="153">
        <v>37</v>
      </c>
      <c r="B45" s="149" t="s">
        <v>83</v>
      </c>
      <c r="C45" s="148" t="s">
        <v>84</v>
      </c>
      <c r="D45" s="52">
        <v>736004041660.96997</v>
      </c>
      <c r="E45" s="35">
        <f t="shared" si="26"/>
        <v>0.14241515591336354</v>
      </c>
      <c r="F45" s="42">
        <v>100</v>
      </c>
      <c r="G45" s="42">
        <v>100</v>
      </c>
      <c r="H45" s="36">
        <v>33128</v>
      </c>
      <c r="I45" s="58">
        <v>0.16239999999999999</v>
      </c>
      <c r="J45" s="58">
        <v>0.16239999999999999</v>
      </c>
      <c r="K45" s="52">
        <v>733006617398.42004</v>
      </c>
      <c r="L45" s="35">
        <f t="shared" si="27"/>
        <v>0.14183516094115362</v>
      </c>
      <c r="M45" s="42">
        <v>100</v>
      </c>
      <c r="N45" s="42">
        <v>100</v>
      </c>
      <c r="O45" s="36">
        <v>33138</v>
      </c>
      <c r="P45" s="58">
        <v>0.16239999999999999</v>
      </c>
      <c r="Q45" s="58">
        <v>0.16239999999999999</v>
      </c>
      <c r="R45" s="63">
        <f t="shared" si="19"/>
        <v>-4.0725649492162012E-3</v>
      </c>
      <c r="S45" s="63">
        <f t="shared" si="20"/>
        <v>0</v>
      </c>
      <c r="T45" s="63">
        <f t="shared" si="21"/>
        <v>3.0185945423810673E-4</v>
      </c>
      <c r="U45" s="64">
        <f t="shared" si="22"/>
        <v>0</v>
      </c>
      <c r="V45" s="65">
        <f t="shared" si="23"/>
        <v>0</v>
      </c>
    </row>
    <row r="46" spans="1:22">
      <c r="A46" s="153">
        <v>38</v>
      </c>
      <c r="B46" s="149" t="s">
        <v>85</v>
      </c>
      <c r="C46" s="148" t="s">
        <v>86</v>
      </c>
      <c r="D46" s="52">
        <v>5318560241.6199999</v>
      </c>
      <c r="E46" s="35">
        <f t="shared" si="26"/>
        <v>1.0291296557768559E-3</v>
      </c>
      <c r="F46" s="42">
        <v>1</v>
      </c>
      <c r="G46" s="42">
        <v>1</v>
      </c>
      <c r="H46" s="54">
        <v>1905</v>
      </c>
      <c r="I46" s="61">
        <v>0.1618</v>
      </c>
      <c r="J46" s="61">
        <v>0.1618</v>
      </c>
      <c r="K46" s="52">
        <v>5472631538.1199999</v>
      </c>
      <c r="L46" s="35">
        <f t="shared" si="27"/>
        <v>1.0589421112401493E-3</v>
      </c>
      <c r="M46" s="42">
        <v>1</v>
      </c>
      <c r="N46" s="42">
        <v>1</v>
      </c>
      <c r="O46" s="54">
        <v>1932</v>
      </c>
      <c r="P46" s="61">
        <v>0.1714</v>
      </c>
      <c r="Q46" s="61">
        <v>0.1714</v>
      </c>
      <c r="R46" s="63">
        <f t="shared" si="19"/>
        <v>2.8968609830594089E-2</v>
      </c>
      <c r="S46" s="63">
        <f t="shared" si="20"/>
        <v>0</v>
      </c>
      <c r="T46" s="63">
        <f t="shared" si="21"/>
        <v>1.4173228346456693E-2</v>
      </c>
      <c r="U46" s="64">
        <f t="shared" si="22"/>
        <v>9.5999999999999974E-3</v>
      </c>
      <c r="V46" s="65">
        <f t="shared" si="23"/>
        <v>9.5999999999999974E-3</v>
      </c>
    </row>
    <row r="47" spans="1:22">
      <c r="A47" s="153">
        <v>39</v>
      </c>
      <c r="B47" s="149" t="s">
        <v>87</v>
      </c>
      <c r="C47" s="148" t="s">
        <v>88</v>
      </c>
      <c r="D47" s="52">
        <v>3889096208.6999998</v>
      </c>
      <c r="E47" s="35">
        <f t="shared" si="26"/>
        <v>7.5253152370488249E-4</v>
      </c>
      <c r="F47" s="42">
        <v>1</v>
      </c>
      <c r="G47" s="42">
        <v>1</v>
      </c>
      <c r="H47" s="54">
        <v>539</v>
      </c>
      <c r="I47" s="61">
        <v>0.1661</v>
      </c>
      <c r="J47" s="61">
        <v>0.16689999999999999</v>
      </c>
      <c r="K47" s="52">
        <v>3882195900.5599999</v>
      </c>
      <c r="L47" s="35">
        <f t="shared" si="27"/>
        <v>7.5119632932552744E-4</v>
      </c>
      <c r="M47" s="42">
        <v>1</v>
      </c>
      <c r="N47" s="42">
        <v>1</v>
      </c>
      <c r="O47" s="54">
        <v>542</v>
      </c>
      <c r="P47" s="61">
        <v>0.1643</v>
      </c>
      <c r="Q47" s="61">
        <v>0.1643</v>
      </c>
      <c r="R47" s="63">
        <f t="shared" si="19"/>
        <v>-1.774270362498031E-3</v>
      </c>
      <c r="S47" s="63">
        <f t="shared" si="20"/>
        <v>0</v>
      </c>
      <c r="T47" s="63">
        <f t="shared" si="21"/>
        <v>5.5658627087198514E-3</v>
      </c>
      <c r="U47" s="64">
        <f t="shared" si="22"/>
        <v>-1.799999999999996E-3</v>
      </c>
      <c r="V47" s="65">
        <f t="shared" si="23"/>
        <v>-2.5999999999999912E-3</v>
      </c>
    </row>
    <row r="48" spans="1:22">
      <c r="A48" s="153">
        <v>40</v>
      </c>
      <c r="B48" s="149" t="s">
        <v>89</v>
      </c>
      <c r="C48" s="148" t="s">
        <v>90</v>
      </c>
      <c r="D48" s="52">
        <v>7399004.5899999999</v>
      </c>
      <c r="E48" s="35">
        <f t="shared" si="26"/>
        <v>1.4316910405961177E-6</v>
      </c>
      <c r="F48" s="42">
        <v>1</v>
      </c>
      <c r="G48" s="42">
        <v>1</v>
      </c>
      <c r="H48" s="54">
        <v>24</v>
      </c>
      <c r="I48" s="61">
        <v>0</v>
      </c>
      <c r="J48" s="61">
        <v>0</v>
      </c>
      <c r="K48" s="52">
        <v>7398998.5899999999</v>
      </c>
      <c r="L48" s="35">
        <f t="shared" si="27"/>
        <v>1.4316898796093744E-6</v>
      </c>
      <c r="M48" s="42">
        <v>1</v>
      </c>
      <c r="N48" s="42">
        <v>1</v>
      </c>
      <c r="O48" s="54">
        <v>25</v>
      </c>
      <c r="P48" s="61">
        <v>0.105</v>
      </c>
      <c r="Q48" s="61">
        <v>0.105</v>
      </c>
      <c r="R48" s="63">
        <f t="shared" si="19"/>
        <v>-8.1091989159044431E-7</v>
      </c>
      <c r="S48" s="63">
        <f t="shared" si="20"/>
        <v>0</v>
      </c>
      <c r="T48" s="63">
        <f t="shared" si="21"/>
        <v>4.1666666666666664E-2</v>
      </c>
      <c r="U48" s="64">
        <f t="shared" si="22"/>
        <v>0.105</v>
      </c>
      <c r="V48" s="65">
        <f t="shared" si="23"/>
        <v>0.105</v>
      </c>
    </row>
    <row r="49" spans="1:22">
      <c r="A49" s="153">
        <v>41</v>
      </c>
      <c r="B49" s="149" t="s">
        <v>91</v>
      </c>
      <c r="C49" s="148" t="s">
        <v>92</v>
      </c>
      <c r="D49" s="52">
        <v>1784251795.1600001</v>
      </c>
      <c r="E49" s="35">
        <f t="shared" si="26"/>
        <v>3.4524878018735107E-4</v>
      </c>
      <c r="F49" s="42">
        <v>10</v>
      </c>
      <c r="G49" s="42">
        <v>10</v>
      </c>
      <c r="H49" s="36">
        <v>561</v>
      </c>
      <c r="I49" s="58">
        <v>0.16600000000000001</v>
      </c>
      <c r="J49" s="58">
        <v>0.16600000000000001</v>
      </c>
      <c r="K49" s="52">
        <v>1826305968.02</v>
      </c>
      <c r="L49" s="35">
        <f t="shared" si="27"/>
        <v>3.5338616972008854E-4</v>
      </c>
      <c r="M49" s="42">
        <v>10</v>
      </c>
      <c r="N49" s="42">
        <v>10</v>
      </c>
      <c r="O49" s="36">
        <v>568</v>
      </c>
      <c r="P49" s="58">
        <v>0.1641</v>
      </c>
      <c r="Q49" s="58">
        <v>0.1641</v>
      </c>
      <c r="R49" s="63">
        <f t="shared" si="19"/>
        <v>2.3569640212259813E-2</v>
      </c>
      <c r="S49" s="63">
        <f t="shared" si="20"/>
        <v>0</v>
      </c>
      <c r="T49" s="63">
        <f t="shared" si="21"/>
        <v>1.2477718360071301E-2</v>
      </c>
      <c r="U49" s="64">
        <f t="shared" si="22"/>
        <v>-1.9000000000000128E-3</v>
      </c>
      <c r="V49" s="65">
        <f t="shared" si="23"/>
        <v>-1.9000000000000128E-3</v>
      </c>
    </row>
    <row r="50" spans="1:22">
      <c r="A50" s="153">
        <v>42</v>
      </c>
      <c r="B50" s="149" t="s">
        <v>93</v>
      </c>
      <c r="C50" s="148" t="s">
        <v>94</v>
      </c>
      <c r="D50" s="52">
        <v>10583716398.049999</v>
      </c>
      <c r="E50" s="35">
        <f t="shared" si="26"/>
        <v>2.0479257390619348E-3</v>
      </c>
      <c r="F50" s="42">
        <v>100</v>
      </c>
      <c r="G50" s="42">
        <v>100</v>
      </c>
      <c r="H50" s="36">
        <v>1011</v>
      </c>
      <c r="I50" s="58">
        <v>0.17660000000000001</v>
      </c>
      <c r="J50" s="58">
        <v>0.17660000000000001</v>
      </c>
      <c r="K50" s="52">
        <v>10864794808.540001</v>
      </c>
      <c r="L50" s="35">
        <f t="shared" si="27"/>
        <v>2.1023137904692033E-3</v>
      </c>
      <c r="M50" s="42">
        <v>100</v>
      </c>
      <c r="N50" s="42">
        <v>100</v>
      </c>
      <c r="O50" s="36">
        <v>1019</v>
      </c>
      <c r="P50" s="58">
        <v>0.18429999999999999</v>
      </c>
      <c r="Q50" s="58">
        <v>0.18429999999999999</v>
      </c>
      <c r="R50" s="63">
        <f t="shared" si="19"/>
        <v>2.6557628711762257E-2</v>
      </c>
      <c r="S50" s="63">
        <f t="shared" si="20"/>
        <v>0</v>
      </c>
      <c r="T50" s="63">
        <f t="shared" si="21"/>
        <v>7.91295746785361E-3</v>
      </c>
      <c r="U50" s="64">
        <f t="shared" si="22"/>
        <v>7.6999999999999846E-3</v>
      </c>
      <c r="V50" s="65">
        <f t="shared" si="23"/>
        <v>7.6999999999999846E-3</v>
      </c>
    </row>
    <row r="51" spans="1:22">
      <c r="A51" s="153">
        <v>43</v>
      </c>
      <c r="B51" s="149" t="s">
        <v>95</v>
      </c>
      <c r="C51" s="149" t="s">
        <v>96</v>
      </c>
      <c r="D51" s="55">
        <v>207457718.88</v>
      </c>
      <c r="E51" s="35">
        <f>(D51/$D$197)</f>
        <v>2.2430889957453432E-3</v>
      </c>
      <c r="F51" s="34">
        <v>1</v>
      </c>
      <c r="G51" s="34">
        <v>1</v>
      </c>
      <c r="H51" s="36">
        <v>123</v>
      </c>
      <c r="I51" s="58">
        <v>0.15379999999999999</v>
      </c>
      <c r="J51" s="58">
        <v>0.15379999999999999</v>
      </c>
      <c r="K51" s="55">
        <v>212687719.13</v>
      </c>
      <c r="L51" s="62">
        <f>(K51/$K$197)</f>
        <v>2.2755267379331876E-3</v>
      </c>
      <c r="M51" s="34">
        <v>1</v>
      </c>
      <c r="N51" s="34">
        <v>1</v>
      </c>
      <c r="O51" s="36">
        <v>135</v>
      </c>
      <c r="P51" s="58">
        <v>0.14960000000000001</v>
      </c>
      <c r="Q51" s="58">
        <v>0.14960000000000001</v>
      </c>
      <c r="R51" s="64">
        <f t="shared" si="19"/>
        <v>2.5209957374616631E-2</v>
      </c>
      <c r="S51" s="64">
        <f t="shared" si="20"/>
        <v>0</v>
      </c>
      <c r="T51" s="64">
        <f t="shared" si="21"/>
        <v>9.7560975609756101E-2</v>
      </c>
      <c r="U51" s="64">
        <f t="shared" si="22"/>
        <v>-4.1999999999999815E-3</v>
      </c>
      <c r="V51" s="65">
        <f t="shared" si="23"/>
        <v>-4.1999999999999815E-3</v>
      </c>
    </row>
    <row r="52" spans="1:22">
      <c r="A52" s="153">
        <v>44</v>
      </c>
      <c r="B52" s="149" t="s">
        <v>97</v>
      </c>
      <c r="C52" s="148" t="s">
        <v>38</v>
      </c>
      <c r="D52" s="52">
        <v>1360362344.53</v>
      </c>
      <c r="E52" s="35">
        <f t="shared" ref="E52" si="28">(D52/$K$72)</f>
        <v>2.6322710804372272E-4</v>
      </c>
      <c r="F52" s="42">
        <v>100</v>
      </c>
      <c r="G52" s="42">
        <v>100</v>
      </c>
      <c r="H52" s="36">
        <v>6871</v>
      </c>
      <c r="I52" s="58">
        <v>0.15229999999999999</v>
      </c>
      <c r="J52" s="58">
        <v>0.15229999999999999</v>
      </c>
      <c r="K52" s="52">
        <v>1709385957.8099999</v>
      </c>
      <c r="L52" s="35">
        <f t="shared" ref="L52" si="29">(K52/$K$72)</f>
        <v>3.3076240607081317E-4</v>
      </c>
      <c r="M52" s="42">
        <v>100</v>
      </c>
      <c r="N52" s="42">
        <v>100</v>
      </c>
      <c r="O52" s="36">
        <v>7354</v>
      </c>
      <c r="P52" s="58">
        <v>0.14810000000000001</v>
      </c>
      <c r="Q52" s="58">
        <v>0.13800000000000001</v>
      </c>
      <c r="R52" s="63">
        <f t="shared" ref="R52" si="30">((K52-D52)/D52)</f>
        <v>0.25656665276234641</v>
      </c>
      <c r="S52" s="63">
        <f t="shared" ref="S52" si="31">((N52-G52)/G52)</f>
        <v>0</v>
      </c>
      <c r="T52" s="63">
        <f t="shared" ref="T52" si="32">((O52-H52)/H52)</f>
        <v>7.0295444622325717E-2</v>
      </c>
      <c r="U52" s="64">
        <f t="shared" ref="U52" si="33">P52-I52</f>
        <v>-4.1999999999999815E-3</v>
      </c>
      <c r="V52" s="65">
        <f t="shared" ref="V52" si="34">Q52-J52</f>
        <v>-1.4299999999999979E-2</v>
      </c>
    </row>
    <row r="53" spans="1:22">
      <c r="A53" s="153">
        <v>45</v>
      </c>
      <c r="B53" s="149" t="s">
        <v>98</v>
      </c>
      <c r="C53" s="148" t="s">
        <v>38</v>
      </c>
      <c r="D53" s="52">
        <v>300945205628.22998</v>
      </c>
      <c r="E53" s="35">
        <f t="shared" ref="E53:E71" si="35">(D53/$K$72)</f>
        <v>5.8232232372259309E-2</v>
      </c>
      <c r="F53" s="42">
        <v>100</v>
      </c>
      <c r="G53" s="42">
        <v>100</v>
      </c>
      <c r="H53" s="36">
        <v>29736</v>
      </c>
      <c r="I53" s="58">
        <v>0.17699999999999999</v>
      </c>
      <c r="J53" s="58">
        <v>0.17699999999999999</v>
      </c>
      <c r="K53" s="52">
        <v>307935973042.67999</v>
      </c>
      <c r="L53" s="35">
        <f t="shared" ref="L53:L71" si="36">(K53/$K$72)</f>
        <v>5.9584930421357207E-2</v>
      </c>
      <c r="M53" s="42">
        <v>100</v>
      </c>
      <c r="N53" s="42">
        <v>100</v>
      </c>
      <c r="O53" s="36">
        <v>30409</v>
      </c>
      <c r="P53" s="58">
        <v>0.1789</v>
      </c>
      <c r="Q53" s="58">
        <v>0.1789</v>
      </c>
      <c r="R53" s="63">
        <f t="shared" si="19"/>
        <v>2.3229369611842215E-2</v>
      </c>
      <c r="S53" s="63">
        <f t="shared" si="20"/>
        <v>0</v>
      </c>
      <c r="T53" s="63">
        <f t="shared" si="21"/>
        <v>2.2632499327414582E-2</v>
      </c>
      <c r="U53" s="64">
        <f t="shared" si="22"/>
        <v>1.9000000000000128E-3</v>
      </c>
      <c r="V53" s="65">
        <f t="shared" si="23"/>
        <v>1.9000000000000128E-3</v>
      </c>
    </row>
    <row r="54" spans="1:22">
      <c r="A54" s="153">
        <v>46</v>
      </c>
      <c r="B54" s="149" t="s">
        <v>99</v>
      </c>
      <c r="C54" s="148" t="s">
        <v>42</v>
      </c>
      <c r="D54" s="52">
        <v>55147050720.32</v>
      </c>
      <c r="E54" s="35">
        <f t="shared" si="35"/>
        <v>1.067083247093672E-2</v>
      </c>
      <c r="F54" s="42">
        <v>1</v>
      </c>
      <c r="G54" s="42">
        <v>1</v>
      </c>
      <c r="H54" s="36">
        <v>3079</v>
      </c>
      <c r="I54" s="58">
        <v>0.16789999999999999</v>
      </c>
      <c r="J54" s="58">
        <v>0.16789999999999999</v>
      </c>
      <c r="K54" s="52">
        <v>54367627309.529999</v>
      </c>
      <c r="L54" s="35">
        <f t="shared" si="36"/>
        <v>1.0520015763028865E-2</v>
      </c>
      <c r="M54" s="42">
        <v>1</v>
      </c>
      <c r="N54" s="42">
        <v>1</v>
      </c>
      <c r="O54" s="36">
        <v>3119</v>
      </c>
      <c r="P54" s="58">
        <v>0.16</v>
      </c>
      <c r="Q54" s="58">
        <v>0.159</v>
      </c>
      <c r="R54" s="63">
        <f t="shared" si="19"/>
        <v>-1.4133546592416541E-2</v>
      </c>
      <c r="S54" s="63">
        <f t="shared" si="20"/>
        <v>0</v>
      </c>
      <c r="T54" s="63">
        <f t="shared" si="21"/>
        <v>1.2991230919129588E-2</v>
      </c>
      <c r="U54" s="64">
        <f t="shared" si="22"/>
        <v>-7.8999999999999904E-3</v>
      </c>
      <c r="V54" s="65">
        <f t="shared" si="23"/>
        <v>-8.8999999999999913E-3</v>
      </c>
    </row>
    <row r="55" spans="1:22">
      <c r="A55" s="153">
        <v>47</v>
      </c>
      <c r="B55" s="149" t="s">
        <v>100</v>
      </c>
      <c r="C55" s="148" t="s">
        <v>101</v>
      </c>
      <c r="D55" s="52">
        <v>5201933601.007</v>
      </c>
      <c r="E55" s="35">
        <f t="shared" si="35"/>
        <v>1.0065626584964211E-3</v>
      </c>
      <c r="F55" s="42">
        <v>100</v>
      </c>
      <c r="G55" s="42">
        <v>100</v>
      </c>
      <c r="H55" s="36">
        <v>936</v>
      </c>
      <c r="I55" s="58">
        <v>0.16539999999999999</v>
      </c>
      <c r="J55" s="58">
        <v>0.16539999999999999</v>
      </c>
      <c r="K55" s="52">
        <v>5255969067.441</v>
      </c>
      <c r="L55" s="35">
        <f t="shared" si="36"/>
        <v>1.0170184018639206E-3</v>
      </c>
      <c r="M55" s="42">
        <v>100</v>
      </c>
      <c r="N55" s="42">
        <v>100</v>
      </c>
      <c r="O55" s="36">
        <v>926</v>
      </c>
      <c r="P55" s="58">
        <v>0.16539999999999999</v>
      </c>
      <c r="Q55" s="58">
        <v>0.16539999999999999</v>
      </c>
      <c r="R55" s="63">
        <f t="shared" si="19"/>
        <v>1.0387573271511911E-2</v>
      </c>
      <c r="S55" s="63">
        <f t="shared" si="20"/>
        <v>0</v>
      </c>
      <c r="T55" s="63">
        <f t="shared" si="21"/>
        <v>-1.0683760683760684E-2</v>
      </c>
      <c r="U55" s="64">
        <f t="shared" si="22"/>
        <v>0</v>
      </c>
      <c r="V55" s="65">
        <f t="shared" si="23"/>
        <v>0</v>
      </c>
    </row>
    <row r="56" spans="1:22">
      <c r="A56" s="153">
        <v>48</v>
      </c>
      <c r="B56" s="149" t="s">
        <v>102</v>
      </c>
      <c r="C56" s="148" t="s">
        <v>44</v>
      </c>
      <c r="D56" s="56">
        <v>98280937332.020004</v>
      </c>
      <c r="E56" s="35">
        <f t="shared" si="35"/>
        <v>1.9017144229078194E-2</v>
      </c>
      <c r="F56" s="42">
        <v>10</v>
      </c>
      <c r="G56" s="42">
        <v>10</v>
      </c>
      <c r="H56" s="36">
        <v>8830</v>
      </c>
      <c r="I56" s="58">
        <v>0.19</v>
      </c>
      <c r="J56" s="58">
        <v>0.19</v>
      </c>
      <c r="K56" s="56">
        <v>99992265434.820007</v>
      </c>
      <c r="L56" s="35">
        <f t="shared" si="36"/>
        <v>1.9348282435913543E-2</v>
      </c>
      <c r="M56" s="42">
        <v>10</v>
      </c>
      <c r="N56" s="42">
        <v>10</v>
      </c>
      <c r="O56" s="36">
        <v>9222</v>
      </c>
      <c r="P56" s="58">
        <v>0.19120000000000001</v>
      </c>
      <c r="Q56" s="58">
        <v>0.19120000000000001</v>
      </c>
      <c r="R56" s="63">
        <f t="shared" si="19"/>
        <v>1.7412614788345646E-2</v>
      </c>
      <c r="S56" s="63">
        <f t="shared" si="20"/>
        <v>0</v>
      </c>
      <c r="T56" s="63">
        <f t="shared" si="21"/>
        <v>4.4394110985277464E-2</v>
      </c>
      <c r="U56" s="64">
        <f t="shared" si="22"/>
        <v>1.2000000000000066E-3</v>
      </c>
      <c r="V56" s="65">
        <f t="shared" si="23"/>
        <v>1.2000000000000066E-3</v>
      </c>
    </row>
    <row r="57" spans="1:22">
      <c r="A57" s="153">
        <v>49</v>
      </c>
      <c r="B57" s="149" t="s">
        <v>103</v>
      </c>
      <c r="C57" s="148" t="s">
        <v>104</v>
      </c>
      <c r="D57" s="52">
        <v>37738891407</v>
      </c>
      <c r="E57" s="35">
        <f t="shared" si="35"/>
        <v>7.3023921058861943E-3</v>
      </c>
      <c r="F57" s="42">
        <v>100</v>
      </c>
      <c r="G57" s="42">
        <v>100</v>
      </c>
      <c r="H57" s="36">
        <v>5638</v>
      </c>
      <c r="I57" s="58">
        <v>0.17829999999999999</v>
      </c>
      <c r="J57" s="58">
        <v>0.17829999999999999</v>
      </c>
      <c r="K57" s="52">
        <v>39168199187</v>
      </c>
      <c r="L57" s="35">
        <f t="shared" si="36"/>
        <v>7.5789600033633773E-3</v>
      </c>
      <c r="M57" s="42">
        <v>100</v>
      </c>
      <c r="N57" s="42">
        <v>100</v>
      </c>
      <c r="O57" s="36">
        <v>5710</v>
      </c>
      <c r="P57" s="58">
        <v>0.18210000000000001</v>
      </c>
      <c r="Q57" s="58">
        <v>0.18210000000000001</v>
      </c>
      <c r="R57" s="63">
        <f t="shared" si="19"/>
        <v>3.7873602713589111E-2</v>
      </c>
      <c r="S57" s="63">
        <f t="shared" si="20"/>
        <v>0</v>
      </c>
      <c r="T57" s="63">
        <f t="shared" si="21"/>
        <v>1.2770485987938986E-2</v>
      </c>
      <c r="U57" s="64">
        <f t="shared" si="22"/>
        <v>3.8000000000000256E-3</v>
      </c>
      <c r="V57" s="65">
        <f t="shared" si="23"/>
        <v>3.8000000000000256E-3</v>
      </c>
    </row>
    <row r="58" spans="1:22">
      <c r="A58" s="153">
        <v>50</v>
      </c>
      <c r="B58" s="149" t="s">
        <v>105</v>
      </c>
      <c r="C58" s="148" t="s">
        <v>106</v>
      </c>
      <c r="D58" s="52">
        <v>177556133.40000001</v>
      </c>
      <c r="E58" s="35">
        <f t="shared" si="35"/>
        <v>3.4356719515384042E-5</v>
      </c>
      <c r="F58" s="42">
        <v>1</v>
      </c>
      <c r="G58" s="42">
        <v>1</v>
      </c>
      <c r="H58" s="36">
        <v>93</v>
      </c>
      <c r="I58" s="58">
        <v>0.1152</v>
      </c>
      <c r="J58" s="58">
        <v>0.1152</v>
      </c>
      <c r="K58" s="52">
        <v>177150076.13</v>
      </c>
      <c r="L58" s="35">
        <f t="shared" si="36"/>
        <v>3.4278148330793401E-5</v>
      </c>
      <c r="M58" s="42">
        <v>1</v>
      </c>
      <c r="N58" s="42">
        <v>1</v>
      </c>
      <c r="O58" s="36">
        <v>93</v>
      </c>
      <c r="P58" s="58">
        <v>0.11799999999999999</v>
      </c>
      <c r="Q58" s="58">
        <v>0.11799999999999999</v>
      </c>
      <c r="R58" s="63">
        <f t="shared" si="19"/>
        <v>-2.2869233645972757E-3</v>
      </c>
      <c r="S58" s="63">
        <f t="shared" si="20"/>
        <v>0</v>
      </c>
      <c r="T58" s="63">
        <f t="shared" si="21"/>
        <v>0</v>
      </c>
      <c r="U58" s="64">
        <f t="shared" si="22"/>
        <v>2.7999999999999969E-3</v>
      </c>
      <c r="V58" s="65">
        <f t="shared" si="23"/>
        <v>2.7999999999999969E-3</v>
      </c>
    </row>
    <row r="59" spans="1:22">
      <c r="A59" s="153">
        <v>51</v>
      </c>
      <c r="B59" s="149" t="s">
        <v>107</v>
      </c>
      <c r="C59" s="148" t="s">
        <v>46</v>
      </c>
      <c r="D59" s="56">
        <v>2469131273.5500002</v>
      </c>
      <c r="E59" s="35">
        <f t="shared" si="35"/>
        <v>4.7777144606383023E-4</v>
      </c>
      <c r="F59" s="42">
        <v>10</v>
      </c>
      <c r="G59" s="42">
        <v>10</v>
      </c>
      <c r="H59" s="36">
        <v>946</v>
      </c>
      <c r="I59" s="58">
        <v>0.15709999999999999</v>
      </c>
      <c r="J59" s="58">
        <v>0.15709999999999999</v>
      </c>
      <c r="K59" s="56">
        <v>2493654722.4499998</v>
      </c>
      <c r="L59" s="35">
        <f t="shared" si="36"/>
        <v>4.8251667924318232E-4</v>
      </c>
      <c r="M59" s="42">
        <v>10</v>
      </c>
      <c r="N59" s="42">
        <v>10</v>
      </c>
      <c r="O59" s="36">
        <v>950</v>
      </c>
      <c r="P59" s="58">
        <v>0.15579999999999999</v>
      </c>
      <c r="Q59" s="58">
        <v>0.15579999999999999</v>
      </c>
      <c r="R59" s="63">
        <f t="shared" si="19"/>
        <v>9.9320150219234654E-3</v>
      </c>
      <c r="S59" s="63">
        <f t="shared" si="20"/>
        <v>0</v>
      </c>
      <c r="T59" s="63">
        <f t="shared" si="21"/>
        <v>4.2283298097251587E-3</v>
      </c>
      <c r="U59" s="64">
        <f t="shared" si="22"/>
        <v>-1.2999999999999956E-3</v>
      </c>
      <c r="V59" s="65">
        <f t="shared" si="23"/>
        <v>-1.2999999999999956E-3</v>
      </c>
    </row>
    <row r="60" spans="1:22">
      <c r="A60" s="153">
        <v>52</v>
      </c>
      <c r="B60" s="149" t="s">
        <v>108</v>
      </c>
      <c r="C60" s="148" t="s">
        <v>109</v>
      </c>
      <c r="D60" s="56">
        <v>1293664511</v>
      </c>
      <c r="E60" s="35">
        <f t="shared" si="35"/>
        <v>2.5032122461973738E-4</v>
      </c>
      <c r="F60" s="42">
        <v>1</v>
      </c>
      <c r="G60" s="42">
        <v>1</v>
      </c>
      <c r="H60" s="36">
        <v>202</v>
      </c>
      <c r="I60" s="58">
        <v>0.21859999999999999</v>
      </c>
      <c r="J60" s="58">
        <v>0.21859999999999999</v>
      </c>
      <c r="K60" s="56">
        <v>1293817003</v>
      </c>
      <c r="L60" s="35">
        <f t="shared" si="36"/>
        <v>2.5035073148481726E-4</v>
      </c>
      <c r="M60" s="42">
        <v>1</v>
      </c>
      <c r="N60" s="42">
        <v>1</v>
      </c>
      <c r="O60" s="36">
        <v>206</v>
      </c>
      <c r="P60" s="58">
        <v>0.21659999999999999</v>
      </c>
      <c r="Q60" s="58">
        <v>0.21659999999999999</v>
      </c>
      <c r="R60" s="63">
        <f t="shared" si="19"/>
        <v>1.1787600162435004E-4</v>
      </c>
      <c r="S60" s="63">
        <f t="shared" si="20"/>
        <v>0</v>
      </c>
      <c r="T60" s="63">
        <f t="shared" si="21"/>
        <v>1.9801980198019802E-2</v>
      </c>
      <c r="U60" s="64">
        <f t="shared" si="22"/>
        <v>-2.0000000000000018E-3</v>
      </c>
      <c r="V60" s="65">
        <f t="shared" si="23"/>
        <v>-2.0000000000000018E-3</v>
      </c>
    </row>
    <row r="61" spans="1:22">
      <c r="A61" s="153">
        <v>53</v>
      </c>
      <c r="B61" s="149" t="s">
        <v>110</v>
      </c>
      <c r="C61" s="148" t="s">
        <v>111</v>
      </c>
      <c r="D61" s="56">
        <v>2645811966.5900002</v>
      </c>
      <c r="E61" s="35">
        <f t="shared" si="35"/>
        <v>5.119587698037769E-4</v>
      </c>
      <c r="F61" s="42">
        <v>1</v>
      </c>
      <c r="G61" s="42">
        <v>1</v>
      </c>
      <c r="H61" s="36">
        <v>2077</v>
      </c>
      <c r="I61" s="58">
        <v>0.1535</v>
      </c>
      <c r="J61" s="58">
        <v>0.1535</v>
      </c>
      <c r="K61" s="56">
        <v>2784241741.4299998</v>
      </c>
      <c r="L61" s="35">
        <f t="shared" si="36"/>
        <v>5.3874462538467803E-4</v>
      </c>
      <c r="M61" s="42">
        <v>1</v>
      </c>
      <c r="N61" s="42">
        <v>1</v>
      </c>
      <c r="O61" s="36">
        <v>2141</v>
      </c>
      <c r="P61" s="58">
        <v>0.15290000000000001</v>
      </c>
      <c r="Q61" s="58">
        <v>0.15290000000000001</v>
      </c>
      <c r="R61" s="63">
        <f t="shared" si="19"/>
        <v>5.2320337419295905E-2</v>
      </c>
      <c r="S61" s="63">
        <f t="shared" si="20"/>
        <v>0</v>
      </c>
      <c r="T61" s="63">
        <f t="shared" si="21"/>
        <v>3.0813673567645642E-2</v>
      </c>
      <c r="U61" s="64">
        <f t="shared" si="22"/>
        <v>-5.9999999999998943E-4</v>
      </c>
      <c r="V61" s="65">
        <f t="shared" si="23"/>
        <v>-5.9999999999998943E-4</v>
      </c>
    </row>
    <row r="62" spans="1:22">
      <c r="A62" s="153">
        <v>54</v>
      </c>
      <c r="B62" s="149" t="s">
        <v>112</v>
      </c>
      <c r="C62" s="148" t="s">
        <v>113</v>
      </c>
      <c r="D62" s="56">
        <v>15318389296.634399</v>
      </c>
      <c r="E62" s="35">
        <f t="shared" si="35"/>
        <v>2.9640744840185233E-3</v>
      </c>
      <c r="F62" s="42">
        <v>100</v>
      </c>
      <c r="G62" s="42">
        <v>100</v>
      </c>
      <c r="H62" s="36">
        <v>154</v>
      </c>
      <c r="I62" s="58">
        <v>0.16689999999999999</v>
      </c>
      <c r="J62" s="58">
        <v>0.16689999999999999</v>
      </c>
      <c r="K62" s="56">
        <v>14542053973.0305</v>
      </c>
      <c r="L62" s="35">
        <f t="shared" si="36"/>
        <v>2.813855314158272E-3</v>
      </c>
      <c r="M62" s="42">
        <v>100</v>
      </c>
      <c r="N62" s="42">
        <v>100</v>
      </c>
      <c r="O62" s="36">
        <v>155</v>
      </c>
      <c r="P62" s="58">
        <v>0.1658</v>
      </c>
      <c r="Q62" s="58">
        <v>0.1658</v>
      </c>
      <c r="R62" s="63">
        <f t="shared" si="19"/>
        <v>-5.0679957831758951E-2</v>
      </c>
      <c r="S62" s="63">
        <f t="shared" si="20"/>
        <v>0</v>
      </c>
      <c r="T62" s="63">
        <f t="shared" si="21"/>
        <v>6.4935064935064939E-3</v>
      </c>
      <c r="U62" s="64">
        <f t="shared" si="22"/>
        <v>-1.0999999999999899E-3</v>
      </c>
      <c r="V62" s="65">
        <f t="shared" si="23"/>
        <v>-1.0999999999999899E-3</v>
      </c>
    </row>
    <row r="63" spans="1:22">
      <c r="A63" s="153">
        <v>54</v>
      </c>
      <c r="B63" s="149" t="s">
        <v>335</v>
      </c>
      <c r="C63" s="148" t="s">
        <v>77</v>
      </c>
      <c r="D63" s="56">
        <v>72805795.329999998</v>
      </c>
      <c r="E63" s="35">
        <f t="shared" si="35"/>
        <v>1.4087760537182701E-5</v>
      </c>
      <c r="F63" s="42">
        <v>1000</v>
      </c>
      <c r="G63" s="42">
        <v>1000</v>
      </c>
      <c r="H63" s="36">
        <v>23</v>
      </c>
      <c r="I63" s="58">
        <v>8.6E-3</v>
      </c>
      <c r="J63" s="58">
        <v>0.24299999999999999</v>
      </c>
      <c r="K63" s="56">
        <v>73098874.319999993</v>
      </c>
      <c r="L63" s="35">
        <f t="shared" si="36"/>
        <v>1.4144470674210736E-5</v>
      </c>
      <c r="M63" s="42">
        <v>1000</v>
      </c>
      <c r="N63" s="42">
        <v>1000</v>
      </c>
      <c r="O63" s="36">
        <v>24</v>
      </c>
      <c r="P63" s="58">
        <v>8.6E-3</v>
      </c>
      <c r="Q63" s="58">
        <v>0.2429</v>
      </c>
      <c r="R63" s="63">
        <f t="shared" si="19"/>
        <v>4.0254898483229667E-3</v>
      </c>
      <c r="S63" s="63">
        <f t="shared" si="20"/>
        <v>0</v>
      </c>
      <c r="T63" s="63">
        <f t="shared" si="21"/>
        <v>4.3478260869565216E-2</v>
      </c>
      <c r="U63" s="64">
        <f t="shared" si="22"/>
        <v>0</v>
      </c>
      <c r="V63" s="65">
        <f t="shared" si="23"/>
        <v>-9.9999999999988987E-5</v>
      </c>
    </row>
    <row r="64" spans="1:22">
      <c r="A64" s="153">
        <v>56</v>
      </c>
      <c r="B64" s="149" t="s">
        <v>114</v>
      </c>
      <c r="C64" s="148" t="s">
        <v>50</v>
      </c>
      <c r="D64" s="52">
        <v>2480493982887.7402</v>
      </c>
      <c r="E64" s="35">
        <f t="shared" si="35"/>
        <v>0.4799701052155933</v>
      </c>
      <c r="F64" s="42">
        <v>100</v>
      </c>
      <c r="G64" s="42">
        <v>100</v>
      </c>
      <c r="H64" s="36">
        <v>276904</v>
      </c>
      <c r="I64" s="58">
        <v>0.15509999999999999</v>
      </c>
      <c r="J64" s="58">
        <v>0.15509999999999999</v>
      </c>
      <c r="K64" s="52">
        <v>2520377198407</v>
      </c>
      <c r="L64" s="35">
        <f t="shared" si="36"/>
        <v>0.48768741929947174</v>
      </c>
      <c r="M64" s="42">
        <v>100</v>
      </c>
      <c r="N64" s="42">
        <v>100</v>
      </c>
      <c r="O64" s="36">
        <v>280992</v>
      </c>
      <c r="P64" s="58">
        <v>0.16</v>
      </c>
      <c r="Q64" s="58">
        <v>0.16</v>
      </c>
      <c r="R64" s="63">
        <f t="shared" si="19"/>
        <v>1.6078739071492744E-2</v>
      </c>
      <c r="S64" s="63">
        <f t="shared" si="20"/>
        <v>0</v>
      </c>
      <c r="T64" s="63">
        <f t="shared" si="21"/>
        <v>1.4763239245370237E-2</v>
      </c>
      <c r="U64" s="64">
        <f t="shared" si="22"/>
        <v>4.9000000000000155E-3</v>
      </c>
      <c r="V64" s="65">
        <f t="shared" si="23"/>
        <v>4.9000000000000155E-3</v>
      </c>
    </row>
    <row r="65" spans="1:22">
      <c r="A65" s="153">
        <v>57</v>
      </c>
      <c r="B65" s="149" t="s">
        <v>115</v>
      </c>
      <c r="C65" s="149" t="s">
        <v>116</v>
      </c>
      <c r="D65" s="52">
        <v>8309792426.0900002</v>
      </c>
      <c r="E65" s="35">
        <f t="shared" si="35"/>
        <v>1.6079264745592664E-3</v>
      </c>
      <c r="F65" s="42">
        <v>100</v>
      </c>
      <c r="G65" s="42">
        <v>100</v>
      </c>
      <c r="H65" s="36">
        <v>1023</v>
      </c>
      <c r="I65" s="58">
        <v>0.20080000000000001</v>
      </c>
      <c r="J65" s="58">
        <v>0.20080000000000001</v>
      </c>
      <c r="K65" s="52">
        <v>8459589265.7600002</v>
      </c>
      <c r="L65" s="35">
        <f t="shared" si="36"/>
        <v>1.63691183207006E-3</v>
      </c>
      <c r="M65" s="42">
        <v>100</v>
      </c>
      <c r="N65" s="42">
        <v>100</v>
      </c>
      <c r="O65" s="36">
        <v>1050</v>
      </c>
      <c r="P65" s="58">
        <v>0.20150000000000001</v>
      </c>
      <c r="Q65" s="58">
        <v>0.20150000000000001</v>
      </c>
      <c r="R65" s="63">
        <f t="shared" si="19"/>
        <v>1.8026544104722465E-2</v>
      </c>
      <c r="S65" s="63">
        <f t="shared" si="20"/>
        <v>0</v>
      </c>
      <c r="T65" s="63">
        <f t="shared" si="21"/>
        <v>2.6392961876832845E-2</v>
      </c>
      <c r="U65" s="64">
        <f t="shared" si="22"/>
        <v>7.0000000000000617E-4</v>
      </c>
      <c r="V65" s="65">
        <f t="shared" si="23"/>
        <v>7.0000000000000617E-4</v>
      </c>
    </row>
    <row r="66" spans="1:22">
      <c r="A66" s="153">
        <v>58</v>
      </c>
      <c r="B66" s="157" t="s">
        <v>117</v>
      </c>
      <c r="C66" s="148" t="s">
        <v>118</v>
      </c>
      <c r="D66" s="52">
        <v>13774470694.049999</v>
      </c>
      <c r="E66" s="35">
        <f t="shared" si="35"/>
        <v>2.6653296455956344E-3</v>
      </c>
      <c r="F66" s="42">
        <v>1</v>
      </c>
      <c r="G66" s="42">
        <v>1</v>
      </c>
      <c r="H66" s="36">
        <v>671</v>
      </c>
      <c r="I66" s="58">
        <v>0.19345599999999999</v>
      </c>
      <c r="J66" s="58">
        <v>0.19345599999999999</v>
      </c>
      <c r="K66" s="52">
        <v>13993759824.41</v>
      </c>
      <c r="L66" s="35">
        <f t="shared" si="36"/>
        <v>2.7077616078167214E-3</v>
      </c>
      <c r="M66" s="42">
        <v>1</v>
      </c>
      <c r="N66" s="42">
        <v>1</v>
      </c>
      <c r="O66" s="36">
        <v>702</v>
      </c>
      <c r="P66" s="58">
        <v>0.19447500000000001</v>
      </c>
      <c r="Q66" s="58">
        <v>0.19447500000000001</v>
      </c>
      <c r="R66" s="63">
        <f t="shared" si="19"/>
        <v>1.5919967832573372E-2</v>
      </c>
      <c r="S66" s="63">
        <f t="shared" si="20"/>
        <v>0</v>
      </c>
      <c r="T66" s="63">
        <f t="shared" si="21"/>
        <v>4.6199701937406856E-2</v>
      </c>
      <c r="U66" s="64">
        <f t="shared" si="22"/>
        <v>1.0190000000000199E-3</v>
      </c>
      <c r="V66" s="65">
        <f t="shared" si="23"/>
        <v>1.0190000000000199E-3</v>
      </c>
    </row>
    <row r="67" spans="1:22">
      <c r="A67" s="153">
        <v>59</v>
      </c>
      <c r="B67" s="149" t="s">
        <v>119</v>
      </c>
      <c r="C67" s="148" t="s">
        <v>53</v>
      </c>
      <c r="D67" s="52">
        <v>224452309558.82001</v>
      </c>
      <c r="E67" s="35">
        <f t="shared" si="35"/>
        <v>4.3431025988384879E-2</v>
      </c>
      <c r="F67" s="42">
        <v>1</v>
      </c>
      <c r="G67" s="42">
        <v>1</v>
      </c>
      <c r="H67" s="36">
        <v>79098</v>
      </c>
      <c r="I67" s="58">
        <v>0.15329999999999999</v>
      </c>
      <c r="J67" s="58">
        <v>0.15329999999999999</v>
      </c>
      <c r="K67" s="52">
        <v>226643794586.48001</v>
      </c>
      <c r="L67" s="35">
        <f t="shared" si="36"/>
        <v>4.3855073499308415E-2</v>
      </c>
      <c r="M67" s="42">
        <v>1</v>
      </c>
      <c r="N67" s="42">
        <v>1</v>
      </c>
      <c r="O67" s="36">
        <v>80388</v>
      </c>
      <c r="P67" s="58">
        <v>0.1545</v>
      </c>
      <c r="Q67" s="58">
        <v>0.1545</v>
      </c>
      <c r="R67" s="63">
        <f t="shared" si="19"/>
        <v>9.763700057119273E-3</v>
      </c>
      <c r="S67" s="63">
        <f t="shared" si="20"/>
        <v>0</v>
      </c>
      <c r="T67" s="63">
        <f t="shared" si="21"/>
        <v>1.6308882651900173E-2</v>
      </c>
      <c r="U67" s="64">
        <f t="shared" si="22"/>
        <v>1.2000000000000066E-3</v>
      </c>
      <c r="V67" s="65">
        <f t="shared" si="23"/>
        <v>1.2000000000000066E-3</v>
      </c>
    </row>
    <row r="68" spans="1:22">
      <c r="A68" s="153">
        <v>60</v>
      </c>
      <c r="B68" s="149" t="s">
        <v>120</v>
      </c>
      <c r="C68" s="148" t="s">
        <v>121</v>
      </c>
      <c r="D68" s="52">
        <v>2450410578.1700001</v>
      </c>
      <c r="E68" s="35">
        <f t="shared" si="35"/>
        <v>4.7414903286983125E-4</v>
      </c>
      <c r="F68" s="42">
        <v>1</v>
      </c>
      <c r="G68" s="42">
        <v>1</v>
      </c>
      <c r="H68" s="36">
        <v>153</v>
      </c>
      <c r="I68" s="58">
        <v>0.15409999999999999</v>
      </c>
      <c r="J68" s="58">
        <v>0.15409999999999999</v>
      </c>
      <c r="K68" s="52">
        <v>2453286863.0599999</v>
      </c>
      <c r="L68" s="35">
        <f t="shared" si="36"/>
        <v>4.7470558764110143E-4</v>
      </c>
      <c r="M68" s="42">
        <v>1</v>
      </c>
      <c r="N68" s="42">
        <v>1</v>
      </c>
      <c r="O68" s="36">
        <v>155</v>
      </c>
      <c r="P68" s="58">
        <v>0.1517</v>
      </c>
      <c r="Q68" s="58">
        <v>0.1517</v>
      </c>
      <c r="R68" s="63">
        <f t="shared" si="19"/>
        <v>1.1737971242957641E-3</v>
      </c>
      <c r="S68" s="63">
        <f t="shared" si="20"/>
        <v>0</v>
      </c>
      <c r="T68" s="63">
        <f t="shared" si="21"/>
        <v>1.3071895424836602E-2</v>
      </c>
      <c r="U68" s="64">
        <f t="shared" si="22"/>
        <v>-2.3999999999999855E-3</v>
      </c>
      <c r="V68" s="65">
        <f t="shared" si="23"/>
        <v>-2.3999999999999855E-3</v>
      </c>
    </row>
    <row r="69" spans="1:22">
      <c r="A69" s="153">
        <v>61</v>
      </c>
      <c r="B69" s="149" t="s">
        <v>122</v>
      </c>
      <c r="C69" s="148" t="s">
        <v>123</v>
      </c>
      <c r="D69" s="52">
        <v>8428126623.2700005</v>
      </c>
      <c r="E69" s="35">
        <f t="shared" si="35"/>
        <v>1.6308238802626924E-3</v>
      </c>
      <c r="F69" s="42">
        <v>1</v>
      </c>
      <c r="G69" s="42">
        <v>1</v>
      </c>
      <c r="H69" s="36">
        <v>535</v>
      </c>
      <c r="I69" s="58">
        <v>0.14230000000000001</v>
      </c>
      <c r="J69" s="58">
        <v>0.14230000000000001</v>
      </c>
      <c r="K69" s="52">
        <v>8509365626.9099998</v>
      </c>
      <c r="L69" s="35">
        <f t="shared" si="36"/>
        <v>1.6465434479752924E-3</v>
      </c>
      <c r="M69" s="42">
        <v>1</v>
      </c>
      <c r="N69" s="42">
        <v>1</v>
      </c>
      <c r="O69" s="36">
        <v>542</v>
      </c>
      <c r="P69" s="58">
        <v>0.17299999999999999</v>
      </c>
      <c r="Q69" s="58">
        <v>0.16900000000000001</v>
      </c>
      <c r="R69" s="63">
        <f t="shared" si="19"/>
        <v>9.6390345412821696E-3</v>
      </c>
      <c r="S69" s="63">
        <f t="shared" si="20"/>
        <v>0</v>
      </c>
      <c r="T69" s="63">
        <f t="shared" si="21"/>
        <v>1.3084112149532711E-2</v>
      </c>
      <c r="U69" s="64">
        <f t="shared" si="22"/>
        <v>3.0699999999999977E-2</v>
      </c>
      <c r="V69" s="65">
        <f t="shared" si="23"/>
        <v>2.6700000000000002E-2</v>
      </c>
    </row>
    <row r="70" spans="1:22">
      <c r="A70" s="153">
        <v>62</v>
      </c>
      <c r="B70" s="149" t="s">
        <v>124</v>
      </c>
      <c r="C70" s="148" t="s">
        <v>125</v>
      </c>
      <c r="D70" s="52">
        <v>12575558228</v>
      </c>
      <c r="E70" s="35">
        <f t="shared" si="35"/>
        <v>2.4333427323258885E-3</v>
      </c>
      <c r="F70" s="42">
        <v>1</v>
      </c>
      <c r="G70" s="42">
        <v>1</v>
      </c>
      <c r="H70" s="36">
        <v>5798</v>
      </c>
      <c r="I70" s="58">
        <v>0.18290000000000001</v>
      </c>
      <c r="J70" s="58">
        <v>0.18290000000000001</v>
      </c>
      <c r="K70" s="52">
        <v>12182055371.059999</v>
      </c>
      <c r="L70" s="35">
        <f t="shared" si="36"/>
        <v>2.3572007989242803E-3</v>
      </c>
      <c r="M70" s="42">
        <v>1</v>
      </c>
      <c r="N70" s="42">
        <v>1</v>
      </c>
      <c r="O70" s="36">
        <v>5871</v>
      </c>
      <c r="P70" s="58">
        <v>0.18360000000000001</v>
      </c>
      <c r="Q70" s="58">
        <v>0.18360000000000001</v>
      </c>
      <c r="R70" s="63">
        <f t="shared" si="19"/>
        <v>-3.1291084642576752E-2</v>
      </c>
      <c r="S70" s="63">
        <f t="shared" si="20"/>
        <v>0</v>
      </c>
      <c r="T70" s="63">
        <f t="shared" si="21"/>
        <v>1.2590548464987927E-2</v>
      </c>
      <c r="U70" s="64">
        <f t="shared" si="22"/>
        <v>7.0000000000000617E-4</v>
      </c>
      <c r="V70" s="65">
        <f t="shared" si="23"/>
        <v>7.0000000000000617E-4</v>
      </c>
    </row>
    <row r="71" spans="1:22">
      <c r="A71" s="153">
        <v>63</v>
      </c>
      <c r="B71" s="149" t="s">
        <v>126</v>
      </c>
      <c r="C71" s="148" t="s">
        <v>127</v>
      </c>
      <c r="D71" s="52">
        <v>140574829749.37</v>
      </c>
      <c r="E71" s="35">
        <f t="shared" si="35"/>
        <v>2.7200918966519744E-2</v>
      </c>
      <c r="F71" s="42">
        <v>1</v>
      </c>
      <c r="G71" s="42">
        <v>1</v>
      </c>
      <c r="H71" s="36">
        <v>7492</v>
      </c>
      <c r="I71" s="58">
        <v>0.1716</v>
      </c>
      <c r="J71" s="58">
        <v>0.1716</v>
      </c>
      <c r="K71" s="52">
        <v>142829982383.75</v>
      </c>
      <c r="L71" s="35">
        <f t="shared" si="36"/>
        <v>2.7637286018674604E-2</v>
      </c>
      <c r="M71" s="42">
        <v>1</v>
      </c>
      <c r="N71" s="42">
        <v>1</v>
      </c>
      <c r="O71" s="36">
        <v>7610</v>
      </c>
      <c r="P71" s="58">
        <v>0.16969999999999999</v>
      </c>
      <c r="Q71" s="58">
        <v>0.16969999999999999</v>
      </c>
      <c r="R71" s="63">
        <f t="shared" si="19"/>
        <v>1.6042364329380322E-2</v>
      </c>
      <c r="S71" s="63">
        <f t="shared" si="20"/>
        <v>0</v>
      </c>
      <c r="T71" s="63">
        <f t="shared" si="21"/>
        <v>1.5750133475707421E-2</v>
      </c>
      <c r="U71" s="64">
        <f t="shared" si="22"/>
        <v>-1.9000000000000128E-3</v>
      </c>
      <c r="V71" s="65">
        <f t="shared" si="23"/>
        <v>-1.9000000000000128E-3</v>
      </c>
    </row>
    <row r="72" spans="1:22">
      <c r="A72" s="43"/>
      <c r="B72" s="44"/>
      <c r="C72" s="45" t="s">
        <v>56</v>
      </c>
      <c r="D72" s="67">
        <f>SUM(D29:D71)</f>
        <v>5108518173049.8516</v>
      </c>
      <c r="E72" s="47">
        <f>(D72/$D$231)</f>
        <v>0.63411530212249201</v>
      </c>
      <c r="F72" s="48"/>
      <c r="G72" s="53"/>
      <c r="H72" s="50">
        <f>SUM(H29:H71)</f>
        <v>633348</v>
      </c>
      <c r="I72" s="71"/>
      <c r="J72" s="71"/>
      <c r="K72" s="67">
        <f>SUM(K29:K71)</f>
        <v>5168017665961.8213</v>
      </c>
      <c r="L72" s="47">
        <f>(K72/$K$231)</f>
        <v>0.63949681507199929</v>
      </c>
      <c r="M72" s="48"/>
      <c r="N72" s="53"/>
      <c r="O72" s="50">
        <f>SUM(O29:O71)</f>
        <v>646022</v>
      </c>
      <c r="P72" s="71"/>
      <c r="Q72" s="71"/>
      <c r="R72" s="63">
        <f t="shared" si="19"/>
        <v>1.1647113878513964E-2</v>
      </c>
      <c r="S72" s="63" t="e">
        <f t="shared" si="20"/>
        <v>#DIV/0!</v>
      </c>
      <c r="T72" s="63">
        <f t="shared" si="21"/>
        <v>2.0011115532061363E-2</v>
      </c>
      <c r="U72" s="64">
        <f t="shared" si="22"/>
        <v>0</v>
      </c>
      <c r="V72" s="65">
        <f t="shared" si="23"/>
        <v>0</v>
      </c>
    </row>
    <row r="73" spans="1:22" ht="3" customHeight="1">
      <c r="A73" s="43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</row>
    <row r="74" spans="1:22" ht="15" customHeight="1">
      <c r="A74" s="189" t="s">
        <v>128</v>
      </c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</row>
    <row r="75" spans="1:22">
      <c r="A75" s="153">
        <v>64</v>
      </c>
      <c r="B75" s="149" t="s">
        <v>129</v>
      </c>
      <c r="C75" s="148" t="s">
        <v>22</v>
      </c>
      <c r="D75" s="40">
        <v>727474295.13999999</v>
      </c>
      <c r="E75" s="35">
        <f>(D75/$D$114)</f>
        <v>2.9932863139526008E-3</v>
      </c>
      <c r="F75" s="68">
        <v>1.6544000000000001</v>
      </c>
      <c r="G75" s="68">
        <v>1.6544000000000001</v>
      </c>
      <c r="H75" s="36">
        <v>541</v>
      </c>
      <c r="I75" s="58">
        <v>1.029E-3</v>
      </c>
      <c r="J75" s="58">
        <v>-8.8999999999999999E-3</v>
      </c>
      <c r="K75" s="40">
        <v>737095476.61000001</v>
      </c>
      <c r="L75" s="35">
        <f t="shared" ref="L75:L98" si="37">(K75/$K$114)</f>
        <v>3.0526124466664774E-3</v>
      </c>
      <c r="M75" s="68">
        <v>1.6862999999999999</v>
      </c>
      <c r="N75" s="68">
        <v>1.6862999999999999</v>
      </c>
      <c r="O75" s="36">
        <v>542</v>
      </c>
      <c r="P75" s="58">
        <v>6.5300000000000004E-4</v>
      </c>
      <c r="Q75" s="58">
        <v>1.0200000000000001E-2</v>
      </c>
      <c r="R75" s="63">
        <f>((K75-D75)/D75)</f>
        <v>1.3225459008346768E-2</v>
      </c>
      <c r="S75" s="63">
        <f>((N75-G75)/G75)</f>
        <v>1.928191489361691E-2</v>
      </c>
      <c r="T75" s="63">
        <f>((O75-H75)/H75)</f>
        <v>1.8484288354898336E-3</v>
      </c>
      <c r="U75" s="64">
        <f>P75-I75</f>
        <v>-3.7599999999999992E-4</v>
      </c>
      <c r="V75" s="65">
        <f>Q75-J75</f>
        <v>1.9099999999999999E-2</v>
      </c>
    </row>
    <row r="76" spans="1:22">
      <c r="A76" s="153">
        <v>65</v>
      </c>
      <c r="B76" s="149" t="s">
        <v>130</v>
      </c>
      <c r="C76" s="148" t="s">
        <v>24</v>
      </c>
      <c r="D76" s="40">
        <v>1328942281.27</v>
      </c>
      <c r="E76" s="35">
        <f>(D76/$D$114)</f>
        <v>5.4681035043209385E-3</v>
      </c>
      <c r="F76" s="68">
        <v>1.3338000000000001</v>
      </c>
      <c r="G76" s="68">
        <v>1.3338000000000001</v>
      </c>
      <c r="H76" s="36">
        <v>1460</v>
      </c>
      <c r="I76" s="58">
        <v>0.10970000000000001</v>
      </c>
      <c r="J76" s="58">
        <v>5.4899999999999997E-2</v>
      </c>
      <c r="K76" s="40">
        <v>1206081855.8699999</v>
      </c>
      <c r="L76" s="35">
        <f t="shared" si="37"/>
        <v>4.9948759716448073E-3</v>
      </c>
      <c r="M76" s="68">
        <v>1.3394999999999999</v>
      </c>
      <c r="N76" s="68">
        <v>1.3394999999999999</v>
      </c>
      <c r="O76" s="36">
        <v>1465</v>
      </c>
      <c r="P76" s="58">
        <v>0.2228</v>
      </c>
      <c r="Q76" s="58">
        <v>9.4299999999999995E-2</v>
      </c>
      <c r="R76" s="63">
        <f t="shared" ref="R76:R114" si="38">((K76-D76)/D76)</f>
        <v>-9.2449782907493075E-2</v>
      </c>
      <c r="S76" s="63">
        <f t="shared" ref="S76:S114" si="39">((N76-G76)/G76)</f>
        <v>4.2735042735041352E-3</v>
      </c>
      <c r="T76" s="63">
        <f t="shared" ref="T76:T114" si="40">((O76-H76)/H76)</f>
        <v>3.4246575342465752E-3</v>
      </c>
      <c r="U76" s="64">
        <f t="shared" ref="U76:U114" si="41">P76-I76</f>
        <v>0.11309999999999999</v>
      </c>
      <c r="V76" s="65">
        <f t="shared" ref="V76:V114" si="42">Q76-J76</f>
        <v>3.9399999999999998E-2</v>
      </c>
    </row>
    <row r="77" spans="1:22">
      <c r="A77" s="153">
        <v>66</v>
      </c>
      <c r="B77" s="149" t="s">
        <v>131</v>
      </c>
      <c r="C77" s="148" t="s">
        <v>24</v>
      </c>
      <c r="D77" s="40">
        <v>853406636.50999999</v>
      </c>
      <c r="E77" s="35">
        <f>(D77/$D$114)</f>
        <v>3.5114510881928854E-3</v>
      </c>
      <c r="F77" s="68">
        <v>1.1906000000000001</v>
      </c>
      <c r="G77" s="68">
        <v>1.1906000000000001</v>
      </c>
      <c r="H77" s="36">
        <v>636</v>
      </c>
      <c r="I77" s="58">
        <v>0.11409999999999999</v>
      </c>
      <c r="J77" s="58">
        <v>0.11409999999999999</v>
      </c>
      <c r="K77" s="40">
        <v>656129765.10000002</v>
      </c>
      <c r="L77" s="35">
        <f t="shared" si="37"/>
        <v>2.7173004734532638E-3</v>
      </c>
      <c r="M77" s="68">
        <v>1.1932</v>
      </c>
      <c r="N77" s="68">
        <v>1.1932</v>
      </c>
      <c r="O77" s="36">
        <v>649</v>
      </c>
      <c r="P77" s="58">
        <v>0.1139</v>
      </c>
      <c r="Q77" s="58">
        <v>0.1142</v>
      </c>
      <c r="R77" s="63">
        <f t="shared" si="38"/>
        <v>-0.23116397619868795</v>
      </c>
      <c r="S77" s="63">
        <f t="shared" si="39"/>
        <v>2.1837728876196332E-3</v>
      </c>
      <c r="T77" s="63">
        <f t="shared" si="40"/>
        <v>2.0440251572327043E-2</v>
      </c>
      <c r="U77" s="64">
        <f t="shared" si="41"/>
        <v>-1.9999999999999185E-4</v>
      </c>
      <c r="V77" s="65">
        <f t="shared" si="42"/>
        <v>1.0000000000000286E-4</v>
      </c>
    </row>
    <row r="78" spans="1:22">
      <c r="A78" s="153">
        <v>67</v>
      </c>
      <c r="B78" s="149" t="s">
        <v>132</v>
      </c>
      <c r="C78" s="148" t="s">
        <v>64</v>
      </c>
      <c r="D78" s="40">
        <v>327424913.19</v>
      </c>
      <c r="E78" s="35">
        <f>(D78/$D$114)</f>
        <v>1.3472318101770634E-3</v>
      </c>
      <c r="F78" s="39">
        <v>1272.22</v>
      </c>
      <c r="G78" s="39">
        <v>1272.22</v>
      </c>
      <c r="H78" s="36">
        <v>109</v>
      </c>
      <c r="I78" s="58">
        <v>2.2000000000000001E-3</v>
      </c>
      <c r="J78" s="58">
        <v>7.6300000000000007E-2</v>
      </c>
      <c r="K78" s="40">
        <v>329573237.69999999</v>
      </c>
      <c r="L78" s="35">
        <f t="shared" si="37"/>
        <v>1.3648969494673745E-3</v>
      </c>
      <c r="M78" s="39">
        <v>1280.56</v>
      </c>
      <c r="N78" s="39">
        <v>1280.56</v>
      </c>
      <c r="O78" s="36">
        <v>109</v>
      </c>
      <c r="P78" s="58">
        <v>2.2000000000000001E-3</v>
      </c>
      <c r="Q78" s="58">
        <v>7.6300000000000007E-2</v>
      </c>
      <c r="R78" s="63">
        <f t="shared" si="38"/>
        <v>6.5612738171617032E-3</v>
      </c>
      <c r="S78" s="63">
        <f t="shared" si="39"/>
        <v>6.5554699658863392E-3</v>
      </c>
      <c r="T78" s="63">
        <f t="shared" si="40"/>
        <v>0</v>
      </c>
      <c r="U78" s="64">
        <f t="shared" si="41"/>
        <v>0</v>
      </c>
      <c r="V78" s="65">
        <f t="shared" si="42"/>
        <v>0</v>
      </c>
    </row>
    <row r="79" spans="1:22" ht="15" customHeight="1">
      <c r="A79" s="153">
        <v>68</v>
      </c>
      <c r="B79" s="149" t="s">
        <v>133</v>
      </c>
      <c r="C79" s="148" t="s">
        <v>28</v>
      </c>
      <c r="D79" s="40">
        <v>1739276130.3099999</v>
      </c>
      <c r="E79" s="35">
        <f>(D79/$K$114)</f>
        <v>7.2030505301600182E-3</v>
      </c>
      <c r="F79" s="39">
        <v>1.0817000000000001</v>
      </c>
      <c r="G79" s="39">
        <v>1.0817000000000001</v>
      </c>
      <c r="H79" s="36">
        <v>1074</v>
      </c>
      <c r="I79" s="58">
        <v>-1.2999999999999999E-3</v>
      </c>
      <c r="J79" s="58">
        <v>5.0000000000000001E-4</v>
      </c>
      <c r="K79" s="40">
        <v>1770732064.27</v>
      </c>
      <c r="L79" s="35">
        <f t="shared" si="37"/>
        <v>7.3333223586746037E-3</v>
      </c>
      <c r="M79" s="39">
        <v>1.1095999999999999</v>
      </c>
      <c r="N79" s="39">
        <v>1.1095999999999999</v>
      </c>
      <c r="O79" s="36">
        <v>1081</v>
      </c>
      <c r="P79" s="58">
        <v>2.4500000000000001E-2</v>
      </c>
      <c r="Q79" s="58">
        <v>2.5000000000000001E-2</v>
      </c>
      <c r="R79" s="63">
        <f t="shared" si="38"/>
        <v>1.808564690322835E-2</v>
      </c>
      <c r="S79" s="63">
        <f t="shared" si="39"/>
        <v>2.5792733659979486E-2</v>
      </c>
      <c r="T79" s="63">
        <f t="shared" si="40"/>
        <v>6.5176908752327747E-3</v>
      </c>
      <c r="U79" s="64">
        <f t="shared" si="41"/>
        <v>2.58E-2</v>
      </c>
      <c r="V79" s="65">
        <f t="shared" si="42"/>
        <v>2.4500000000000001E-2</v>
      </c>
    </row>
    <row r="80" spans="1:22">
      <c r="A80" s="153">
        <v>69</v>
      </c>
      <c r="B80" s="149" t="s">
        <v>134</v>
      </c>
      <c r="C80" s="148" t="s">
        <v>135</v>
      </c>
      <c r="D80" s="40">
        <v>485021022.61000001</v>
      </c>
      <c r="E80" s="35">
        <f t="shared" ref="E80:E98" si="43">(D80/$D$114)</f>
        <v>1.9956812201569443E-3</v>
      </c>
      <c r="F80" s="39">
        <v>2.7645</v>
      </c>
      <c r="G80" s="39">
        <v>2.7645</v>
      </c>
      <c r="H80" s="36">
        <v>1390</v>
      </c>
      <c r="I80" s="58">
        <v>0.14000000000000001</v>
      </c>
      <c r="J80" s="58">
        <v>0.1419</v>
      </c>
      <c r="K80" s="40">
        <v>486464559.79000002</v>
      </c>
      <c r="L80" s="35">
        <f t="shared" si="37"/>
        <v>2.014647786073439E-3</v>
      </c>
      <c r="M80" s="39">
        <v>2.7715999999999998</v>
      </c>
      <c r="N80" s="39">
        <v>2.7715999999999998</v>
      </c>
      <c r="O80" s="36">
        <v>1390</v>
      </c>
      <c r="P80" s="58">
        <v>0.13389999999999999</v>
      </c>
      <c r="Q80" s="58">
        <v>0.14030000000000001</v>
      </c>
      <c r="R80" s="63">
        <f t="shared" si="38"/>
        <v>2.9762363128757394E-3</v>
      </c>
      <c r="S80" s="63">
        <f t="shared" si="39"/>
        <v>2.5682763610055648E-3</v>
      </c>
      <c r="T80" s="63">
        <f t="shared" si="40"/>
        <v>0</v>
      </c>
      <c r="U80" s="64">
        <f t="shared" si="41"/>
        <v>-6.1000000000000221E-3</v>
      </c>
      <c r="V80" s="65">
        <f t="shared" si="42"/>
        <v>-1.5999999999999903E-3</v>
      </c>
    </row>
    <row r="81" spans="1:22">
      <c r="A81" s="153">
        <v>70</v>
      </c>
      <c r="B81" s="148" t="s">
        <v>136</v>
      </c>
      <c r="C81" s="148" t="s">
        <v>137</v>
      </c>
      <c r="D81" s="40">
        <v>1262656865.54</v>
      </c>
      <c r="E81" s="35">
        <f t="shared" si="43"/>
        <v>5.1953636576421176E-3</v>
      </c>
      <c r="F81" s="39">
        <v>1131.67</v>
      </c>
      <c r="G81" s="39">
        <v>1131.67</v>
      </c>
      <c r="H81" s="36">
        <v>249</v>
      </c>
      <c r="I81" s="58">
        <v>1.1849999999999999E-2</v>
      </c>
      <c r="J81" s="58">
        <v>2.0459999999999999E-2</v>
      </c>
      <c r="K81" s="40">
        <v>1257230567.4000001</v>
      </c>
      <c r="L81" s="35">
        <f t="shared" si="37"/>
        <v>5.2067036091789937E-3</v>
      </c>
      <c r="M81" s="39">
        <v>1145.22</v>
      </c>
      <c r="N81" s="39">
        <v>1145.22</v>
      </c>
      <c r="O81" s="36">
        <v>257</v>
      </c>
      <c r="P81" s="58">
        <v>2.33E-3</v>
      </c>
      <c r="Q81" s="58">
        <v>2.342E-2</v>
      </c>
      <c r="R81" s="63">
        <f t="shared" ref="R81" si="44">((K81-D81)/D81)</f>
        <v>-4.2975239656097728E-3</v>
      </c>
      <c r="S81" s="63">
        <f t="shared" si="39"/>
        <v>1.1973455159189475E-2</v>
      </c>
      <c r="T81" s="63">
        <f t="shared" ref="T81" si="45">((O81-H81)/H81)</f>
        <v>3.2128514056224897E-2</v>
      </c>
      <c r="U81" s="64">
        <f t="shared" si="41"/>
        <v>-9.5199999999999989E-3</v>
      </c>
      <c r="V81" s="65">
        <f t="shared" si="42"/>
        <v>2.9600000000000008E-3</v>
      </c>
    </row>
    <row r="82" spans="1:22">
      <c r="A82" s="153">
        <v>71</v>
      </c>
      <c r="B82" s="149" t="s">
        <v>138</v>
      </c>
      <c r="C82" s="148" t="s">
        <v>69</v>
      </c>
      <c r="D82" s="40">
        <v>232308393.36000001</v>
      </c>
      <c r="E82" s="35">
        <f t="shared" si="43"/>
        <v>9.5586268697917985E-4</v>
      </c>
      <c r="F82" s="39">
        <v>11.4551</v>
      </c>
      <c r="G82" s="39">
        <v>11.529199999999999</v>
      </c>
      <c r="H82" s="36">
        <v>46</v>
      </c>
      <c r="I82" s="58">
        <v>-2.5100000000000001E-3</v>
      </c>
      <c r="J82" s="58">
        <v>-1.6400000000000001E-2</v>
      </c>
      <c r="K82" s="40">
        <v>232983540.21000001</v>
      </c>
      <c r="L82" s="35">
        <f t="shared" si="37"/>
        <v>9.6487968964944386E-4</v>
      </c>
      <c r="M82" s="39">
        <v>11.4884</v>
      </c>
      <c r="N82" s="39">
        <v>11.5625</v>
      </c>
      <c r="O82" s="36">
        <v>46</v>
      </c>
      <c r="P82" s="58">
        <v>2.0999999999999999E-3</v>
      </c>
      <c r="Q82" s="58">
        <v>2.4799999999999999E-2</v>
      </c>
      <c r="R82" s="63">
        <f t="shared" si="38"/>
        <v>2.9062525044187409E-3</v>
      </c>
      <c r="S82" s="63">
        <f t="shared" si="39"/>
        <v>2.8883183568678274E-3</v>
      </c>
      <c r="T82" s="63">
        <f t="shared" si="40"/>
        <v>0</v>
      </c>
      <c r="U82" s="64">
        <f t="shared" si="41"/>
        <v>4.6099999999999995E-3</v>
      </c>
      <c r="V82" s="65">
        <f t="shared" si="42"/>
        <v>4.1200000000000001E-2</v>
      </c>
    </row>
    <row r="83" spans="1:22">
      <c r="A83" s="153">
        <v>72</v>
      </c>
      <c r="B83" s="149" t="s">
        <v>139</v>
      </c>
      <c r="C83" s="148" t="s">
        <v>71</v>
      </c>
      <c r="D83" s="40">
        <v>2043625922.2664299</v>
      </c>
      <c r="E83" s="35">
        <f t="shared" si="43"/>
        <v>8.4087610309057596E-3</v>
      </c>
      <c r="F83" s="40">
        <v>4789.0134504141797</v>
      </c>
      <c r="G83" s="40">
        <v>4789.0134504141797</v>
      </c>
      <c r="H83" s="36">
        <v>1174</v>
      </c>
      <c r="I83" s="58">
        <v>0.1187</v>
      </c>
      <c r="J83" s="58">
        <v>0.12139999999999999</v>
      </c>
      <c r="K83" s="40">
        <v>2048871139.8719499</v>
      </c>
      <c r="L83" s="35">
        <f t="shared" si="37"/>
        <v>8.4852095035960699E-3</v>
      </c>
      <c r="M83" s="40">
        <v>4797.7313319281802</v>
      </c>
      <c r="N83" s="40">
        <v>4797.7313319281802</v>
      </c>
      <c r="O83" s="36">
        <v>1184</v>
      </c>
      <c r="P83" s="58">
        <v>9.4899999999999998E-2</v>
      </c>
      <c r="Q83" s="58">
        <v>0.1154</v>
      </c>
      <c r="R83" s="63">
        <f t="shared" si="38"/>
        <v>2.5666231517081847E-3</v>
      </c>
      <c r="S83" s="63">
        <f t="shared" si="39"/>
        <v>1.8203919459124803E-3</v>
      </c>
      <c r="T83" s="63">
        <f t="shared" si="40"/>
        <v>8.5178875638841564E-3</v>
      </c>
      <c r="U83" s="64">
        <f t="shared" si="41"/>
        <v>-2.3800000000000002E-2</v>
      </c>
      <c r="V83" s="65">
        <f t="shared" si="42"/>
        <v>-5.9999999999999915E-3</v>
      </c>
    </row>
    <row r="84" spans="1:22">
      <c r="A84" s="153">
        <v>73</v>
      </c>
      <c r="B84" s="149" t="s">
        <v>140</v>
      </c>
      <c r="C84" s="148" t="s">
        <v>73</v>
      </c>
      <c r="D84" s="40">
        <v>372804542.69</v>
      </c>
      <c r="E84" s="35">
        <f t="shared" si="43"/>
        <v>1.5339521174402208E-3</v>
      </c>
      <c r="F84" s="68">
        <v>112.83</v>
      </c>
      <c r="G84" s="68">
        <v>112.83</v>
      </c>
      <c r="H84" s="36">
        <v>97</v>
      </c>
      <c r="I84" s="58">
        <v>2.0999999999999999E-3</v>
      </c>
      <c r="J84" s="58">
        <v>0.1225</v>
      </c>
      <c r="K84" s="40">
        <v>373812421.25999999</v>
      </c>
      <c r="L84" s="35">
        <f t="shared" si="37"/>
        <v>1.5481094187484359E-3</v>
      </c>
      <c r="M84" s="68">
        <v>113.08</v>
      </c>
      <c r="N84" s="68">
        <v>113.08</v>
      </c>
      <c r="O84" s="36">
        <v>97</v>
      </c>
      <c r="P84" s="58">
        <v>2.2000000000000001E-3</v>
      </c>
      <c r="Q84" s="58">
        <v>0.1215</v>
      </c>
      <c r="R84" s="63">
        <f t="shared" si="38"/>
        <v>2.7035039936143673E-3</v>
      </c>
      <c r="S84" s="63">
        <f t="shared" si="39"/>
        <v>2.2157227687671717E-3</v>
      </c>
      <c r="T84" s="63">
        <f t="shared" si="40"/>
        <v>0</v>
      </c>
      <c r="U84" s="64">
        <f t="shared" si="41"/>
        <v>1.0000000000000026E-4</v>
      </c>
      <c r="V84" s="65">
        <f t="shared" si="42"/>
        <v>-1.0000000000000009E-3</v>
      </c>
    </row>
    <row r="85" spans="1:22" ht="13.5" customHeight="1">
      <c r="A85" s="153">
        <v>74</v>
      </c>
      <c r="B85" s="149" t="s">
        <v>141</v>
      </c>
      <c r="C85" s="148" t="s">
        <v>75</v>
      </c>
      <c r="D85" s="40">
        <v>900051041.63999999</v>
      </c>
      <c r="E85" s="35">
        <f t="shared" si="43"/>
        <v>3.7033754770418688E-3</v>
      </c>
      <c r="F85" s="68">
        <v>1.5034000000000001</v>
      </c>
      <c r="G85" s="68">
        <v>1.5034000000000001</v>
      </c>
      <c r="H85" s="36">
        <v>2074</v>
      </c>
      <c r="I85" s="58">
        <v>2.3E-3</v>
      </c>
      <c r="J85" s="58">
        <v>0.14050000000000001</v>
      </c>
      <c r="K85" s="40">
        <v>1106443660.46</v>
      </c>
      <c r="L85" s="35">
        <f t="shared" si="37"/>
        <v>4.5822336408699533E-3</v>
      </c>
      <c r="M85" s="68">
        <v>1.5158</v>
      </c>
      <c r="N85" s="68">
        <v>1.5158</v>
      </c>
      <c r="O85" s="36">
        <v>2260</v>
      </c>
      <c r="P85" s="58">
        <v>2.3E-3</v>
      </c>
      <c r="Q85" s="58">
        <v>0.14050000000000001</v>
      </c>
      <c r="R85" s="63">
        <f t="shared" si="38"/>
        <v>0.22931212705884788</v>
      </c>
      <c r="S85" s="63">
        <f t="shared" si="39"/>
        <v>8.2479712651323447E-3</v>
      </c>
      <c r="T85" s="63">
        <f t="shared" si="40"/>
        <v>8.9681774349083893E-2</v>
      </c>
      <c r="U85" s="64">
        <f t="shared" si="41"/>
        <v>0</v>
      </c>
      <c r="V85" s="65">
        <f t="shared" si="42"/>
        <v>0</v>
      </c>
    </row>
    <row r="86" spans="1:22" ht="13.5" customHeight="1">
      <c r="A86" s="153">
        <v>75</v>
      </c>
      <c r="B86" s="149" t="s">
        <v>142</v>
      </c>
      <c r="C86" s="148" t="s">
        <v>75</v>
      </c>
      <c r="D86" s="40">
        <v>126402773.31</v>
      </c>
      <c r="E86" s="35">
        <f t="shared" si="43"/>
        <v>5.2010042680843051E-4</v>
      </c>
      <c r="F86" s="68">
        <v>0.99750000000000005</v>
      </c>
      <c r="G86" s="68">
        <v>0.99750000000000005</v>
      </c>
      <c r="H86" s="36">
        <v>98</v>
      </c>
      <c r="I86" s="58">
        <v>2.8999999999999998E-3</v>
      </c>
      <c r="J86" s="58">
        <v>6.4000000000000003E-3</v>
      </c>
      <c r="K86" s="40">
        <v>114228159.44</v>
      </c>
      <c r="L86" s="35">
        <f t="shared" si="37"/>
        <v>4.7306531152522906E-4</v>
      </c>
      <c r="M86" s="68">
        <v>1.0035000000000001</v>
      </c>
      <c r="N86" s="68">
        <v>1.0035000000000001</v>
      </c>
      <c r="O86" s="36">
        <v>97</v>
      </c>
      <c r="P86" s="58">
        <v>6.0000000000000001E-3</v>
      </c>
      <c r="Q86" s="58">
        <v>1.24E-2</v>
      </c>
      <c r="R86" s="63">
        <f t="shared" ref="R86" si="46">((K86-D86)/D86)</f>
        <v>-9.6316034460272745E-2</v>
      </c>
      <c r="S86" s="63">
        <f t="shared" ref="S86" si="47">((N86-G86)/G86)</f>
        <v>6.0150375939849671E-3</v>
      </c>
      <c r="T86" s="63">
        <f t="shared" ref="T86" si="48">((O86-H86)/H86)</f>
        <v>-1.020408163265306E-2</v>
      </c>
      <c r="U86" s="64">
        <f t="shared" ref="U86" si="49">P86-I86</f>
        <v>3.1000000000000003E-3</v>
      </c>
      <c r="V86" s="65">
        <f t="shared" ref="V86" si="50">Q86-J86</f>
        <v>5.9999999999999993E-3</v>
      </c>
    </row>
    <row r="87" spans="1:22">
      <c r="A87" s="153">
        <v>76</v>
      </c>
      <c r="B87" s="149" t="s">
        <v>143</v>
      </c>
      <c r="C87" s="148" t="s">
        <v>30</v>
      </c>
      <c r="D87" s="40">
        <v>290960683.42000002</v>
      </c>
      <c r="E87" s="35">
        <f t="shared" si="43"/>
        <v>1.1971950588464081E-3</v>
      </c>
      <c r="F87" s="68">
        <v>141.1079</v>
      </c>
      <c r="G87" s="68">
        <v>141.1079</v>
      </c>
      <c r="H87" s="36">
        <v>391</v>
      </c>
      <c r="I87" s="58">
        <v>5.0100000000000003E-4</v>
      </c>
      <c r="J87" s="58">
        <v>2.4799999999999999E-2</v>
      </c>
      <c r="K87" s="40">
        <v>225393895.81</v>
      </c>
      <c r="L87" s="35">
        <f t="shared" si="37"/>
        <v>9.3344788237833382E-4</v>
      </c>
      <c r="M87" s="68">
        <v>141.56460000000001</v>
      </c>
      <c r="N87" s="68">
        <v>141.56460000000001</v>
      </c>
      <c r="O87" s="36">
        <v>395</v>
      </c>
      <c r="P87" s="58">
        <v>5.7700000000000004E-4</v>
      </c>
      <c r="Q87" s="58">
        <v>2.8199999999999999E-2</v>
      </c>
      <c r="R87" s="63">
        <f t="shared" si="38"/>
        <v>-0.22534586748737714</v>
      </c>
      <c r="S87" s="63">
        <f t="shared" si="39"/>
        <v>3.236530343092145E-3</v>
      </c>
      <c r="T87" s="63">
        <f t="shared" si="40"/>
        <v>1.0230179028132993E-2</v>
      </c>
      <c r="U87" s="64">
        <f t="shared" si="41"/>
        <v>7.6000000000000004E-5</v>
      </c>
      <c r="V87" s="65">
        <f t="shared" si="42"/>
        <v>3.4000000000000002E-3</v>
      </c>
    </row>
    <row r="88" spans="1:22">
      <c r="A88" s="153">
        <v>77</v>
      </c>
      <c r="B88" s="149" t="s">
        <v>144</v>
      </c>
      <c r="C88" s="148" t="s">
        <v>77</v>
      </c>
      <c r="D88" s="40">
        <v>2648969985.3699999</v>
      </c>
      <c r="E88" s="35">
        <f t="shared" si="43"/>
        <v>1.089952683723802E-2</v>
      </c>
      <c r="F88" s="39">
        <v>1300.8399999999999</v>
      </c>
      <c r="G88" s="39">
        <v>1300.8399999999999</v>
      </c>
      <c r="H88" s="36">
        <v>315</v>
      </c>
      <c r="I88" s="58">
        <v>1.9300000000000001E-2</v>
      </c>
      <c r="J88" s="58">
        <v>0.2346</v>
      </c>
      <c r="K88" s="40">
        <v>2667063045.8400002</v>
      </c>
      <c r="L88" s="35">
        <f t="shared" si="37"/>
        <v>1.1045393857549194E-2</v>
      </c>
      <c r="M88" s="39">
        <v>1316.595</v>
      </c>
      <c r="N88" s="39">
        <v>1316.595</v>
      </c>
      <c r="O88" s="36">
        <v>320</v>
      </c>
      <c r="P88" s="58">
        <v>1.95E-2</v>
      </c>
      <c r="Q88" s="58">
        <v>0.2399</v>
      </c>
      <c r="R88" s="63">
        <f t="shared" si="38"/>
        <v>6.8302247930050004E-3</v>
      </c>
      <c r="S88" s="63">
        <f t="shared" si="39"/>
        <v>1.2111404938347614E-2</v>
      </c>
      <c r="T88" s="63">
        <f t="shared" si="40"/>
        <v>1.5873015873015872E-2</v>
      </c>
      <c r="U88" s="64">
        <f t="shared" si="41"/>
        <v>1.9999999999999879E-4</v>
      </c>
      <c r="V88" s="65">
        <f t="shared" si="42"/>
        <v>5.2999999999999992E-3</v>
      </c>
    </row>
    <row r="89" spans="1:22">
      <c r="A89" s="153">
        <v>78</v>
      </c>
      <c r="B89" s="149" t="s">
        <v>145</v>
      </c>
      <c r="C89" s="148" t="s">
        <v>79</v>
      </c>
      <c r="D89" s="40">
        <v>129808631.12</v>
      </c>
      <c r="E89" s="35">
        <f t="shared" si="43"/>
        <v>5.3411426570012578E-4</v>
      </c>
      <c r="F89" s="39">
        <v>969.86</v>
      </c>
      <c r="G89" s="39">
        <v>972.24</v>
      </c>
      <c r="H89" s="36">
        <v>72</v>
      </c>
      <c r="I89" s="58">
        <v>1.66E-2</v>
      </c>
      <c r="J89" s="58">
        <v>6.4000000000000003E-3</v>
      </c>
      <c r="K89" s="40">
        <v>144788131.94999999</v>
      </c>
      <c r="L89" s="35">
        <f t="shared" si="37"/>
        <v>5.99626598921611E-4</v>
      </c>
      <c r="M89" s="39">
        <v>981.74</v>
      </c>
      <c r="N89" s="39">
        <v>985.17</v>
      </c>
      <c r="O89" s="36">
        <v>72</v>
      </c>
      <c r="P89" s="58">
        <v>1.29E-2</v>
      </c>
      <c r="Q89" s="58">
        <v>1.9300000000000001E-2</v>
      </c>
      <c r="R89" s="63">
        <f t="shared" si="38"/>
        <v>0.11539680143574095</v>
      </c>
      <c r="S89" s="63">
        <f t="shared" si="39"/>
        <v>1.3299185386324313E-2</v>
      </c>
      <c r="T89" s="63">
        <f t="shared" si="40"/>
        <v>0</v>
      </c>
      <c r="U89" s="64">
        <f t="shared" si="41"/>
        <v>-3.7000000000000002E-3</v>
      </c>
      <c r="V89" s="65">
        <f t="shared" si="42"/>
        <v>1.2900000000000002E-2</v>
      </c>
    </row>
    <row r="90" spans="1:22">
      <c r="A90" s="153">
        <v>79</v>
      </c>
      <c r="B90" s="149" t="s">
        <v>146</v>
      </c>
      <c r="C90" s="148" t="s">
        <v>82</v>
      </c>
      <c r="D90" s="40">
        <v>725178462.87</v>
      </c>
      <c r="E90" s="35">
        <f t="shared" si="43"/>
        <v>2.9838398175487668E-3</v>
      </c>
      <c r="F90" s="69">
        <v>1.2</v>
      </c>
      <c r="G90" s="69">
        <v>1.2</v>
      </c>
      <c r="H90" s="36">
        <v>52</v>
      </c>
      <c r="I90" s="58">
        <v>0.13557</v>
      </c>
      <c r="J90" s="58">
        <v>0.1356</v>
      </c>
      <c r="K90" s="40">
        <v>727177307.35000002</v>
      </c>
      <c r="L90" s="35">
        <f t="shared" si="37"/>
        <v>3.0115372699872421E-3</v>
      </c>
      <c r="M90" s="69">
        <v>1.21</v>
      </c>
      <c r="N90" s="69">
        <v>1.21</v>
      </c>
      <c r="O90" s="36">
        <v>51</v>
      </c>
      <c r="P90" s="58">
        <v>0.13557</v>
      </c>
      <c r="Q90" s="58">
        <v>0.1356</v>
      </c>
      <c r="R90" s="63">
        <f t="shared" si="38"/>
        <v>2.7563483781485997E-3</v>
      </c>
      <c r="S90" s="63">
        <f t="shared" si="39"/>
        <v>8.3333333333333419E-3</v>
      </c>
      <c r="T90" s="63">
        <f t="shared" si="40"/>
        <v>-1.9230769230769232E-2</v>
      </c>
      <c r="U90" s="64">
        <f t="shared" si="41"/>
        <v>0</v>
      </c>
      <c r="V90" s="65">
        <f t="shared" si="42"/>
        <v>0</v>
      </c>
    </row>
    <row r="91" spans="1:22">
      <c r="A91" s="153">
        <v>80</v>
      </c>
      <c r="B91" s="149" t="s">
        <v>147</v>
      </c>
      <c r="C91" s="148" t="s">
        <v>32</v>
      </c>
      <c r="D91" s="69">
        <v>11630205362.68</v>
      </c>
      <c r="E91" s="35">
        <f t="shared" si="43"/>
        <v>4.7853971986554708E-2</v>
      </c>
      <c r="F91" s="69">
        <v>1675.66</v>
      </c>
      <c r="G91" s="69">
        <v>1675.66</v>
      </c>
      <c r="H91" s="36">
        <v>2047</v>
      </c>
      <c r="I91" s="58">
        <v>1.6999999999999999E-3</v>
      </c>
      <c r="J91" s="58">
        <v>5.5999999999999999E-3</v>
      </c>
      <c r="K91" s="69">
        <v>11578613691.709999</v>
      </c>
      <c r="L91" s="35">
        <f t="shared" si="37"/>
        <v>4.7951753052417681E-2</v>
      </c>
      <c r="M91" s="69">
        <v>1678.55</v>
      </c>
      <c r="N91" s="69">
        <v>1678.55</v>
      </c>
      <c r="O91" s="36">
        <v>2042</v>
      </c>
      <c r="P91" s="58">
        <v>1.6999999999999999E-3</v>
      </c>
      <c r="Q91" s="58">
        <v>7.4000000000000003E-3</v>
      </c>
      <c r="R91" s="63">
        <f t="shared" si="38"/>
        <v>-4.4360068770198154E-3</v>
      </c>
      <c r="S91" s="63">
        <f t="shared" si="39"/>
        <v>1.72469355358478E-3</v>
      </c>
      <c r="T91" s="63">
        <f t="shared" si="40"/>
        <v>-2.4425989252564728E-3</v>
      </c>
      <c r="U91" s="64">
        <f t="shared" si="41"/>
        <v>0</v>
      </c>
      <c r="V91" s="65">
        <f t="shared" si="42"/>
        <v>1.8000000000000004E-3</v>
      </c>
    </row>
    <row r="92" spans="1:22">
      <c r="A92" s="153">
        <v>81</v>
      </c>
      <c r="B92" s="149" t="s">
        <v>148</v>
      </c>
      <c r="C92" s="148" t="s">
        <v>92</v>
      </c>
      <c r="D92" s="40">
        <v>24004576.489999998</v>
      </c>
      <c r="E92" s="35">
        <f t="shared" si="43"/>
        <v>9.8769909479643644E-5</v>
      </c>
      <c r="F92" s="68">
        <v>0.73329999999999995</v>
      </c>
      <c r="G92" s="68">
        <v>0.73329999999999995</v>
      </c>
      <c r="H92" s="36">
        <v>744</v>
      </c>
      <c r="I92" s="58">
        <v>2.3E-3</v>
      </c>
      <c r="J92" s="58">
        <v>5.3E-3</v>
      </c>
      <c r="K92" s="40">
        <v>24027556.539999999</v>
      </c>
      <c r="L92" s="35">
        <f t="shared" si="37"/>
        <v>9.9507893460855669E-5</v>
      </c>
      <c r="M92" s="68">
        <v>0.73399999999999999</v>
      </c>
      <c r="N92" s="68">
        <v>0.73399999999999999</v>
      </c>
      <c r="O92" s="36">
        <v>744</v>
      </c>
      <c r="P92" s="58">
        <v>2.3E-3</v>
      </c>
      <c r="Q92" s="58">
        <v>6.3E-3</v>
      </c>
      <c r="R92" s="63">
        <f t="shared" si="38"/>
        <v>9.5731953486344334E-4</v>
      </c>
      <c r="S92" s="63">
        <f t="shared" si="39"/>
        <v>9.5458884494754393E-4</v>
      </c>
      <c r="T92" s="63">
        <f t="shared" si="40"/>
        <v>0</v>
      </c>
      <c r="U92" s="64">
        <f t="shared" si="41"/>
        <v>0</v>
      </c>
      <c r="V92" s="65">
        <f t="shared" si="42"/>
        <v>1E-3</v>
      </c>
    </row>
    <row r="93" spans="1:22">
      <c r="A93" s="153">
        <v>82</v>
      </c>
      <c r="B93" s="149" t="s">
        <v>149</v>
      </c>
      <c r="C93" s="148" t="s">
        <v>38</v>
      </c>
      <c r="D93" s="40">
        <v>11791080886.66</v>
      </c>
      <c r="E93" s="35">
        <f t="shared" si="43"/>
        <v>4.8515914968452943E-2</v>
      </c>
      <c r="F93" s="68">
        <v>1</v>
      </c>
      <c r="G93" s="68">
        <v>1</v>
      </c>
      <c r="H93" s="36">
        <v>5286</v>
      </c>
      <c r="I93" s="58">
        <v>0.06</v>
      </c>
      <c r="J93" s="58">
        <v>0.06</v>
      </c>
      <c r="K93" s="40">
        <v>11721012420.26</v>
      </c>
      <c r="L93" s="35">
        <f t="shared" si="37"/>
        <v>4.8541484159112844E-2</v>
      </c>
      <c r="M93" s="68">
        <v>1</v>
      </c>
      <c r="N93" s="68">
        <v>1</v>
      </c>
      <c r="O93" s="36">
        <v>5321</v>
      </c>
      <c r="P93" s="58">
        <v>0.06</v>
      </c>
      <c r="Q93" s="58">
        <v>0.06</v>
      </c>
      <c r="R93" s="63">
        <f t="shared" si="38"/>
        <v>-5.9424973056772541E-3</v>
      </c>
      <c r="S93" s="63">
        <f t="shared" si="39"/>
        <v>0</v>
      </c>
      <c r="T93" s="63">
        <f t="shared" si="40"/>
        <v>6.6212637154748396E-3</v>
      </c>
      <c r="U93" s="64">
        <f t="shared" si="41"/>
        <v>0</v>
      </c>
      <c r="V93" s="65">
        <f t="shared" si="42"/>
        <v>0</v>
      </c>
    </row>
    <row r="94" spans="1:22">
      <c r="A94" s="153">
        <v>83</v>
      </c>
      <c r="B94" s="149" t="s">
        <v>150</v>
      </c>
      <c r="C94" s="148" t="s">
        <v>151</v>
      </c>
      <c r="D94" s="40">
        <v>1730532434.49</v>
      </c>
      <c r="E94" s="35">
        <f t="shared" si="43"/>
        <v>7.1204977091501543E-3</v>
      </c>
      <c r="F94" s="40">
        <v>278.2</v>
      </c>
      <c r="G94" s="40">
        <v>278.2</v>
      </c>
      <c r="H94" s="36">
        <v>562</v>
      </c>
      <c r="I94" s="58">
        <v>3.0000000000000001E-3</v>
      </c>
      <c r="J94" s="58">
        <v>0.18720000000000001</v>
      </c>
      <c r="K94" s="40">
        <v>1510626325.0899999</v>
      </c>
      <c r="L94" s="35">
        <f t="shared" si="37"/>
        <v>6.256118601405636E-3</v>
      </c>
      <c r="M94" s="40">
        <v>278.83999999999997</v>
      </c>
      <c r="N94" s="40">
        <v>278.83999999999997</v>
      </c>
      <c r="O94" s="36">
        <v>562</v>
      </c>
      <c r="P94" s="58">
        <v>3.0000000000000001E-3</v>
      </c>
      <c r="Q94" s="58">
        <v>0.14410000000000001</v>
      </c>
      <c r="R94" s="63">
        <f t="shared" si="38"/>
        <v>-0.12707424895206196</v>
      </c>
      <c r="S94" s="63">
        <f t="shared" si="39"/>
        <v>2.3005032350826254E-3</v>
      </c>
      <c r="T94" s="63">
        <f t="shared" si="40"/>
        <v>0</v>
      </c>
      <c r="U94" s="64">
        <f t="shared" si="41"/>
        <v>0</v>
      </c>
      <c r="V94" s="65">
        <f t="shared" si="42"/>
        <v>-4.3099999999999999E-2</v>
      </c>
    </row>
    <row r="95" spans="1:22">
      <c r="A95" s="153">
        <v>84</v>
      </c>
      <c r="B95" s="149" t="s">
        <v>152</v>
      </c>
      <c r="C95" s="148" t="s">
        <v>42</v>
      </c>
      <c r="D95" s="40">
        <v>1082590382.79</v>
      </c>
      <c r="E95" s="35">
        <f t="shared" si="43"/>
        <v>4.4544570139050622E-3</v>
      </c>
      <c r="F95" s="68">
        <v>3.61</v>
      </c>
      <c r="G95" s="68">
        <v>3.64</v>
      </c>
      <c r="H95" s="54">
        <v>796</v>
      </c>
      <c r="I95" s="61">
        <v>9.7999999999999997E-3</v>
      </c>
      <c r="J95" s="61">
        <v>-8.8999999999999999E-3</v>
      </c>
      <c r="K95" s="40">
        <v>1098751368.02</v>
      </c>
      <c r="L95" s="35">
        <f t="shared" si="37"/>
        <v>4.5503767262762866E-3</v>
      </c>
      <c r="M95" s="68">
        <v>3.64</v>
      </c>
      <c r="N95" s="68">
        <v>3.66</v>
      </c>
      <c r="O95" s="54">
        <v>797</v>
      </c>
      <c r="P95" s="61">
        <v>3.5000000000000001E-3</v>
      </c>
      <c r="Q95" s="61">
        <v>7.9500000000000001E-2</v>
      </c>
      <c r="R95" s="63">
        <f t="shared" si="38"/>
        <v>1.4928070198028828E-2</v>
      </c>
      <c r="S95" s="63">
        <f t="shared" si="39"/>
        <v>5.4945054945054993E-3</v>
      </c>
      <c r="T95" s="63">
        <f t="shared" si="40"/>
        <v>1.2562814070351759E-3</v>
      </c>
      <c r="U95" s="64">
        <f t="shared" si="41"/>
        <v>-6.3E-3</v>
      </c>
      <c r="V95" s="65">
        <f t="shared" si="42"/>
        <v>8.8400000000000006E-2</v>
      </c>
    </row>
    <row r="96" spans="1:22">
      <c r="A96" s="153">
        <v>85</v>
      </c>
      <c r="B96" s="149" t="s">
        <v>153</v>
      </c>
      <c r="C96" s="148" t="s">
        <v>44</v>
      </c>
      <c r="D96" s="40">
        <v>734278012.72000003</v>
      </c>
      <c r="E96" s="35">
        <f t="shared" si="43"/>
        <v>3.0212810827743553E-3</v>
      </c>
      <c r="F96" s="68">
        <v>114.10675000000001</v>
      </c>
      <c r="G96" s="68">
        <v>114.10675000000001</v>
      </c>
      <c r="H96" s="54">
        <v>282</v>
      </c>
      <c r="I96" s="61">
        <v>9.6299999999999997E-2</v>
      </c>
      <c r="J96" s="61">
        <v>0.12039999999999999</v>
      </c>
      <c r="K96" s="40">
        <v>736641900.59000003</v>
      </c>
      <c r="L96" s="35">
        <f t="shared" si="37"/>
        <v>3.050734003712887E-3</v>
      </c>
      <c r="M96" s="68">
        <v>114.29</v>
      </c>
      <c r="N96" s="68">
        <v>114.29</v>
      </c>
      <c r="O96" s="54">
        <v>284</v>
      </c>
      <c r="P96" s="61">
        <v>0.11700000000000001</v>
      </c>
      <c r="Q96" s="61">
        <v>0.1406</v>
      </c>
      <c r="R96" s="63">
        <f t="shared" si="38"/>
        <v>3.2193363127453727E-3</v>
      </c>
      <c r="S96" s="63">
        <f t="shared" si="39"/>
        <v>1.6059523209626162E-3</v>
      </c>
      <c r="T96" s="63">
        <f t="shared" si="40"/>
        <v>7.0921985815602835E-3</v>
      </c>
      <c r="U96" s="64">
        <f t="shared" si="41"/>
        <v>2.070000000000001E-2</v>
      </c>
      <c r="V96" s="65">
        <f t="shared" si="42"/>
        <v>2.020000000000001E-2</v>
      </c>
    </row>
    <row r="97" spans="1:22">
      <c r="A97" s="153">
        <v>86</v>
      </c>
      <c r="B97" s="148" t="s">
        <v>154</v>
      </c>
      <c r="C97" s="151" t="s">
        <v>48</v>
      </c>
      <c r="D97" s="40">
        <v>1078245236.49</v>
      </c>
      <c r="E97" s="35">
        <f t="shared" si="43"/>
        <v>4.436578352021334E-3</v>
      </c>
      <c r="F97" s="68">
        <v>109.61</v>
      </c>
      <c r="G97" s="68">
        <v>110</v>
      </c>
      <c r="H97" s="36">
        <v>289</v>
      </c>
      <c r="I97" s="58">
        <v>2.8999999999999998E-3</v>
      </c>
      <c r="J97" s="58">
        <v>-6.4000000000000003E-3</v>
      </c>
      <c r="K97" s="40">
        <v>1078245236.49</v>
      </c>
      <c r="L97" s="35">
        <f t="shared" si="37"/>
        <v>4.4654524873848052E-3</v>
      </c>
      <c r="M97" s="68">
        <v>111.32</v>
      </c>
      <c r="N97" s="68">
        <v>111.77</v>
      </c>
      <c r="O97" s="36">
        <v>289</v>
      </c>
      <c r="P97" s="58">
        <v>1.66E-2</v>
      </c>
      <c r="Q97" s="58">
        <v>9.5999999999999992E-3</v>
      </c>
      <c r="R97" s="63">
        <f t="shared" si="38"/>
        <v>0</v>
      </c>
      <c r="S97" s="63">
        <f t="shared" si="39"/>
        <v>1.6090909090909055E-2</v>
      </c>
      <c r="T97" s="63">
        <f t="shared" si="40"/>
        <v>0</v>
      </c>
      <c r="U97" s="64">
        <f t="shared" si="41"/>
        <v>1.37E-2</v>
      </c>
      <c r="V97" s="65">
        <f t="shared" si="42"/>
        <v>1.6E-2</v>
      </c>
    </row>
    <row r="98" spans="1:22">
      <c r="A98" s="153">
        <v>87</v>
      </c>
      <c r="B98" s="149" t="s">
        <v>155</v>
      </c>
      <c r="C98" s="148" t="s">
        <v>20</v>
      </c>
      <c r="D98" s="142">
        <v>1629226495.9000001</v>
      </c>
      <c r="E98" s="144">
        <f t="shared" si="43"/>
        <v>6.7036614284328921E-3</v>
      </c>
      <c r="F98" s="145">
        <v>393.6841</v>
      </c>
      <c r="G98" s="145">
        <v>393.6841</v>
      </c>
      <c r="H98" s="38">
        <v>90</v>
      </c>
      <c r="I98" s="59">
        <v>4.5999999999999999E-3</v>
      </c>
      <c r="J98" s="59">
        <v>4.8999999999999998E-3</v>
      </c>
      <c r="K98" s="142">
        <v>1635643509.48</v>
      </c>
      <c r="L98" s="144">
        <f t="shared" si="37"/>
        <v>6.77386565755537E-3</v>
      </c>
      <c r="M98" s="145">
        <v>388.0324</v>
      </c>
      <c r="N98" s="145">
        <v>388.0324</v>
      </c>
      <c r="O98" s="38">
        <v>90</v>
      </c>
      <c r="P98" s="59">
        <v>5.1000000000000004E-3</v>
      </c>
      <c r="Q98" s="59">
        <v>0.01</v>
      </c>
      <c r="R98" s="64">
        <f t="shared" si="38"/>
        <v>3.9386872212970638E-3</v>
      </c>
      <c r="S98" s="64">
        <f t="shared" si="39"/>
        <v>-1.4355926490300231E-2</v>
      </c>
      <c r="T98" s="64">
        <f t="shared" si="40"/>
        <v>0</v>
      </c>
      <c r="U98" s="64">
        <f t="shared" si="41"/>
        <v>5.0000000000000044E-4</v>
      </c>
      <c r="V98" s="65">
        <f t="shared" si="42"/>
        <v>5.1000000000000004E-3</v>
      </c>
    </row>
    <row r="99" spans="1:22">
      <c r="A99" s="153">
        <v>88</v>
      </c>
      <c r="B99" s="149" t="s">
        <v>156</v>
      </c>
      <c r="C99" s="148" t="s">
        <v>104</v>
      </c>
      <c r="D99" s="52">
        <v>1795826610</v>
      </c>
      <c r="E99" s="35">
        <f>(D99/$K$72)</f>
        <v>3.4748848128516956E-4</v>
      </c>
      <c r="F99" s="68">
        <v>101.43</v>
      </c>
      <c r="G99" s="68">
        <v>101.43</v>
      </c>
      <c r="H99" s="36">
        <v>414</v>
      </c>
      <c r="I99" s="58">
        <v>2.0000000000000001E-4</v>
      </c>
      <c r="J99" s="58">
        <v>5.8400000000000001E-2</v>
      </c>
      <c r="K99" s="52">
        <v>1825128497</v>
      </c>
      <c r="L99" s="35">
        <f t="shared" ref="L99:L113" si="51">(K99/$K$114)</f>
        <v>7.5586001318737363E-3</v>
      </c>
      <c r="M99" s="68">
        <v>102.84</v>
      </c>
      <c r="N99" s="68">
        <v>102.84</v>
      </c>
      <c r="O99" s="36">
        <v>415</v>
      </c>
      <c r="P99" s="58">
        <v>1.3899999999999999E-2</v>
      </c>
      <c r="Q99" s="58">
        <v>0.21790000000000001</v>
      </c>
      <c r="R99" s="63">
        <f t="shared" si="38"/>
        <v>1.6316657096422021E-2</v>
      </c>
      <c r="S99" s="63">
        <f t="shared" si="39"/>
        <v>1.39012126589766E-2</v>
      </c>
      <c r="T99" s="63">
        <f t="shared" si="40"/>
        <v>2.4154589371980675E-3</v>
      </c>
      <c r="U99" s="64">
        <f t="shared" si="41"/>
        <v>1.3699999999999999E-2</v>
      </c>
      <c r="V99" s="65">
        <f t="shared" si="42"/>
        <v>0.1595</v>
      </c>
    </row>
    <row r="100" spans="1:22">
      <c r="A100" s="153">
        <v>89</v>
      </c>
      <c r="B100" s="149" t="s">
        <v>157</v>
      </c>
      <c r="C100" s="148" t="s">
        <v>46</v>
      </c>
      <c r="D100" s="40">
        <v>59946880.479999997</v>
      </c>
      <c r="E100" s="35">
        <f t="shared" ref="E100:E113" si="52">(D100/$D$114)</f>
        <v>2.4665913023140431E-4</v>
      </c>
      <c r="F100" s="40">
        <v>12.239343999999999</v>
      </c>
      <c r="G100" s="40">
        <v>12.860143000000001</v>
      </c>
      <c r="H100" s="36">
        <v>55</v>
      </c>
      <c r="I100" s="58">
        <v>1.2999999999999999E-2</v>
      </c>
      <c r="J100" s="58">
        <v>2.01E-2</v>
      </c>
      <c r="K100" s="40">
        <v>59603886.899999999</v>
      </c>
      <c r="L100" s="35">
        <f t="shared" si="51"/>
        <v>2.4684396091730477E-4</v>
      </c>
      <c r="M100" s="40">
        <v>12.169314999999999</v>
      </c>
      <c r="N100" s="40">
        <v>12.79541</v>
      </c>
      <c r="O100" s="36">
        <v>55</v>
      </c>
      <c r="P100" s="58">
        <v>-6.0000000000000001E-3</v>
      </c>
      <c r="Q100" s="58">
        <v>1.41E-2</v>
      </c>
      <c r="R100" s="63">
        <f t="shared" si="38"/>
        <v>-5.7216251663742661E-3</v>
      </c>
      <c r="S100" s="63">
        <f t="shared" si="39"/>
        <v>-5.033614322951181E-3</v>
      </c>
      <c r="T100" s="63">
        <f t="shared" si="40"/>
        <v>0</v>
      </c>
      <c r="U100" s="64">
        <f t="shared" si="41"/>
        <v>-1.9E-2</v>
      </c>
      <c r="V100" s="65">
        <f t="shared" si="42"/>
        <v>-6.0000000000000001E-3</v>
      </c>
    </row>
    <row r="101" spans="1:22">
      <c r="A101" s="153">
        <v>90</v>
      </c>
      <c r="B101" s="149" t="s">
        <v>158</v>
      </c>
      <c r="C101" s="148" t="s">
        <v>159</v>
      </c>
      <c r="D101" s="40">
        <v>1040441195.99</v>
      </c>
      <c r="E101" s="35">
        <f t="shared" si="52"/>
        <v>4.2810287775597606E-3</v>
      </c>
      <c r="F101" s="40">
        <v>157.09</v>
      </c>
      <c r="G101" s="40">
        <v>157.09</v>
      </c>
      <c r="H101" s="36">
        <v>179</v>
      </c>
      <c r="I101" s="58">
        <v>0.29020000000000001</v>
      </c>
      <c r="J101" s="58">
        <v>0.1366</v>
      </c>
      <c r="K101" s="40">
        <v>945280581.47000003</v>
      </c>
      <c r="L101" s="35">
        <f t="shared" si="51"/>
        <v>3.9147917198713404E-3</v>
      </c>
      <c r="M101" s="40">
        <v>158.09</v>
      </c>
      <c r="N101" s="40">
        <v>158.09</v>
      </c>
      <c r="O101" s="36">
        <v>179</v>
      </c>
      <c r="P101" s="58">
        <v>0.48920000000000002</v>
      </c>
      <c r="Q101" s="58">
        <v>0.1913</v>
      </c>
      <c r="R101" s="63">
        <f t="shared" si="38"/>
        <v>-9.1461790331603329E-2</v>
      </c>
      <c r="S101" s="63">
        <f t="shared" si="39"/>
        <v>6.365777579731364E-3</v>
      </c>
      <c r="T101" s="63">
        <f t="shared" si="40"/>
        <v>0</v>
      </c>
      <c r="U101" s="64">
        <f t="shared" si="41"/>
        <v>0.19900000000000001</v>
      </c>
      <c r="V101" s="65">
        <f t="shared" si="42"/>
        <v>5.4699999999999999E-2</v>
      </c>
    </row>
    <row r="102" spans="1:22">
      <c r="A102" s="153">
        <v>91</v>
      </c>
      <c r="B102" s="149" t="s">
        <v>160</v>
      </c>
      <c r="C102" s="148" t="s">
        <v>161</v>
      </c>
      <c r="D102" s="40">
        <v>10871595899.9974</v>
      </c>
      <c r="E102" s="35">
        <f t="shared" si="52"/>
        <v>4.4732576031463585E-2</v>
      </c>
      <c r="F102" s="40">
        <v>1.01</v>
      </c>
      <c r="G102" s="40">
        <v>1.01</v>
      </c>
      <c r="H102" s="36">
        <v>5207</v>
      </c>
      <c r="I102" s="58">
        <v>0.16239999999999999</v>
      </c>
      <c r="J102" s="58">
        <v>0.16239999999999999</v>
      </c>
      <c r="K102" s="40">
        <v>10828311546.5214</v>
      </c>
      <c r="L102" s="35">
        <f t="shared" si="51"/>
        <v>4.4844446414616775E-2</v>
      </c>
      <c r="M102" s="40">
        <v>1.01</v>
      </c>
      <c r="N102" s="40">
        <v>1.01</v>
      </c>
      <c r="O102" s="36">
        <v>5230</v>
      </c>
      <c r="P102" s="58">
        <v>0.16250000000000001</v>
      </c>
      <c r="Q102" s="58">
        <v>0.16250000000000001</v>
      </c>
      <c r="R102" s="63">
        <f t="shared" si="38"/>
        <v>-3.9814167003770053E-3</v>
      </c>
      <c r="S102" s="63">
        <f t="shared" si="39"/>
        <v>0</v>
      </c>
      <c r="T102" s="63">
        <f t="shared" si="40"/>
        <v>4.417130785481083E-3</v>
      </c>
      <c r="U102" s="64">
        <f t="shared" si="41"/>
        <v>1.0000000000001674E-4</v>
      </c>
      <c r="V102" s="65">
        <f t="shared" si="42"/>
        <v>1.0000000000001674E-4</v>
      </c>
    </row>
    <row r="103" spans="1:22" ht="14.25" customHeight="1">
      <c r="A103" s="153">
        <v>92</v>
      </c>
      <c r="B103" s="149" t="s">
        <v>162</v>
      </c>
      <c r="C103" s="148" t="s">
        <v>50</v>
      </c>
      <c r="D103" s="40">
        <v>4856659027.9200001</v>
      </c>
      <c r="E103" s="35">
        <f t="shared" si="52"/>
        <v>1.9983346623965059E-2</v>
      </c>
      <c r="F103" s="40">
        <v>5176.1000000000004</v>
      </c>
      <c r="G103" s="40">
        <v>5176.1000000000004</v>
      </c>
      <c r="H103" s="36">
        <v>13</v>
      </c>
      <c r="I103" s="58">
        <v>0</v>
      </c>
      <c r="J103" s="58">
        <v>0</v>
      </c>
      <c r="K103" s="40">
        <v>4854771221.4399996</v>
      </c>
      <c r="L103" s="35">
        <f t="shared" si="51"/>
        <v>2.0105584047868382E-2</v>
      </c>
      <c r="M103" s="40">
        <v>5176.1000000000004</v>
      </c>
      <c r="N103" s="40">
        <v>5176.1000000000004</v>
      </c>
      <c r="O103" s="36">
        <v>12</v>
      </c>
      <c r="P103" s="58">
        <v>0</v>
      </c>
      <c r="Q103" s="58">
        <v>0</v>
      </c>
      <c r="R103" s="63">
        <f t="shared" si="38"/>
        <v>-3.8870475961928953E-4</v>
      </c>
      <c r="S103" s="63">
        <f t="shared" si="39"/>
        <v>0</v>
      </c>
      <c r="T103" s="63">
        <f t="shared" si="40"/>
        <v>-7.6923076923076927E-2</v>
      </c>
      <c r="U103" s="64">
        <f t="shared" si="41"/>
        <v>0</v>
      </c>
      <c r="V103" s="65">
        <f t="shared" si="42"/>
        <v>0</v>
      </c>
    </row>
    <row r="104" spans="1:22" ht="13.5" customHeight="1">
      <c r="A104" s="153">
        <v>93</v>
      </c>
      <c r="B104" s="149" t="s">
        <v>163</v>
      </c>
      <c r="C104" s="148" t="s">
        <v>50</v>
      </c>
      <c r="D104" s="40">
        <v>15584880503.07</v>
      </c>
      <c r="E104" s="35">
        <f t="shared" si="52"/>
        <v>6.4125990191101559E-2</v>
      </c>
      <c r="F104" s="68">
        <v>259.24</v>
      </c>
      <c r="G104" s="68">
        <v>259.24</v>
      </c>
      <c r="H104" s="36">
        <v>6017</v>
      </c>
      <c r="I104" s="58">
        <v>0</v>
      </c>
      <c r="J104" s="58">
        <v>0</v>
      </c>
      <c r="K104" s="40">
        <v>15556749578.16</v>
      </c>
      <c r="L104" s="35">
        <f t="shared" si="51"/>
        <v>6.4426833292169486E-2</v>
      </c>
      <c r="M104" s="68">
        <v>259.24</v>
      </c>
      <c r="N104" s="68">
        <v>259.24</v>
      </c>
      <c r="O104" s="36">
        <v>6006</v>
      </c>
      <c r="P104" s="58">
        <v>0</v>
      </c>
      <c r="Q104" s="58">
        <v>0</v>
      </c>
      <c r="R104" s="63">
        <f t="shared" si="38"/>
        <v>-1.8050138340463026E-3</v>
      </c>
      <c r="S104" s="63">
        <f t="shared" si="39"/>
        <v>0</v>
      </c>
      <c r="T104" s="63">
        <f t="shared" si="40"/>
        <v>-1.8281535648994515E-3</v>
      </c>
      <c r="U104" s="64">
        <f t="shared" si="41"/>
        <v>0</v>
      </c>
      <c r="V104" s="65">
        <f t="shared" si="42"/>
        <v>0</v>
      </c>
    </row>
    <row r="105" spans="1:22" ht="13.5" customHeight="1">
      <c r="A105" s="153">
        <v>94</v>
      </c>
      <c r="B105" s="149" t="s">
        <v>164</v>
      </c>
      <c r="C105" s="148" t="s">
        <v>50</v>
      </c>
      <c r="D105" s="40">
        <v>640258638.32000005</v>
      </c>
      <c r="E105" s="35">
        <f t="shared" si="52"/>
        <v>2.6344263051993676E-3</v>
      </c>
      <c r="F105" s="39">
        <v>9540.4</v>
      </c>
      <c r="G105" s="39">
        <v>9577.49</v>
      </c>
      <c r="H105" s="36">
        <v>20</v>
      </c>
      <c r="I105" s="58">
        <v>8.0000000000000004E-4</v>
      </c>
      <c r="J105" s="58">
        <v>1.6299999999999999E-2</v>
      </c>
      <c r="K105" s="40">
        <v>851598113.14999998</v>
      </c>
      <c r="L105" s="35">
        <f t="shared" si="51"/>
        <v>3.5268144796048377E-3</v>
      </c>
      <c r="M105" s="39">
        <v>9590.24</v>
      </c>
      <c r="N105" s="39">
        <v>9628.9500000000007</v>
      </c>
      <c r="O105" s="36">
        <v>22</v>
      </c>
      <c r="P105" s="58">
        <v>5.4000000000000003E-3</v>
      </c>
      <c r="Q105" s="58">
        <v>2.18E-2</v>
      </c>
      <c r="R105" s="63">
        <f t="shared" si="38"/>
        <v>0.33008453487569012</v>
      </c>
      <c r="S105" s="63">
        <f t="shared" si="39"/>
        <v>5.3730152680922611E-3</v>
      </c>
      <c r="T105" s="63">
        <f t="shared" si="40"/>
        <v>0.1</v>
      </c>
      <c r="U105" s="64">
        <f t="shared" si="41"/>
        <v>4.5999999999999999E-3</v>
      </c>
      <c r="V105" s="65">
        <f t="shared" si="42"/>
        <v>5.5000000000000014E-3</v>
      </c>
    </row>
    <row r="106" spans="1:22" ht="15" customHeight="1">
      <c r="A106" s="153">
        <v>95</v>
      </c>
      <c r="B106" s="149" t="s">
        <v>165</v>
      </c>
      <c r="C106" s="148" t="s">
        <v>50</v>
      </c>
      <c r="D106" s="40">
        <v>6895210392.3500004</v>
      </c>
      <c r="E106" s="35">
        <f t="shared" si="52"/>
        <v>2.8371227735645325E-2</v>
      </c>
      <c r="F106" s="68">
        <v>162.88999999999999</v>
      </c>
      <c r="G106" s="68">
        <v>162.88999999999999</v>
      </c>
      <c r="H106" s="36">
        <v>5513</v>
      </c>
      <c r="I106" s="58">
        <v>2.5999999999999999E-3</v>
      </c>
      <c r="J106" s="58">
        <v>8.9999999999999993E-3</v>
      </c>
      <c r="K106" s="40">
        <v>7018551726.4300003</v>
      </c>
      <c r="L106" s="35">
        <f t="shared" si="51"/>
        <v>2.9066680013027289E-2</v>
      </c>
      <c r="M106" s="68">
        <v>163.35</v>
      </c>
      <c r="N106" s="68">
        <v>163.35</v>
      </c>
      <c r="O106" s="36">
        <v>5565</v>
      </c>
      <c r="P106" s="58">
        <v>2.8E-3</v>
      </c>
      <c r="Q106" s="58">
        <v>1.1900000000000001E-2</v>
      </c>
      <c r="R106" s="63">
        <f t="shared" si="38"/>
        <v>1.7887972528995332E-2</v>
      </c>
      <c r="S106" s="63">
        <f t="shared" si="39"/>
        <v>2.8239916508073426E-3</v>
      </c>
      <c r="T106" s="63">
        <f t="shared" si="40"/>
        <v>9.4322510429892988E-3</v>
      </c>
      <c r="U106" s="64">
        <f t="shared" si="41"/>
        <v>2.0000000000000009E-4</v>
      </c>
      <c r="V106" s="65">
        <f t="shared" si="42"/>
        <v>2.9000000000000015E-3</v>
      </c>
    </row>
    <row r="107" spans="1:22" ht="15" customHeight="1">
      <c r="A107" s="153">
        <v>96</v>
      </c>
      <c r="B107" s="149" t="s">
        <v>166</v>
      </c>
      <c r="C107" s="148" t="s">
        <v>50</v>
      </c>
      <c r="D107" s="40">
        <v>6401304058.5500002</v>
      </c>
      <c r="E107" s="35">
        <f t="shared" si="52"/>
        <v>2.633898676271372E-2</v>
      </c>
      <c r="F107" s="68">
        <v>388.07</v>
      </c>
      <c r="G107" s="68">
        <v>388.07</v>
      </c>
      <c r="H107" s="36">
        <v>11165</v>
      </c>
      <c r="I107" s="58">
        <v>1E-4</v>
      </c>
      <c r="J107" s="58">
        <v>7.4000000000000003E-3</v>
      </c>
      <c r="K107" s="40">
        <v>5781959272.9200001</v>
      </c>
      <c r="L107" s="35">
        <f t="shared" si="51"/>
        <v>2.394544723542371E-2</v>
      </c>
      <c r="M107" s="68">
        <v>388.08</v>
      </c>
      <c r="N107" s="68">
        <v>388.08</v>
      </c>
      <c r="O107" s="36">
        <v>11196</v>
      </c>
      <c r="P107" s="58">
        <v>0</v>
      </c>
      <c r="Q107" s="58">
        <v>7.4000000000000003E-3</v>
      </c>
      <c r="R107" s="63">
        <f t="shared" si="38"/>
        <v>-9.6752908464449949E-2</v>
      </c>
      <c r="S107" s="63">
        <f t="shared" si="39"/>
        <v>2.5768546911616216E-5</v>
      </c>
      <c r="T107" s="63">
        <f t="shared" si="40"/>
        <v>2.7765338110165697E-3</v>
      </c>
      <c r="U107" s="64">
        <f t="shared" si="41"/>
        <v>-1E-4</v>
      </c>
      <c r="V107" s="65">
        <f t="shared" si="42"/>
        <v>0</v>
      </c>
    </row>
    <row r="108" spans="1:22" ht="15" customHeight="1">
      <c r="A108" s="153">
        <v>97</v>
      </c>
      <c r="B108" s="149" t="s">
        <v>167</v>
      </c>
      <c r="C108" s="148" t="s">
        <v>118</v>
      </c>
      <c r="D108" s="40">
        <v>112491835.95999999</v>
      </c>
      <c r="E108" s="35">
        <f t="shared" si="52"/>
        <v>4.6286209046832139E-4</v>
      </c>
      <c r="F108" s="68">
        <v>113.607</v>
      </c>
      <c r="G108" s="68">
        <v>113.607</v>
      </c>
      <c r="H108" s="36">
        <v>24</v>
      </c>
      <c r="I108" s="58">
        <v>2.5000000000000001E-3</v>
      </c>
      <c r="J108" s="58">
        <v>2.46E-2</v>
      </c>
      <c r="K108" s="40">
        <v>112853606.27</v>
      </c>
      <c r="L108" s="35">
        <f t="shared" si="51"/>
        <v>4.673727272556244E-4</v>
      </c>
      <c r="M108" s="68">
        <v>113.9328</v>
      </c>
      <c r="N108" s="68">
        <v>113.9328</v>
      </c>
      <c r="O108" s="36">
        <v>24</v>
      </c>
      <c r="P108" s="58">
        <v>3.3E-3</v>
      </c>
      <c r="Q108" s="58">
        <v>5.8799999999999998E-2</v>
      </c>
      <c r="R108" s="63">
        <f t="shared" ref="R108" si="53">((K108-D108)/D108)</f>
        <v>3.2159694693634582E-3</v>
      </c>
      <c r="S108" s="63">
        <f t="shared" ref="S108" si="54">((N108-G108)/G108)</f>
        <v>2.8677810346193541E-3</v>
      </c>
      <c r="T108" s="63">
        <f t="shared" ref="T108" si="55">((O108-H108)/H108)</f>
        <v>0</v>
      </c>
      <c r="U108" s="64">
        <f t="shared" ref="U108" si="56">P108-I108</f>
        <v>7.9999999999999993E-4</v>
      </c>
      <c r="V108" s="65">
        <f t="shared" ref="V108" si="57">Q108-J108</f>
        <v>3.4199999999999994E-2</v>
      </c>
    </row>
    <row r="109" spans="1:22">
      <c r="A109" s="153">
        <v>98</v>
      </c>
      <c r="B109" s="149" t="s">
        <v>168</v>
      </c>
      <c r="C109" s="148" t="s">
        <v>53</v>
      </c>
      <c r="D109" s="40">
        <v>83793440761.550003</v>
      </c>
      <c r="E109" s="35">
        <f t="shared" si="52"/>
        <v>0.34477886174971528</v>
      </c>
      <c r="F109" s="40">
        <v>1.9869000000000001</v>
      </c>
      <c r="G109" s="40">
        <v>1.9869000000000001</v>
      </c>
      <c r="H109" s="36">
        <v>6880</v>
      </c>
      <c r="I109" s="58">
        <v>1E-3</v>
      </c>
      <c r="J109" s="58">
        <v>7.5600000000000001E-2</v>
      </c>
      <c r="K109" s="40">
        <v>82448621298.5</v>
      </c>
      <c r="L109" s="35">
        <f t="shared" si="51"/>
        <v>0.34145330635295529</v>
      </c>
      <c r="M109" s="40">
        <v>1.9899</v>
      </c>
      <c r="N109" s="40">
        <v>1.9899</v>
      </c>
      <c r="O109" s="36">
        <v>6894</v>
      </c>
      <c r="P109" s="58">
        <v>1.5E-3</v>
      </c>
      <c r="Q109" s="58">
        <v>7.6999999999999999E-2</v>
      </c>
      <c r="R109" s="63">
        <f t="shared" si="38"/>
        <v>-1.6049221166092698E-2</v>
      </c>
      <c r="S109" s="63">
        <f t="shared" si="39"/>
        <v>1.5098897780461481E-3</v>
      </c>
      <c r="T109" s="63">
        <f t="shared" si="40"/>
        <v>2.0348837209302325E-3</v>
      </c>
      <c r="U109" s="64">
        <f t="shared" si="41"/>
        <v>5.0000000000000001E-4</v>
      </c>
      <c r="V109" s="65">
        <f t="shared" si="42"/>
        <v>1.3999999999999985E-3</v>
      </c>
    </row>
    <row r="110" spans="1:22">
      <c r="A110" s="153">
        <v>99</v>
      </c>
      <c r="B110" s="149" t="s">
        <v>169</v>
      </c>
      <c r="C110" s="148" t="s">
        <v>53</v>
      </c>
      <c r="D110" s="40">
        <v>65069934953.18</v>
      </c>
      <c r="E110" s="35">
        <f t="shared" si="52"/>
        <v>0.26773859509036846</v>
      </c>
      <c r="F110" s="40">
        <v>130.24119999999999</v>
      </c>
      <c r="G110" s="40">
        <v>130.24119999999999</v>
      </c>
      <c r="H110" s="36">
        <v>1261</v>
      </c>
      <c r="I110" s="58">
        <v>2.8999999999999998E-3</v>
      </c>
      <c r="J110" s="58">
        <v>0.16689999999999999</v>
      </c>
      <c r="K110" s="40">
        <v>65075511772.230003</v>
      </c>
      <c r="L110" s="35">
        <f t="shared" si="51"/>
        <v>0.26950418705961859</v>
      </c>
      <c r="M110" s="40">
        <v>130.57929999999999</v>
      </c>
      <c r="N110" s="40">
        <v>130.57929999999999</v>
      </c>
      <c r="O110" s="36">
        <v>1290</v>
      </c>
      <c r="P110" s="58">
        <v>2.5999999999999999E-3</v>
      </c>
      <c r="Q110" s="58">
        <v>0.16170000000000001</v>
      </c>
      <c r="R110" s="63">
        <f t="shared" ref="R110:R112" si="58">((K110-D110)/D110)</f>
        <v>8.5705004223774928E-5</v>
      </c>
      <c r="S110" s="63">
        <f t="shared" ref="S110:S112" si="59">((N110-G110)/G110)</f>
        <v>2.5959527399931604E-3</v>
      </c>
      <c r="T110" s="63">
        <f t="shared" ref="T110:T112" si="60">((O110-H110)/H110)</f>
        <v>2.2997620935765267E-2</v>
      </c>
      <c r="U110" s="64">
        <f t="shared" ref="U110:U112" si="61">P110-I110</f>
        <v>-2.9999999999999992E-4</v>
      </c>
      <c r="V110" s="65">
        <f t="shared" ref="V110:V112" si="62">Q110-J110</f>
        <v>-5.1999999999999824E-3</v>
      </c>
    </row>
    <row r="111" spans="1:22">
      <c r="A111" s="153">
        <v>100</v>
      </c>
      <c r="B111" s="149" t="s">
        <v>170</v>
      </c>
      <c r="C111" s="149" t="s">
        <v>171</v>
      </c>
      <c r="D111" s="40">
        <v>116160258.48999999</v>
      </c>
      <c r="E111" s="35">
        <f t="shared" si="52"/>
        <v>4.7795628558449553E-4</v>
      </c>
      <c r="F111" s="40">
        <v>117.2041</v>
      </c>
      <c r="G111" s="40">
        <v>117.2041</v>
      </c>
      <c r="H111" s="70">
        <v>88</v>
      </c>
      <c r="I111" s="72">
        <v>1.2999999999999999E-3</v>
      </c>
      <c r="J111" s="72">
        <v>4.7000000000000002E-3</v>
      </c>
      <c r="K111" s="40">
        <v>116230258.48999999</v>
      </c>
      <c r="L111" s="35">
        <f t="shared" si="51"/>
        <v>4.8135681876333795E-4</v>
      </c>
      <c r="M111" s="40">
        <v>117.3411</v>
      </c>
      <c r="N111" s="40">
        <v>117.3411</v>
      </c>
      <c r="O111" s="70">
        <v>88</v>
      </c>
      <c r="P111" s="72">
        <v>1.1689010879312282E-3</v>
      </c>
      <c r="Q111" s="72">
        <v>5.8693736477379854E-3</v>
      </c>
      <c r="R111" s="63">
        <f t="shared" si="58"/>
        <v>6.0261573889340266E-4</v>
      </c>
      <c r="S111" s="63">
        <f t="shared" si="59"/>
        <v>1.1689010879312282E-3</v>
      </c>
      <c r="T111" s="63">
        <f t="shared" si="60"/>
        <v>0</v>
      </c>
      <c r="U111" s="64">
        <f t="shared" si="61"/>
        <v>-1.310989120687717E-4</v>
      </c>
      <c r="V111" s="65">
        <f t="shared" si="62"/>
        <v>1.1693736477379852E-3</v>
      </c>
    </row>
    <row r="112" spans="1:22">
      <c r="A112" s="153">
        <v>101</v>
      </c>
      <c r="B112" s="149" t="s">
        <v>172</v>
      </c>
      <c r="C112" s="148" t="s">
        <v>125</v>
      </c>
      <c r="D112" s="40">
        <v>372681534.85000002</v>
      </c>
      <c r="E112" s="35">
        <f t="shared" si="52"/>
        <v>1.5334459859020475E-3</v>
      </c>
      <c r="F112" s="40">
        <v>1.37</v>
      </c>
      <c r="G112" s="40">
        <v>1.37</v>
      </c>
      <c r="H112" s="36">
        <v>801</v>
      </c>
      <c r="I112" s="58">
        <v>9.1999999999999998E-3</v>
      </c>
      <c r="J112" s="58">
        <v>-8.9999999999999998E-4</v>
      </c>
      <c r="K112" s="40">
        <v>455573733.38</v>
      </c>
      <c r="L112" s="35">
        <f t="shared" si="51"/>
        <v>1.8867162979836363E-3</v>
      </c>
      <c r="M112" s="40">
        <v>1.39</v>
      </c>
      <c r="N112" s="40">
        <v>1.39</v>
      </c>
      <c r="O112" s="36">
        <v>811</v>
      </c>
      <c r="P112" s="58">
        <v>1.0200000000000001E-2</v>
      </c>
      <c r="Q112" s="58">
        <v>1.01E-2</v>
      </c>
      <c r="R112" s="63">
        <f t="shared" si="58"/>
        <v>0.22242099696021461</v>
      </c>
      <c r="S112" s="63">
        <f t="shared" si="59"/>
        <v>1.4598540145985252E-2</v>
      </c>
      <c r="T112" s="63">
        <f t="shared" si="60"/>
        <v>1.2484394506866416E-2</v>
      </c>
      <c r="U112" s="64">
        <f t="shared" si="61"/>
        <v>1.0000000000000009E-3</v>
      </c>
      <c r="V112" s="65">
        <f t="shared" si="62"/>
        <v>1.0999999999999999E-2</v>
      </c>
    </row>
    <row r="113" spans="1:28">
      <c r="A113" s="155">
        <v>102</v>
      </c>
      <c r="B113" s="149" t="s">
        <v>173</v>
      </c>
      <c r="C113" s="148" t="s">
        <v>127</v>
      </c>
      <c r="D113" s="40">
        <v>1530010804.5799999</v>
      </c>
      <c r="E113" s="35">
        <f t="shared" si="52"/>
        <v>6.2954257382627681E-3</v>
      </c>
      <c r="F113" s="68">
        <v>42.305700000000002</v>
      </c>
      <c r="G113" s="68">
        <v>42.720799999999997</v>
      </c>
      <c r="H113" s="36">
        <v>1508</v>
      </c>
      <c r="I113" s="58">
        <v>0.1288</v>
      </c>
      <c r="J113" s="58">
        <v>0.1288</v>
      </c>
      <c r="K113" s="40">
        <v>2065448740.9000001</v>
      </c>
      <c r="L113" s="35">
        <f t="shared" si="51"/>
        <v>8.5538640983398011E-3</v>
      </c>
      <c r="M113" s="68">
        <v>31.481999999999999</v>
      </c>
      <c r="N113" s="68">
        <v>31.481999999999999</v>
      </c>
      <c r="O113" s="36">
        <v>1320</v>
      </c>
      <c r="P113" s="58">
        <v>0.14680000000000001</v>
      </c>
      <c r="Q113" s="58">
        <v>0.14680000000000001</v>
      </c>
      <c r="R113" s="63">
        <f t="shared" si="38"/>
        <v>0.34995696417123151</v>
      </c>
      <c r="S113" s="63">
        <f t="shared" si="39"/>
        <v>-0.26307559783524648</v>
      </c>
      <c r="T113" s="63">
        <f t="shared" si="40"/>
        <v>-0.12466843501326259</v>
      </c>
      <c r="U113" s="64">
        <f t="shared" si="41"/>
        <v>1.8000000000000016E-2</v>
      </c>
      <c r="V113" s="65">
        <f t="shared" si="42"/>
        <v>1.8000000000000016E-2</v>
      </c>
    </row>
    <row r="114" spans="1:28">
      <c r="A114" s="43"/>
      <c r="B114" s="44"/>
      <c r="C114" s="45" t="s">
        <v>56</v>
      </c>
      <c r="D114" s="67">
        <f>SUM(D75:D113)</f>
        <v>243035319324.12384</v>
      </c>
      <c r="E114" s="47">
        <f>(D114/$D$231)</f>
        <v>3.0167733522546324E-2</v>
      </c>
      <c r="F114" s="48"/>
      <c r="G114" s="53"/>
      <c r="H114" s="50">
        <f>SUM(H75:H113)</f>
        <v>59019</v>
      </c>
      <c r="I114" s="61"/>
      <c r="J114" s="61"/>
      <c r="K114" s="67">
        <f>SUM(K75:K113)</f>
        <v>241463824670.87335</v>
      </c>
      <c r="L114" s="47">
        <f>(K114/$K$231)</f>
        <v>2.9879028442405461E-2</v>
      </c>
      <c r="M114" s="48"/>
      <c r="N114" s="53"/>
      <c r="O114" s="50">
        <f>SUM(O75:O113)</f>
        <v>59251</v>
      </c>
      <c r="P114" s="61"/>
      <c r="Q114" s="61"/>
      <c r="R114" s="63">
        <f t="shared" si="38"/>
        <v>-6.466116355518952E-3</v>
      </c>
      <c r="S114" s="63" t="e">
        <f t="shared" si="39"/>
        <v>#DIV/0!</v>
      </c>
      <c r="T114" s="63">
        <f t="shared" si="40"/>
        <v>3.9309374947050953E-3</v>
      </c>
      <c r="U114" s="64">
        <f t="shared" si="41"/>
        <v>0</v>
      </c>
      <c r="V114" s="65">
        <f t="shared" si="42"/>
        <v>0</v>
      </c>
    </row>
    <row r="115" spans="1:28" ht="3.75" customHeight="1">
      <c r="A115" s="43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</row>
    <row r="116" spans="1:28" ht="15" customHeight="1">
      <c r="A116" s="189" t="s">
        <v>174</v>
      </c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</row>
    <row r="117" spans="1:28">
      <c r="A117" s="188" t="s">
        <v>175</v>
      </c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Z117" s="73"/>
      <c r="AB117" s="75"/>
    </row>
    <row r="118" spans="1:28" ht="16.5" customHeight="1">
      <c r="A118" s="153">
        <v>103</v>
      </c>
      <c r="B118" s="149" t="s">
        <v>176</v>
      </c>
      <c r="C118" s="148" t="s">
        <v>20</v>
      </c>
      <c r="D118" s="40">
        <v>3456462537.5599999</v>
      </c>
      <c r="E118" s="35">
        <f t="shared" ref="E118:E123" si="63">(D118/$D$156)</f>
        <v>1.8046981886741709E-3</v>
      </c>
      <c r="F118" s="40">
        <v>163221.77199510002</v>
      </c>
      <c r="G118" s="40">
        <v>163221.77199510002</v>
      </c>
      <c r="H118" s="36">
        <v>163</v>
      </c>
      <c r="I118" s="58">
        <v>-1E-4</v>
      </c>
      <c r="J118" s="58">
        <v>-1.9E-3</v>
      </c>
      <c r="K118" s="40">
        <v>3456462537.5599999</v>
      </c>
      <c r="L118" s="35">
        <f t="shared" ref="L118:L134" si="64">(K118/$K$156)</f>
        <v>1.8391887763562322E-3</v>
      </c>
      <c r="M118" s="74">
        <f>114.8899*W137</f>
        <v>159300.95849268002</v>
      </c>
      <c r="N118" s="40">
        <f>114.8899*W137</f>
        <v>159300.95849268002</v>
      </c>
      <c r="O118" s="36">
        <v>163</v>
      </c>
      <c r="P118" s="58">
        <v>6.9999999999999999E-4</v>
      </c>
      <c r="Q118" s="58">
        <v>3.0999999999999999E-3</v>
      </c>
      <c r="R118" s="63">
        <f>((K118-D118)/D118)</f>
        <v>0</v>
      </c>
      <c r="S118" s="63">
        <f>((N118-G118)/G118)</f>
        <v>-2.4021387922058011E-2</v>
      </c>
      <c r="T118" s="63">
        <f>((O118-H118)/H118)</f>
        <v>0</v>
      </c>
      <c r="U118" s="63">
        <f>P118-I118</f>
        <v>8.0000000000000004E-4</v>
      </c>
      <c r="V118" s="110">
        <f>Q118-J118</f>
        <v>5.0000000000000001E-3</v>
      </c>
      <c r="X118" s="73"/>
      <c r="Y118" s="76"/>
      <c r="Z118" s="73"/>
      <c r="AA118" s="77"/>
    </row>
    <row r="119" spans="1:28" ht="16.5" customHeight="1">
      <c r="A119" s="153">
        <v>104</v>
      </c>
      <c r="B119" s="149" t="s">
        <v>177</v>
      </c>
      <c r="C119" s="148" t="s">
        <v>60</v>
      </c>
      <c r="D119" s="40">
        <v>6044650805.5853901</v>
      </c>
      <c r="E119" s="35">
        <f t="shared" si="63"/>
        <v>3.1560505116044408E-3</v>
      </c>
      <c r="F119" s="40">
        <v>142873.46325</v>
      </c>
      <c r="G119" s="40">
        <v>142873.46325</v>
      </c>
      <c r="H119" s="36">
        <v>102</v>
      </c>
      <c r="I119" s="58">
        <v>2.6069999999999999E-3</v>
      </c>
      <c r="J119" s="58">
        <v>5.019E-3</v>
      </c>
      <c r="K119" s="40">
        <f>4436232.14*W137</f>
        <v>6151071869.6598482</v>
      </c>
      <c r="L119" s="35">
        <f t="shared" si="64"/>
        <v>3.2729943467650151E-3</v>
      </c>
      <c r="M119" s="40">
        <f>101.06*W137</f>
        <v>140125.06639200001</v>
      </c>
      <c r="N119" s="40">
        <f>101.06*W137</f>
        <v>140125.06639200001</v>
      </c>
      <c r="O119" s="36">
        <v>102</v>
      </c>
      <c r="P119" s="58">
        <v>5.535E-3</v>
      </c>
      <c r="Q119" s="58">
        <v>1.0553999999999999E-2</v>
      </c>
      <c r="R119" s="64">
        <f>((K119-D119)/D119)</f>
        <v>1.7605824967775265E-2</v>
      </c>
      <c r="S119" s="64">
        <f>((N119-G119)/G119)</f>
        <v>-1.9236580366158322E-2</v>
      </c>
      <c r="T119" s="64">
        <f>((O119-H119)/H119)</f>
        <v>0</v>
      </c>
      <c r="U119" s="64">
        <f>P119-I119</f>
        <v>2.928E-3</v>
      </c>
      <c r="V119" s="65">
        <f>Q119-J119</f>
        <v>5.5349999999999991E-3</v>
      </c>
      <c r="X119" s="73"/>
      <c r="Y119" s="76"/>
      <c r="Z119" s="73"/>
      <c r="AA119" s="77"/>
    </row>
    <row r="120" spans="1:28">
      <c r="A120" s="153">
        <v>105</v>
      </c>
      <c r="B120" s="149" t="s">
        <v>178</v>
      </c>
      <c r="C120" s="148" t="s">
        <v>24</v>
      </c>
      <c r="D120" s="40">
        <v>16785600825.661921</v>
      </c>
      <c r="E120" s="35">
        <f t="shared" si="63"/>
        <v>8.7641463133762924E-3</v>
      </c>
      <c r="F120" s="40">
        <v>1723.43780595</v>
      </c>
      <c r="G120" s="40">
        <v>1723.43780595</v>
      </c>
      <c r="H120" s="36">
        <v>321</v>
      </c>
      <c r="I120" s="58">
        <v>8.6199999999999999E-2</v>
      </c>
      <c r="J120" s="58">
        <v>6.5699999999999995E-2</v>
      </c>
      <c r="K120" s="40">
        <f>12274977.37*FX_RATE</f>
        <v>17019909152.301085</v>
      </c>
      <c r="L120" s="35">
        <f t="shared" si="64"/>
        <v>9.0563185763940859E-3</v>
      </c>
      <c r="M120" s="40">
        <f>1.2133*W137</f>
        <v>1682.3049975600002</v>
      </c>
      <c r="N120" s="40">
        <f>1.2133*W137</f>
        <v>1682.3049975600002</v>
      </c>
      <c r="O120" s="36">
        <v>324</v>
      </c>
      <c r="P120" s="58">
        <v>4.2999999999999997E-2</v>
      </c>
      <c r="Q120" s="58">
        <v>6.0499999999999998E-2</v>
      </c>
      <c r="R120" s="64">
        <f t="shared" ref="R120:R132" si="65">((K120-D120)/D120)</f>
        <v>1.3958888280063952E-2</v>
      </c>
      <c r="S120" s="64">
        <f t="shared" ref="S120:S132" si="66">((N120-G120)/G120)</f>
        <v>-2.3866720486224E-2</v>
      </c>
      <c r="T120" s="64">
        <f t="shared" ref="T120:T132" si="67">((O120-H120)/H120)</f>
        <v>9.3457943925233638E-3</v>
      </c>
      <c r="U120" s="64">
        <f t="shared" ref="U120:U132" si="68">P120-I120</f>
        <v>-4.3200000000000002E-2</v>
      </c>
      <c r="V120" s="65">
        <f t="shared" ref="V120:V132" si="69">Q120-J120</f>
        <v>-5.1999999999999963E-3</v>
      </c>
    </row>
    <row r="121" spans="1:28">
      <c r="A121" s="153">
        <v>106</v>
      </c>
      <c r="B121" s="149" t="s">
        <v>179</v>
      </c>
      <c r="C121" s="148" t="s">
        <v>24</v>
      </c>
      <c r="D121" s="40">
        <v>4308609953.7387905</v>
      </c>
      <c r="E121" s="35">
        <f t="shared" si="63"/>
        <v>2.2496238552335017E-3</v>
      </c>
      <c r="F121" s="40">
        <v>1489.8645720000002</v>
      </c>
      <c r="G121" s="40">
        <v>1489.8645720000002</v>
      </c>
      <c r="H121" s="36">
        <v>106</v>
      </c>
      <c r="I121" s="58">
        <v>6.9699999999999998E-2</v>
      </c>
      <c r="J121" s="58">
        <v>5.4699999999999999E-2</v>
      </c>
      <c r="K121" s="40">
        <f>3094572.16*W137</f>
        <v>4290788931.0789123</v>
      </c>
      <c r="L121" s="35">
        <f t="shared" si="64"/>
        <v>2.2831350717675476E-3</v>
      </c>
      <c r="M121" s="40">
        <f>1.0481*W137</f>
        <v>1453.24640892</v>
      </c>
      <c r="N121" s="40">
        <f>1.0481*W137</f>
        <v>1453.24640892</v>
      </c>
      <c r="O121" s="36">
        <v>107</v>
      </c>
      <c r="P121" s="58">
        <v>5.0000000000000001E-3</v>
      </c>
      <c r="Q121" s="58">
        <v>4.3099999999999999E-2</v>
      </c>
      <c r="R121" s="64">
        <f t="shared" si="65"/>
        <v>-4.1361420159218834E-3</v>
      </c>
      <c r="S121" s="64">
        <f t="shared" ref="S121" si="70">((N121-G121)/G121)</f>
        <v>-2.4578182318171233E-2</v>
      </c>
      <c r="T121" s="64">
        <f t="shared" ref="T121" si="71">((O121-H121)/H121)</f>
        <v>9.433962264150943E-3</v>
      </c>
      <c r="U121" s="64">
        <f t="shared" ref="U121" si="72">P121-I121</f>
        <v>-6.4699999999999994E-2</v>
      </c>
      <c r="V121" s="65">
        <f t="shared" ref="V121" si="73">Q121-J121</f>
        <v>-1.1599999999999999E-2</v>
      </c>
    </row>
    <row r="122" spans="1:28">
      <c r="A122" s="153">
        <v>107</v>
      </c>
      <c r="B122" s="149" t="s">
        <v>180</v>
      </c>
      <c r="C122" s="148" t="s">
        <v>28</v>
      </c>
      <c r="D122" s="40">
        <v>50984527415.648087</v>
      </c>
      <c r="E122" s="35">
        <f t="shared" si="63"/>
        <v>2.6620188495484743E-2</v>
      </c>
      <c r="F122" s="40">
        <v>1779.4498900500002</v>
      </c>
      <c r="G122" s="40">
        <v>1779.4498900500002</v>
      </c>
      <c r="H122" s="36">
        <v>647</v>
      </c>
      <c r="I122" s="58">
        <v>1.0699999999999999E-2</v>
      </c>
      <c r="J122" s="58">
        <v>3.7000000000000002E-3</v>
      </c>
      <c r="K122" s="40">
        <f>35899834.61*W137</f>
        <v>49777030557.966255</v>
      </c>
      <c r="L122" s="35">
        <f t="shared" si="64"/>
        <v>2.6486430831441799E-2</v>
      </c>
      <c r="M122" s="40">
        <f>1.2497*W137</f>
        <v>1732.7755340400001</v>
      </c>
      <c r="N122" s="40">
        <f>1.2497*W137</f>
        <v>1732.7755340400001</v>
      </c>
      <c r="O122" s="36">
        <v>653</v>
      </c>
      <c r="P122" s="58">
        <v>-1.6000000000000001E-3</v>
      </c>
      <c r="Q122" s="58">
        <v>2.0999999999999999E-3</v>
      </c>
      <c r="R122" s="64">
        <f t="shared" si="65"/>
        <v>-2.3683594197859103E-2</v>
      </c>
      <c r="S122" s="64">
        <f t="shared" ref="S122:T125" si="74">((N122-G122)/G122)</f>
        <v>-2.6229654608980656E-2</v>
      </c>
      <c r="T122" s="64">
        <f t="shared" si="74"/>
        <v>9.2735703245749607E-3</v>
      </c>
      <c r="U122" s="64">
        <f t="shared" si="68"/>
        <v>-1.23E-2</v>
      </c>
      <c r="V122" s="65">
        <f t="shared" si="69"/>
        <v>-1.6000000000000003E-3</v>
      </c>
    </row>
    <row r="123" spans="1:28">
      <c r="A123" s="153">
        <v>108</v>
      </c>
      <c r="B123" s="149" t="s">
        <v>181</v>
      </c>
      <c r="C123" s="148" t="s">
        <v>69</v>
      </c>
      <c r="D123" s="40">
        <v>1529253691.1656201</v>
      </c>
      <c r="E123" s="35">
        <f t="shared" si="63"/>
        <v>7.9845834765451351E-4</v>
      </c>
      <c r="F123" s="40">
        <v>1541.3274513000001</v>
      </c>
      <c r="G123" s="40">
        <v>1549.5728850000003</v>
      </c>
      <c r="H123" s="36">
        <v>68</v>
      </c>
      <c r="I123" s="58">
        <v>1.9000000000000001E-4</v>
      </c>
      <c r="J123" s="58">
        <v>0.14560000000000001</v>
      </c>
      <c r="K123" s="40">
        <f>1081397.47*W137</f>
        <v>1499415122.5004041</v>
      </c>
      <c r="L123" s="35">
        <f t="shared" si="64"/>
        <v>7.978409817652126E-4</v>
      </c>
      <c r="M123" s="40">
        <f>1.086*W137</f>
        <v>1505.7967752000002</v>
      </c>
      <c r="N123" s="40">
        <f>1.09*W137</f>
        <v>1511.3429880000001</v>
      </c>
      <c r="O123" s="36">
        <v>68</v>
      </c>
      <c r="P123" s="58">
        <v>1.39E-3</v>
      </c>
      <c r="Q123" s="58">
        <v>0.1236</v>
      </c>
      <c r="R123" s="64">
        <f t="shared" si="65"/>
        <v>-1.951185002043223E-2</v>
      </c>
      <c r="S123" s="64">
        <f t="shared" si="74"/>
        <v>-2.467124803877822E-2</v>
      </c>
      <c r="T123" s="64">
        <f t="shared" si="74"/>
        <v>0</v>
      </c>
      <c r="U123" s="64">
        <f t="shared" si="68"/>
        <v>1.1999999999999999E-3</v>
      </c>
      <c r="V123" s="65">
        <f t="shared" si="69"/>
        <v>-2.2000000000000006E-2</v>
      </c>
    </row>
    <row r="124" spans="1:28">
      <c r="A124" s="153">
        <v>109</v>
      </c>
      <c r="B124" s="149" t="s">
        <v>182</v>
      </c>
      <c r="C124" s="148" t="s">
        <v>30</v>
      </c>
      <c r="D124" s="40">
        <v>773061824.74405503</v>
      </c>
      <c r="E124" s="35">
        <v>0</v>
      </c>
      <c r="F124" s="40">
        <v>2024.6804612999999</v>
      </c>
      <c r="G124" s="40">
        <v>2024.6804612999999</v>
      </c>
      <c r="H124" s="36">
        <v>71</v>
      </c>
      <c r="I124" s="58">
        <v>4.2099999999999999E-4</v>
      </c>
      <c r="J124" s="58">
        <v>8.6999999999999994E-3</v>
      </c>
      <c r="K124" s="40">
        <f>547764.91*W137</f>
        <v>759505188.80821204</v>
      </c>
      <c r="L124" s="35">
        <f t="shared" si="64"/>
        <v>4.0413382284955161E-4</v>
      </c>
      <c r="M124" s="40">
        <f>1.4214*W137</f>
        <v>1970.8467184800002</v>
      </c>
      <c r="N124" s="40">
        <f>1.4214*W137</f>
        <v>1970.8467184800002</v>
      </c>
      <c r="O124" s="36">
        <v>72</v>
      </c>
      <c r="P124" s="58">
        <v>4.2299999999999998E-4</v>
      </c>
      <c r="Q124" s="58">
        <v>1.0699999999999999E-2</v>
      </c>
      <c r="R124" s="64">
        <f t="shared" si="65"/>
        <v>-1.7536289468609211E-2</v>
      </c>
      <c r="S124" s="64">
        <f t="shared" si="74"/>
        <v>-2.6588759979159569E-2</v>
      </c>
      <c r="T124" s="64">
        <f t="shared" si="74"/>
        <v>1.4084507042253521E-2</v>
      </c>
      <c r="U124" s="64">
        <f t="shared" si="68"/>
        <v>1.9999999999999944E-6</v>
      </c>
      <c r="V124" s="65">
        <f t="shared" si="69"/>
        <v>2E-3</v>
      </c>
    </row>
    <row r="125" spans="1:28">
      <c r="A125" s="153">
        <v>110</v>
      </c>
      <c r="B125" s="149" t="s">
        <v>183</v>
      </c>
      <c r="C125" s="148" t="s">
        <v>79</v>
      </c>
      <c r="D125" s="40">
        <v>1938085096.9006803</v>
      </c>
      <c r="E125" s="35">
        <f t="shared" ref="E125:E134" si="75">(D125/$D$156)</f>
        <v>1.0119185803015079E-3</v>
      </c>
      <c r="F125" s="40">
        <v>152554.739715</v>
      </c>
      <c r="G125" s="40">
        <v>152753.767425</v>
      </c>
      <c r="H125" s="36">
        <v>84</v>
      </c>
      <c r="I125" s="58">
        <v>5.1000000000000004E-3</v>
      </c>
      <c r="J125" s="58">
        <v>3.8999999999999998E-3</v>
      </c>
      <c r="K125" s="40">
        <f>1390002.11*W137</f>
        <v>1927311873.6272523</v>
      </c>
      <c r="L125" s="35">
        <f>(K125/$K$156)</f>
        <v>1.0255254694632465E-3</v>
      </c>
      <c r="M125" s="40">
        <f>107.77*W137</f>
        <v>149428.838364</v>
      </c>
      <c r="N125" s="40">
        <f>107.95*W137</f>
        <v>149678.41794000001</v>
      </c>
      <c r="O125" s="36">
        <v>84</v>
      </c>
      <c r="P125" s="58">
        <v>4.1999999999999997E-3</v>
      </c>
      <c r="Q125" s="58">
        <v>8.0999999999999996E-3</v>
      </c>
      <c r="R125" s="64">
        <f t="shared" si="65"/>
        <v>-5.5586946572449966E-3</v>
      </c>
      <c r="S125" s="64">
        <f t="shared" si="74"/>
        <v>-2.0132724297683452E-2</v>
      </c>
      <c r="T125" s="64">
        <f t="shared" si="74"/>
        <v>0</v>
      </c>
      <c r="U125" s="64">
        <f t="shared" si="68"/>
        <v>-9.0000000000000063E-4</v>
      </c>
      <c r="V125" s="65">
        <f t="shared" si="69"/>
        <v>4.1999999999999997E-3</v>
      </c>
    </row>
    <row r="126" spans="1:28">
      <c r="A126" s="153">
        <v>111</v>
      </c>
      <c r="B126" s="149" t="s">
        <v>184</v>
      </c>
      <c r="C126" s="148" t="s">
        <v>82</v>
      </c>
      <c r="D126" s="40">
        <v>5003986596.2600002</v>
      </c>
      <c r="E126" s="35">
        <f t="shared" si="75"/>
        <v>2.6126959133181376E-3</v>
      </c>
      <c r="F126" s="40">
        <v>1658.36</v>
      </c>
      <c r="G126" s="40">
        <v>1658.36</v>
      </c>
      <c r="H126" s="36">
        <v>66</v>
      </c>
      <c r="I126" s="58">
        <v>6.5799999999999997E-2</v>
      </c>
      <c r="J126" s="58">
        <v>6.5799999999999997E-2</v>
      </c>
      <c r="K126" s="40">
        <v>4896445941.1400003</v>
      </c>
      <c r="L126" s="35">
        <f t="shared" si="64"/>
        <v>2.6054060534782789E-3</v>
      </c>
      <c r="M126" s="40">
        <v>1646.39</v>
      </c>
      <c r="N126" s="40">
        <v>1646.39</v>
      </c>
      <c r="O126" s="36">
        <v>63</v>
      </c>
      <c r="P126" s="58">
        <v>6.5799999999999997E-2</v>
      </c>
      <c r="Q126" s="58">
        <v>6.6000000000000003E-2</v>
      </c>
      <c r="R126" s="64">
        <f t="shared" si="65"/>
        <v>-2.1490995839272671E-2</v>
      </c>
      <c r="S126" s="64">
        <f t="shared" si="66"/>
        <v>-7.2179743843313882E-3</v>
      </c>
      <c r="T126" s="64">
        <f t="shared" si="67"/>
        <v>-4.5454545454545456E-2</v>
      </c>
      <c r="U126" s="64">
        <f t="shared" si="68"/>
        <v>0</v>
      </c>
      <c r="V126" s="65">
        <f t="shared" si="69"/>
        <v>2.0000000000000573E-4</v>
      </c>
      <c r="X126" s="74"/>
    </row>
    <row r="127" spans="1:28">
      <c r="A127" s="153">
        <v>112</v>
      </c>
      <c r="B127" s="149" t="s">
        <v>185</v>
      </c>
      <c r="C127" s="148" t="s">
        <v>32</v>
      </c>
      <c r="D127" s="40">
        <v>53899879454.626915</v>
      </c>
      <c r="E127" s="35">
        <f t="shared" si="75"/>
        <v>2.8142360510057404E-2</v>
      </c>
      <c r="F127" s="40">
        <v>182607.92392499998</v>
      </c>
      <c r="G127" s="40">
        <v>182607.92392499998</v>
      </c>
      <c r="H127" s="36">
        <v>2550</v>
      </c>
      <c r="I127" s="58">
        <v>1.2999999999999999E-3</v>
      </c>
      <c r="J127" s="58">
        <v>4.4000000000000003E-3</v>
      </c>
      <c r="K127" s="40">
        <f>38029145.21*W137</f>
        <v>52729432984.190178</v>
      </c>
      <c r="L127" s="35">
        <f t="shared" si="64"/>
        <v>2.8057408484632604E-2</v>
      </c>
      <c r="M127" s="40">
        <f>128.64*W137</f>
        <v>178366.203648</v>
      </c>
      <c r="N127" s="40">
        <f>128.65*W137</f>
        <v>178380.06918000002</v>
      </c>
      <c r="O127" s="36">
        <v>2550</v>
      </c>
      <c r="P127" s="58">
        <v>1.5E-3</v>
      </c>
      <c r="Q127" s="58">
        <v>5.4999999999999997E-3</v>
      </c>
      <c r="R127" s="64">
        <f t="shared" si="65"/>
        <v>-2.1715196439762403E-2</v>
      </c>
      <c r="S127" s="64">
        <f t="shared" si="66"/>
        <v>-2.3152635735218197E-2</v>
      </c>
      <c r="T127" s="64">
        <f t="shared" si="67"/>
        <v>0</v>
      </c>
      <c r="U127" s="64">
        <f t="shared" si="68"/>
        <v>2.0000000000000009E-4</v>
      </c>
      <c r="V127" s="65">
        <f t="shared" si="69"/>
        <v>1.0999999999999994E-3</v>
      </c>
    </row>
    <row r="128" spans="1:28">
      <c r="A128" s="153">
        <v>113</v>
      </c>
      <c r="B128" s="150" t="s">
        <v>186</v>
      </c>
      <c r="C128" s="150" t="s">
        <v>32</v>
      </c>
      <c r="D128" s="40">
        <v>156739481361.51669</v>
      </c>
      <c r="E128" s="35">
        <f t="shared" si="75"/>
        <v>8.1837270050825167E-2</v>
      </c>
      <c r="F128" s="40">
        <v>178058.719125</v>
      </c>
      <c r="G128" s="40">
        <v>178058.719125</v>
      </c>
      <c r="H128" s="36">
        <v>974</v>
      </c>
      <c r="I128" s="58">
        <v>1.4E-3</v>
      </c>
      <c r="J128" s="58">
        <v>4.5999999999999999E-3</v>
      </c>
      <c r="K128" s="40">
        <f>110980836.65*W137</f>
        <v>153880834195.7348</v>
      </c>
      <c r="L128" s="35">
        <f t="shared" si="64"/>
        <v>8.1880217150832338E-2</v>
      </c>
      <c r="M128" s="40">
        <f>125.39*W137</f>
        <v>173859.90574800002</v>
      </c>
      <c r="N128" s="40">
        <f>125.41*W137</f>
        <v>173887.63681200001</v>
      </c>
      <c r="O128" s="36">
        <v>973</v>
      </c>
      <c r="P128" s="58">
        <v>1.1999999999999999E-3</v>
      </c>
      <c r="Q128" s="58">
        <v>5.7000000000000002E-3</v>
      </c>
      <c r="R128" s="64">
        <f t="shared" si="65"/>
        <v>-1.8238207380490652E-2</v>
      </c>
      <c r="S128" s="64">
        <f t="shared" si="66"/>
        <v>-2.342531909415695E-2</v>
      </c>
      <c r="T128" s="64">
        <f t="shared" si="67"/>
        <v>-1.026694045174538E-3</v>
      </c>
      <c r="U128" s="64">
        <f t="shared" si="68"/>
        <v>-2.0000000000000009E-4</v>
      </c>
      <c r="V128" s="65">
        <f t="shared" si="69"/>
        <v>1.1000000000000003E-3</v>
      </c>
      <c r="X128" s="73"/>
    </row>
    <row r="129" spans="1:25">
      <c r="A129" s="153">
        <v>114</v>
      </c>
      <c r="B129" s="149" t="s">
        <v>187</v>
      </c>
      <c r="C129" s="148" t="s">
        <v>88</v>
      </c>
      <c r="D129" s="40">
        <v>2330954963.64675</v>
      </c>
      <c r="E129" s="35">
        <f t="shared" si="75"/>
        <v>1.2170449281779132E-3</v>
      </c>
      <c r="F129" s="40">
        <v>1421.6265000000001</v>
      </c>
      <c r="G129" s="40">
        <v>1421.6265000000001</v>
      </c>
      <c r="H129" s="36">
        <v>16</v>
      </c>
      <c r="I129" s="58">
        <v>8.1900000000000001E-2</v>
      </c>
      <c r="J129" s="58">
        <v>8.2299999999999998E-2</v>
      </c>
      <c r="K129" s="40">
        <f>1632802.33*W137</f>
        <v>2263967295.6289563</v>
      </c>
      <c r="L129" s="35">
        <f t="shared" si="64"/>
        <v>1.2046603123601969E-3</v>
      </c>
      <c r="M129" s="40">
        <f>1*W137</f>
        <v>1386.5532000000001</v>
      </c>
      <c r="N129" s="40">
        <f>1*W137</f>
        <v>1386.5532000000001</v>
      </c>
      <c r="O129" s="36">
        <v>16</v>
      </c>
      <c r="P129" s="58">
        <v>8.2100000000000006E-2</v>
      </c>
      <c r="Q129" s="58">
        <v>8.2199999999999995E-2</v>
      </c>
      <c r="R129" s="64">
        <f t="shared" ref="R129" si="76">((K129-D129)/D129)</f>
        <v>-2.8738293558873522E-2</v>
      </c>
      <c r="S129" s="64">
        <f t="shared" ref="S129" si="77">((N129-G129)/G129)</f>
        <v>-2.467124803877813E-2</v>
      </c>
      <c r="T129" s="64">
        <f t="shared" si="67"/>
        <v>0</v>
      </c>
      <c r="U129" s="64">
        <f t="shared" si="68"/>
        <v>2.0000000000000573E-4</v>
      </c>
      <c r="V129" s="65">
        <f t="shared" si="69"/>
        <v>-1.0000000000000286E-4</v>
      </c>
    </row>
    <row r="130" spans="1:25">
      <c r="A130" s="153">
        <v>115</v>
      </c>
      <c r="B130" s="149" t="s">
        <v>188</v>
      </c>
      <c r="C130" s="148" t="s">
        <v>36</v>
      </c>
      <c r="D130" s="40">
        <v>259502523.49244475</v>
      </c>
      <c r="E130" s="35">
        <f t="shared" si="75"/>
        <v>1.3549220598056664E-4</v>
      </c>
      <c r="F130" s="40">
        <v>192135.09607740003</v>
      </c>
      <c r="G130" s="40">
        <v>192135.09607740003</v>
      </c>
      <c r="H130" s="36">
        <v>10</v>
      </c>
      <c r="I130" s="58">
        <v>2E-3</v>
      </c>
      <c r="J130" s="58">
        <v>0.20080000000000001</v>
      </c>
      <c r="K130" s="40">
        <f>182894.9138*W137</f>
        <v>253593527.99311417</v>
      </c>
      <c r="L130" s="35">
        <f t="shared" si="64"/>
        <v>1.3493748749574561E-4</v>
      </c>
      <c r="M130" s="40">
        <f>136.417*W137</f>
        <v>189149.42788440001</v>
      </c>
      <c r="N130" s="40">
        <f>136.417*W137</f>
        <v>189149.42788440001</v>
      </c>
      <c r="O130" s="36">
        <v>10</v>
      </c>
      <c r="P130" s="58">
        <v>1.9E-3</v>
      </c>
      <c r="Q130" s="58">
        <v>0.20319999999999999</v>
      </c>
      <c r="R130" s="64">
        <f t="shared" si="65"/>
        <v>-2.2770474135688383E-2</v>
      </c>
      <c r="S130" s="64">
        <f t="shared" si="66"/>
        <v>-1.5539421240340535E-2</v>
      </c>
      <c r="T130" s="64">
        <f t="shared" si="67"/>
        <v>0</v>
      </c>
      <c r="U130" s="64">
        <f t="shared" si="68"/>
        <v>-1.0000000000000005E-4</v>
      </c>
      <c r="V130" s="65">
        <f t="shared" si="69"/>
        <v>2.3999999999999855E-3</v>
      </c>
    </row>
    <row r="131" spans="1:25">
      <c r="A131" s="153">
        <v>116</v>
      </c>
      <c r="B131" s="149" t="s">
        <v>189</v>
      </c>
      <c r="C131" s="148" t="s">
        <v>42</v>
      </c>
      <c r="D131" s="40">
        <v>14709974360.02479</v>
      </c>
      <c r="E131" s="35">
        <f t="shared" si="75"/>
        <v>7.6804142369558117E-3</v>
      </c>
      <c r="F131" s="40">
        <v>2118.223485</v>
      </c>
      <c r="G131" s="40">
        <v>2118.223485</v>
      </c>
      <c r="H131" s="54">
        <v>116</v>
      </c>
      <c r="I131" s="61">
        <v>2.6700000000000002E-2</v>
      </c>
      <c r="J131" s="61">
        <v>8.3000000000000004E-2</v>
      </c>
      <c r="K131" s="40">
        <f xml:space="preserve"> 10440463.08*W137</f>
        <v>14476257493.055857</v>
      </c>
      <c r="L131" s="35">
        <f t="shared" si="64"/>
        <v>7.70283780470714E-3</v>
      </c>
      <c r="M131" s="40">
        <f>1.49*W137</f>
        <v>2065.9642680000002</v>
      </c>
      <c r="N131" s="40">
        <f>1.49*W137</f>
        <v>2065.9642680000002</v>
      </c>
      <c r="O131" s="54">
        <v>117</v>
      </c>
      <c r="P131" s="61">
        <v>-4.0000000000000002E-4</v>
      </c>
      <c r="Q131" s="61">
        <v>6.6199999999999995E-2</v>
      </c>
      <c r="R131" s="64">
        <f t="shared" si="65"/>
        <v>-1.5888325924215903E-2</v>
      </c>
      <c r="S131" s="64">
        <f t="shared" si="66"/>
        <v>-2.4671248038778026E-2</v>
      </c>
      <c r="T131" s="64">
        <f t="shared" si="67"/>
        <v>8.6206896551724137E-3</v>
      </c>
      <c r="U131" s="64">
        <f t="shared" si="68"/>
        <v>-2.7100000000000003E-2</v>
      </c>
      <c r="V131" s="65">
        <f t="shared" si="69"/>
        <v>-1.6800000000000009E-2</v>
      </c>
    </row>
    <row r="132" spans="1:25">
      <c r="A132" s="153">
        <v>117</v>
      </c>
      <c r="B132" s="149" t="s">
        <v>190</v>
      </c>
      <c r="C132" s="148" t="s">
        <v>104</v>
      </c>
      <c r="D132" s="40">
        <v>39680681966.1315</v>
      </c>
      <c r="E132" s="35">
        <f t="shared" si="75"/>
        <v>2.0718192108682813E-2</v>
      </c>
      <c r="F132" s="40">
        <v>148375.15780500002</v>
      </c>
      <c r="G132" s="40">
        <v>148375.15780500002</v>
      </c>
      <c r="H132" s="36">
        <v>855</v>
      </c>
      <c r="I132" s="61">
        <v>3.0999999999999999E-3</v>
      </c>
      <c r="J132" s="58">
        <v>5.04E-2</v>
      </c>
      <c r="K132" s="40">
        <f>27967032*W137</f>
        <v>38777777714.102402</v>
      </c>
      <c r="L132" s="35">
        <f t="shared" si="64"/>
        <v>2.0633712290763096E-2</v>
      </c>
      <c r="M132" s="40">
        <f>104.41*W137</f>
        <v>144770.019612</v>
      </c>
      <c r="N132" s="40">
        <f>104.41*W137</f>
        <v>144770.019612</v>
      </c>
      <c r="O132" s="36">
        <v>862</v>
      </c>
      <c r="P132" s="61">
        <v>4.0000000000000002E-4</v>
      </c>
      <c r="Q132" s="58">
        <v>4.3400000000000001E-2</v>
      </c>
      <c r="R132" s="64">
        <f t="shared" si="65"/>
        <v>-2.2754252379022892E-2</v>
      </c>
      <c r="S132" s="64">
        <f t="shared" si="66"/>
        <v>-2.4297451448968454E-2</v>
      </c>
      <c r="T132" s="64">
        <f t="shared" si="67"/>
        <v>8.1871345029239772E-3</v>
      </c>
      <c r="U132" s="64">
        <f t="shared" si="68"/>
        <v>-2.6999999999999997E-3</v>
      </c>
      <c r="V132" s="65">
        <f t="shared" si="69"/>
        <v>-6.9999999999999993E-3</v>
      </c>
    </row>
    <row r="133" spans="1:25">
      <c r="A133" s="153">
        <v>118</v>
      </c>
      <c r="B133" s="149" t="s">
        <v>191</v>
      </c>
      <c r="C133" s="148" t="s">
        <v>46</v>
      </c>
      <c r="D133" s="40">
        <v>2964940844.9289303</v>
      </c>
      <c r="E133" s="35">
        <f t="shared" si="75"/>
        <v>1.548063464951245E-3</v>
      </c>
      <c r="F133" s="40">
        <v>235577.72731500003</v>
      </c>
      <c r="G133" s="40">
        <v>244562.40679500002</v>
      </c>
      <c r="H133" s="36">
        <v>49</v>
      </c>
      <c r="I133" s="58">
        <v>8.0000000000000004E-4</v>
      </c>
      <c r="J133" s="58">
        <v>7.3700000000000002E-2</v>
      </c>
      <c r="K133" s="40">
        <f>2090254.8*W137</f>
        <v>2898249481.7553601</v>
      </c>
      <c r="L133" s="35">
        <f t="shared" si="64"/>
        <v>1.5421627921613761E-3</v>
      </c>
      <c r="M133" s="40">
        <f>167.110534*W137</f>
        <v>231707.6456714088</v>
      </c>
      <c r="N133" s="40">
        <f>173.513152*W137</f>
        <v>240585.21614768638</v>
      </c>
      <c r="O133" s="36">
        <v>48</v>
      </c>
      <c r="P133" s="58">
        <v>8.5000000000000006E-3</v>
      </c>
      <c r="Q133" s="58">
        <v>8.2799999999999999E-2</v>
      </c>
      <c r="R133" s="64">
        <f t="shared" ref="R133:R134" si="78">((K133-D133)/D133)</f>
        <v>-2.2493319989043071E-2</v>
      </c>
      <c r="S133" s="64">
        <f t="shared" ref="S133:S134" si="79">((N133-G133)/G133)</f>
        <v>-1.626247753869809E-2</v>
      </c>
      <c r="T133" s="64">
        <f t="shared" ref="T133:T134" si="80">((O133-H133)/H133)</f>
        <v>-2.0408163265306121E-2</v>
      </c>
      <c r="U133" s="64">
        <f t="shared" ref="U133:U134" si="81">P133-I133</f>
        <v>7.7000000000000002E-3</v>
      </c>
      <c r="V133" s="65">
        <f t="shared" ref="V133:V134" si="82">Q133-J133</f>
        <v>9.099999999999997E-3</v>
      </c>
    </row>
    <row r="134" spans="1:25">
      <c r="A134" s="153">
        <v>119</v>
      </c>
      <c r="B134" s="149" t="s">
        <v>192</v>
      </c>
      <c r="C134" s="148" t="s">
        <v>53</v>
      </c>
      <c r="D134" s="34">
        <v>157041855283.2561</v>
      </c>
      <c r="E134" s="35">
        <f t="shared" si="75"/>
        <v>8.1995146394901103E-2</v>
      </c>
      <c r="F134" s="40">
        <v>178162.13398499999</v>
      </c>
      <c r="G134" s="40">
        <v>178162.13398499999</v>
      </c>
      <c r="H134" s="36">
        <v>4187</v>
      </c>
      <c r="I134" s="58">
        <v>1E-3</v>
      </c>
      <c r="J134" s="58">
        <v>5.8400000000000001E-2</v>
      </c>
      <c r="K134" s="34">
        <f>110796534.41*1386.14</f>
        <v>153579508207.07739</v>
      </c>
      <c r="L134" s="35">
        <f t="shared" si="64"/>
        <v>8.1719881151138735E-2</v>
      </c>
      <c r="M134" s="40">
        <f>125.358*1386.14</f>
        <v>173763.73812000002</v>
      </c>
      <c r="N134" s="40">
        <f>125.358*1386.14</f>
        <v>173763.73812000002</v>
      </c>
      <c r="O134" s="36">
        <v>4202</v>
      </c>
      <c r="P134" s="58">
        <v>1.1000000000000001E-3</v>
      </c>
      <c r="Q134" s="58">
        <v>5.8700000000000002E-2</v>
      </c>
      <c r="R134" s="64">
        <f t="shared" si="78"/>
        <v>-2.2047288411956686E-2</v>
      </c>
      <c r="S134" s="64">
        <f t="shared" si="79"/>
        <v>-2.4687602054487535E-2</v>
      </c>
      <c r="T134" s="64">
        <f t="shared" si="80"/>
        <v>3.5825173155003584E-3</v>
      </c>
      <c r="U134" s="64">
        <f t="shared" si="81"/>
        <v>1.0000000000000005E-4</v>
      </c>
      <c r="V134" s="65">
        <f t="shared" si="82"/>
        <v>3.0000000000000165E-4</v>
      </c>
    </row>
    <row r="135" spans="1:25" ht="6" customHeight="1">
      <c r="A135" s="78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</row>
    <row r="136" spans="1:25">
      <c r="A136" s="188" t="s">
        <v>193</v>
      </c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</row>
    <row r="137" spans="1:25">
      <c r="A137" s="153">
        <v>120</v>
      </c>
      <c r="B137" s="149" t="s">
        <v>194</v>
      </c>
      <c r="C137" s="148" t="s">
        <v>64</v>
      </c>
      <c r="D137" s="34">
        <v>1621871250.2303853</v>
      </c>
      <c r="E137" s="35">
        <f>(D137/$D$156)</f>
        <v>8.4681609470580886E-4</v>
      </c>
      <c r="F137" s="40">
        <v>173168.32396500002</v>
      </c>
      <c r="G137" s="40">
        <v>173168.32396500002</v>
      </c>
      <c r="H137" s="36">
        <v>23</v>
      </c>
      <c r="I137" s="58">
        <v>2.5999999999999999E-3</v>
      </c>
      <c r="J137" s="58">
        <v>1.2999999999999999E-3</v>
      </c>
      <c r="K137" s="34">
        <f>1118878.47*W137</f>
        <v>1551384522.989604</v>
      </c>
      <c r="L137" s="35">
        <f t="shared" ref="L137:L154" si="83">(K137/$K$156)</f>
        <v>8.2549397584660421E-4</v>
      </c>
      <c r="M137" s="40">
        <f>121.86*W137</f>
        <v>168965.37295200001</v>
      </c>
      <c r="N137" s="40">
        <f>121.86*W137</f>
        <v>168965.37295200001</v>
      </c>
      <c r="O137" s="36">
        <v>23</v>
      </c>
      <c r="P137" s="58">
        <v>8.0000000000000004E-4</v>
      </c>
      <c r="Q137" s="58">
        <v>7.0000000000000001E-3</v>
      </c>
      <c r="R137" s="64">
        <f>((K137-D137)/D137)</f>
        <v>-4.3460124982651199E-2</v>
      </c>
      <c r="S137" s="64">
        <f>((N137-G137)/G137)</f>
        <v>-2.4270899647036451E-2</v>
      </c>
      <c r="T137" s="64">
        <f>((O137-H137)/H137)</f>
        <v>0</v>
      </c>
      <c r="U137" s="64">
        <f>P137-I137</f>
        <v>-1.8E-3</v>
      </c>
      <c r="V137" s="65">
        <f>Q137-J137</f>
        <v>5.7000000000000002E-3</v>
      </c>
      <c r="W137" s="85">
        <v>1386.5532000000001</v>
      </c>
      <c r="Y137" s="125"/>
    </row>
    <row r="138" spans="1:25">
      <c r="A138" s="153">
        <v>121</v>
      </c>
      <c r="B138" s="148" t="s">
        <v>195</v>
      </c>
      <c r="C138" s="148" t="s">
        <v>26</v>
      </c>
      <c r="D138" s="40">
        <v>28831012675.628311</v>
      </c>
      <c r="E138" s="35">
        <f t="shared" ref="E138:E155" si="84">(D138/$D$156)</f>
        <v>1.5053331487885475E-2</v>
      </c>
      <c r="F138" s="34">
        <v>193398.06906000001</v>
      </c>
      <c r="G138" s="34">
        <v>193398.06906000001</v>
      </c>
      <c r="H138" s="36">
        <v>656</v>
      </c>
      <c r="I138" s="58">
        <v>5.0000000000000001E-4</v>
      </c>
      <c r="J138" s="58">
        <v>3.0999999999999999E-3</v>
      </c>
      <c r="K138" s="40">
        <f>20364550.47*W137</f>
        <v>28236532620.740002</v>
      </c>
      <c r="L138" s="35">
        <f t="shared" si="83"/>
        <v>1.5024700344630933E-2</v>
      </c>
      <c r="M138" s="34">
        <f>136.17*W137</f>
        <v>188806.94924399999</v>
      </c>
      <c r="N138" s="34">
        <f>136.17*W137</f>
        <v>188806.94924399999</v>
      </c>
      <c r="O138" s="36">
        <v>658</v>
      </c>
      <c r="P138" s="58">
        <v>5.0000000000000001E-4</v>
      </c>
      <c r="Q138" s="58">
        <v>4.1000000000000003E-3</v>
      </c>
      <c r="R138" s="64">
        <f t="shared" ref="R138:R156" si="85">((K138-D138)/D138)</f>
        <v>-2.061946493439825E-2</v>
      </c>
      <c r="S138" s="64">
        <f t="shared" ref="S138:S156" si="86">((N138-G138)/G138)</f>
        <v>-2.3739222621585052E-2</v>
      </c>
      <c r="T138" s="64">
        <f t="shared" ref="T138:T156" si="87">((O138-H138)/H138)</f>
        <v>3.0487804878048782E-3</v>
      </c>
      <c r="U138" s="64">
        <f t="shared" ref="U138:U156" si="88">P138-I138</f>
        <v>0</v>
      </c>
      <c r="V138" s="65">
        <f t="shared" ref="V138:V156" si="89">Q138-J138</f>
        <v>1.0000000000000005E-3</v>
      </c>
    </row>
    <row r="139" spans="1:25">
      <c r="A139" s="153">
        <v>122</v>
      </c>
      <c r="B139" s="148" t="s">
        <v>196</v>
      </c>
      <c r="C139" s="148" t="s">
        <v>137</v>
      </c>
      <c r="D139" s="40">
        <v>356454548.54194504</v>
      </c>
      <c r="E139" s="35">
        <f t="shared" si="84"/>
        <v>1.8611307691256896E-4</v>
      </c>
      <c r="F139" s="34">
        <v>142162.65</v>
      </c>
      <c r="G139" s="34">
        <v>142162.65</v>
      </c>
      <c r="H139" s="36">
        <v>15</v>
      </c>
      <c r="I139" s="58">
        <v>2.81E-3</v>
      </c>
      <c r="J139" s="58">
        <v>7.9000000000000008E-3</v>
      </c>
      <c r="K139" s="40">
        <f>255740.57*W137</f>
        <v>354597905.70332402</v>
      </c>
      <c r="L139" s="35">
        <f t="shared" si="83"/>
        <v>1.8868206474164867E-4</v>
      </c>
      <c r="M139" s="34">
        <f>100*W137</f>
        <v>138655.32</v>
      </c>
      <c r="N139" s="34">
        <f>100*W137</f>
        <v>138655.32</v>
      </c>
      <c r="O139" s="36">
        <v>15</v>
      </c>
      <c r="P139" s="58">
        <v>1.9900000000000001E-2</v>
      </c>
      <c r="Q139" s="58">
        <v>6.8199999999999997E-3</v>
      </c>
      <c r="R139" s="64">
        <v>0</v>
      </c>
      <c r="S139" s="64">
        <f t="shared" ref="S139" si="90">((N139-G139)/G139)</f>
        <v>-2.4671248038778029E-2</v>
      </c>
      <c r="T139" s="64">
        <f t="shared" ref="T139" si="91">((O139-H139)/H139)</f>
        <v>0</v>
      </c>
      <c r="U139" s="64">
        <f t="shared" ref="U139" si="92">P139-I139</f>
        <v>1.7090000000000001E-2</v>
      </c>
      <c r="V139" s="65">
        <f t="shared" ref="V139" si="93">Q139-J139</f>
        <v>-1.0800000000000011E-3</v>
      </c>
    </row>
    <row r="140" spans="1:25">
      <c r="A140" s="153">
        <v>123</v>
      </c>
      <c r="B140" s="149" t="s">
        <v>197</v>
      </c>
      <c r="C140" s="148" t="s">
        <v>73</v>
      </c>
      <c r="D140" s="34">
        <v>17418896783.049999</v>
      </c>
      <c r="E140" s="35">
        <f t="shared" si="84"/>
        <v>9.0948046250962696E-3</v>
      </c>
      <c r="F140" s="34">
        <v>171238.55</v>
      </c>
      <c r="G140" s="34">
        <v>171238.55</v>
      </c>
      <c r="H140" s="36">
        <v>456</v>
      </c>
      <c r="I140" s="58">
        <v>1.1999999999999999E-3</v>
      </c>
      <c r="J140" s="58">
        <v>6.7400000000000002E-2</v>
      </c>
      <c r="K140" s="34">
        <v>17243007929</v>
      </c>
      <c r="L140" s="35">
        <f t="shared" ref="L140:L141" si="94">(K140/$K$114)</f>
        <v>7.1410315613541858E-2</v>
      </c>
      <c r="M140" s="34">
        <v>171425.1</v>
      </c>
      <c r="N140" s="34">
        <v>171425.1</v>
      </c>
      <c r="O140" s="36">
        <v>457</v>
      </c>
      <c r="P140" s="58">
        <v>1.1000000000000001E-3</v>
      </c>
      <c r="Q140" s="58">
        <v>6.7799999999999999E-2</v>
      </c>
      <c r="R140" s="64">
        <f t="shared" si="85"/>
        <v>-1.0097588626918863E-2</v>
      </c>
      <c r="S140" s="64">
        <f t="shared" si="86"/>
        <v>1.0894159054723219E-3</v>
      </c>
      <c r="T140" s="64">
        <f t="shared" si="87"/>
        <v>2.1929824561403508E-3</v>
      </c>
      <c r="U140" s="64">
        <f t="shared" si="88"/>
        <v>-9.9999999999999829E-5</v>
      </c>
      <c r="V140" s="65">
        <f t="shared" si="89"/>
        <v>3.9999999999999758E-4</v>
      </c>
    </row>
    <row r="141" spans="1:25">
      <c r="A141" s="153">
        <v>124</v>
      </c>
      <c r="B141" s="149" t="s">
        <v>198</v>
      </c>
      <c r="C141" s="148" t="s">
        <v>75</v>
      </c>
      <c r="D141" s="40">
        <v>221065948.81444502</v>
      </c>
      <c r="E141" s="35">
        <f t="shared" ref="E141" si="95">(D141/$D$114)</f>
        <v>9.0960420661994647E-4</v>
      </c>
      <c r="F141" s="39">
        <v>1434.4211384999999</v>
      </c>
      <c r="G141" s="39">
        <v>1434.4211384999999</v>
      </c>
      <c r="H141" s="36">
        <v>5</v>
      </c>
      <c r="I141" s="58">
        <v>2.3E-3</v>
      </c>
      <c r="J141" s="58">
        <v>6.5500000000000003E-2</v>
      </c>
      <c r="K141" s="40">
        <f>164465.61*W137</f>
        <v>228040317.83545199</v>
      </c>
      <c r="L141" s="35">
        <f t="shared" si="94"/>
        <v>9.4440779336731604E-4</v>
      </c>
      <c r="M141" s="39">
        <f>1.047*W137</f>
        <v>1451.7212004</v>
      </c>
      <c r="N141" s="39">
        <f>1.047*W137</f>
        <v>1451.7212004</v>
      </c>
      <c r="O141" s="36">
        <v>5</v>
      </c>
      <c r="P141" s="58">
        <v>3.7699999999999997E-2</v>
      </c>
      <c r="Q141" s="58">
        <v>0.1036</v>
      </c>
      <c r="R141" s="63">
        <f t="shared" si="85"/>
        <v>3.1548816352811586E-2</v>
      </c>
      <c r="S141" s="63">
        <f t="shared" si="86"/>
        <v>1.206065738691718E-2</v>
      </c>
      <c r="T141" s="63">
        <f t="shared" si="87"/>
        <v>0</v>
      </c>
      <c r="U141" s="64">
        <f t="shared" si="88"/>
        <v>3.5400000000000001E-2</v>
      </c>
      <c r="V141" s="65">
        <f t="shared" si="89"/>
        <v>3.8099999999999995E-2</v>
      </c>
    </row>
    <row r="142" spans="1:25">
      <c r="A142" s="153">
        <v>125</v>
      </c>
      <c r="B142" s="149" t="s">
        <v>199</v>
      </c>
      <c r="C142" s="148" t="s">
        <v>71</v>
      </c>
      <c r="D142" s="34">
        <v>11057001702.4053</v>
      </c>
      <c r="E142" s="35">
        <f t="shared" si="84"/>
        <v>5.7731136176538654E-3</v>
      </c>
      <c r="F142" s="34">
        <v>1914.35879390269</v>
      </c>
      <c r="G142" s="34">
        <v>1914.35879390269</v>
      </c>
      <c r="H142" s="36">
        <v>320</v>
      </c>
      <c r="I142" s="58">
        <v>8.1199999999999994E-2</v>
      </c>
      <c r="J142" s="58">
        <v>7.6799999999999993E-2</v>
      </c>
      <c r="K142" s="34">
        <v>10825173929.7237</v>
      </c>
      <c r="L142" s="35">
        <f t="shared" si="83"/>
        <v>5.7600908956202774E-3</v>
      </c>
      <c r="M142" s="34">
        <v>1867.26696378877</v>
      </c>
      <c r="N142" s="34">
        <v>1867.26696378877</v>
      </c>
      <c r="O142" s="36">
        <v>321</v>
      </c>
      <c r="P142" s="58">
        <v>6.2799999999999995E-2</v>
      </c>
      <c r="Q142" s="58">
        <v>7.3599999999999999E-2</v>
      </c>
      <c r="R142" s="64">
        <f t="shared" si="85"/>
        <v>-2.0966603688879745E-2</v>
      </c>
      <c r="S142" s="64">
        <f t="shared" si="86"/>
        <v>-2.4599270661230983E-2</v>
      </c>
      <c r="T142" s="63">
        <f t="shared" si="87"/>
        <v>3.1250000000000002E-3</v>
      </c>
      <c r="U142" s="64">
        <f t="shared" si="88"/>
        <v>-1.84E-2</v>
      </c>
      <c r="V142" s="65">
        <f t="shared" si="89"/>
        <v>-3.1999999999999945E-3</v>
      </c>
    </row>
    <row r="143" spans="1:25">
      <c r="A143" s="153">
        <v>126</v>
      </c>
      <c r="B143" s="149" t="s">
        <v>200</v>
      </c>
      <c r="C143" s="148" t="s">
        <v>94</v>
      </c>
      <c r="D143" s="34">
        <v>428675051.28892505</v>
      </c>
      <c r="E143" s="35">
        <f t="shared" si="84"/>
        <v>2.2382105409337192E-4</v>
      </c>
      <c r="F143" s="34">
        <v>1478.4915600000002</v>
      </c>
      <c r="G143" s="34">
        <v>1478.4915600000002</v>
      </c>
      <c r="H143" s="36">
        <v>11</v>
      </c>
      <c r="I143" s="58">
        <v>2.9999999999999997E-4</v>
      </c>
      <c r="J143" s="58">
        <v>1.6000000000000001E-3</v>
      </c>
      <c r="K143" s="34">
        <f>301585.32*W137</f>
        <v>418164090.51902401</v>
      </c>
      <c r="L143" s="35">
        <f t="shared" si="83"/>
        <v>2.2250572474039152E-4</v>
      </c>
      <c r="M143" s="34">
        <f>1.04*W137</f>
        <v>1442.0153280000002</v>
      </c>
      <c r="N143" s="34">
        <f>1.04*W137</f>
        <v>1442.0153280000002</v>
      </c>
      <c r="O143" s="36">
        <v>12</v>
      </c>
      <c r="P143" s="58">
        <v>1E-4</v>
      </c>
      <c r="Q143" s="58">
        <v>1.8E-3</v>
      </c>
      <c r="R143" s="64">
        <f t="shared" si="85"/>
        <v>-2.4519646614135929E-2</v>
      </c>
      <c r="S143" s="64">
        <f t="shared" si="86"/>
        <v>-2.4671248038778102E-2</v>
      </c>
      <c r="T143" s="63">
        <f t="shared" si="87"/>
        <v>9.0909090909090912E-2</v>
      </c>
      <c r="U143" s="64">
        <f t="shared" si="88"/>
        <v>-1.9999999999999998E-4</v>
      </c>
      <c r="V143" s="65">
        <f t="shared" si="89"/>
        <v>1.9999999999999987E-4</v>
      </c>
    </row>
    <row r="144" spans="1:25">
      <c r="A144" s="153">
        <v>127</v>
      </c>
      <c r="B144" s="149" t="s">
        <v>201</v>
      </c>
      <c r="C144" s="148" t="s">
        <v>38</v>
      </c>
      <c r="D144" s="34">
        <v>122123991287.929</v>
      </c>
      <c r="E144" s="35">
        <f t="shared" si="84"/>
        <v>6.3763730541274488E-2</v>
      </c>
      <c r="F144" s="34">
        <v>142162.65</v>
      </c>
      <c r="G144" s="34">
        <v>142162.65</v>
      </c>
      <c r="H144" s="36">
        <v>2344</v>
      </c>
      <c r="I144" s="58">
        <v>5.0500000000000003E-2</v>
      </c>
      <c r="J144" s="58">
        <v>5.3900000000000003E-2</v>
      </c>
      <c r="K144" s="34">
        <v>123947845241.83</v>
      </c>
      <c r="L144" s="35">
        <f t="shared" si="83"/>
        <v>6.5952829907781341E-2</v>
      </c>
      <c r="M144" s="34">
        <f>100*W137</f>
        <v>138655.32</v>
      </c>
      <c r="N144" s="34">
        <f>100*W137</f>
        <v>138655.32</v>
      </c>
      <c r="O144" s="36">
        <v>2416</v>
      </c>
      <c r="P144" s="58">
        <v>5.1200000000000002E-2</v>
      </c>
      <c r="Q144" s="58">
        <v>5.2499999999999998E-2</v>
      </c>
      <c r="R144" s="64">
        <f t="shared" si="85"/>
        <v>1.4934444368108977E-2</v>
      </c>
      <c r="S144" s="64">
        <f t="shared" si="86"/>
        <v>-2.4671248038778029E-2</v>
      </c>
      <c r="T144" s="64">
        <f t="shared" si="87"/>
        <v>3.0716723549488054E-2</v>
      </c>
      <c r="U144" s="64">
        <f t="shared" si="88"/>
        <v>6.9999999999999923E-4</v>
      </c>
      <c r="V144" s="65">
        <f t="shared" si="89"/>
        <v>-1.4000000000000054E-3</v>
      </c>
    </row>
    <row r="145" spans="1:24" ht="15.6">
      <c r="A145" s="153">
        <v>128</v>
      </c>
      <c r="B145" s="149" t="s">
        <v>202</v>
      </c>
      <c r="C145" s="148" t="s">
        <v>151</v>
      </c>
      <c r="D145" s="34">
        <v>1563799869.0638101</v>
      </c>
      <c r="E145" s="35">
        <f t="shared" si="84"/>
        <v>8.1649569769114681E-4</v>
      </c>
      <c r="F145" s="34">
        <v>1649.08674</v>
      </c>
      <c r="G145" s="34">
        <v>1649.08674</v>
      </c>
      <c r="H145" s="36">
        <v>53</v>
      </c>
      <c r="I145" s="58">
        <v>1.9E-3</v>
      </c>
      <c r="J145" s="58">
        <v>9.1700000000000004E-2</v>
      </c>
      <c r="K145" s="34">
        <f>1104689.02*W137</f>
        <v>1531710095.6858642</v>
      </c>
      <c r="L145" s="35">
        <f t="shared" si="83"/>
        <v>8.1502518427572297E-4</v>
      </c>
      <c r="M145" s="34">
        <f>1.16*W137</f>
        <v>1608.4017119999999</v>
      </c>
      <c r="N145" s="34">
        <f>1.16*W137</f>
        <v>1608.4017119999999</v>
      </c>
      <c r="O145" s="36">
        <v>53</v>
      </c>
      <c r="P145" s="58">
        <v>1.9E-3</v>
      </c>
      <c r="Q145" s="58">
        <v>0.17560000000000001</v>
      </c>
      <c r="R145" s="64">
        <f t="shared" si="85"/>
        <v>-2.052038372221944E-2</v>
      </c>
      <c r="S145" s="64">
        <f t="shared" si="86"/>
        <v>-2.4671248038778182E-2</v>
      </c>
      <c r="T145" s="64">
        <f t="shared" si="87"/>
        <v>0</v>
      </c>
      <c r="U145" s="64">
        <f t="shared" si="88"/>
        <v>0</v>
      </c>
      <c r="V145" s="65">
        <f t="shared" si="89"/>
        <v>8.3900000000000002E-2</v>
      </c>
      <c r="X145" s="86"/>
    </row>
    <row r="146" spans="1:24" ht="15.6">
      <c r="A146" s="153">
        <v>129</v>
      </c>
      <c r="B146" s="149" t="s">
        <v>329</v>
      </c>
      <c r="C146" s="148" t="s">
        <v>44</v>
      </c>
      <c r="D146" s="40">
        <v>9258987644.2743759</v>
      </c>
      <c r="E146" s="35">
        <f t="shared" si="84"/>
        <v>4.834329332084779E-3</v>
      </c>
      <c r="F146" s="34">
        <v>15751.621620000002</v>
      </c>
      <c r="G146" s="34">
        <v>15751.621620000002</v>
      </c>
      <c r="H146" s="36">
        <v>190</v>
      </c>
      <c r="I146" s="58">
        <v>5.96E-2</v>
      </c>
      <c r="J146" s="58">
        <v>7.9500000000000001E-2</v>
      </c>
      <c r="K146" s="40">
        <f>6822446.58*W137</f>
        <v>9459685137.3280563</v>
      </c>
      <c r="L146" s="35">
        <f t="shared" si="83"/>
        <v>5.0335123101665075E-3</v>
      </c>
      <c r="M146" s="34">
        <f>11.02*W137</f>
        <v>15279.816264000001</v>
      </c>
      <c r="N146" s="34">
        <f>11.02*W137</f>
        <v>15279.816264000001</v>
      </c>
      <c r="O146" s="36">
        <v>193</v>
      </c>
      <c r="P146" s="58">
        <v>5.45E-2</v>
      </c>
      <c r="Q146" s="58">
        <v>7.4300000000000005E-2</v>
      </c>
      <c r="R146" s="64">
        <f t="shared" si="85"/>
        <v>2.1675965101626293E-2</v>
      </c>
      <c r="S146" s="64">
        <f t="shared" si="86"/>
        <v>-2.9952811677557343E-2</v>
      </c>
      <c r="T146" s="64">
        <f t="shared" si="87"/>
        <v>1.5789473684210527E-2</v>
      </c>
      <c r="U146" s="64">
        <f t="shared" si="88"/>
        <v>-5.1000000000000004E-3</v>
      </c>
      <c r="V146" s="65">
        <f t="shared" si="89"/>
        <v>-5.1999999999999963E-3</v>
      </c>
      <c r="X146" s="86"/>
    </row>
    <row r="147" spans="1:24" ht="15.6">
      <c r="A147" s="153">
        <v>130</v>
      </c>
      <c r="B147" s="148" t="s">
        <v>203</v>
      </c>
      <c r="C147" s="151" t="s">
        <v>48</v>
      </c>
      <c r="D147" s="34">
        <v>29116715850.32</v>
      </c>
      <c r="E147" s="35">
        <f t="shared" si="84"/>
        <v>1.5202503653433818E-2</v>
      </c>
      <c r="F147" s="34">
        <v>1535.3566200000002</v>
      </c>
      <c r="G147" s="34">
        <v>1535.3566200000002</v>
      </c>
      <c r="H147" s="36">
        <v>678</v>
      </c>
      <c r="I147" s="58">
        <v>-1.6999999999999999E-3</v>
      </c>
      <c r="J147" s="58">
        <v>-4.5999999999999999E-3</v>
      </c>
      <c r="K147" s="34">
        <v>28678447764.939999</v>
      </c>
      <c r="L147" s="35">
        <f t="shared" si="83"/>
        <v>1.5259844039805546E-2</v>
      </c>
      <c r="M147" s="34">
        <f>1.09*W137</f>
        <v>1511.3429880000001</v>
      </c>
      <c r="N147" s="34">
        <f>1.09*W137</f>
        <v>1511.3429880000001</v>
      </c>
      <c r="O147" s="36">
        <v>712</v>
      </c>
      <c r="P147" s="58">
        <v>1.09E-2</v>
      </c>
      <c r="Q147" s="58">
        <v>2.3999999999999998E-3</v>
      </c>
      <c r="R147" s="64">
        <f t="shared" si="85"/>
        <v>-1.5052112595149854E-2</v>
      </c>
      <c r="S147" s="64">
        <f t="shared" si="86"/>
        <v>-1.5640426261359489E-2</v>
      </c>
      <c r="T147" s="64">
        <f t="shared" si="87"/>
        <v>5.0147492625368731E-2</v>
      </c>
      <c r="U147" s="64">
        <f t="shared" si="88"/>
        <v>1.26E-2</v>
      </c>
      <c r="V147" s="65">
        <f t="shared" si="89"/>
        <v>6.9999999999999993E-3</v>
      </c>
      <c r="X147" s="86"/>
    </row>
    <row r="148" spans="1:24">
      <c r="A148" s="153">
        <v>131</v>
      </c>
      <c r="B148" s="149" t="s">
        <v>204</v>
      </c>
      <c r="C148" s="148" t="s">
        <v>106</v>
      </c>
      <c r="D148" s="40">
        <v>455255263.62719995</v>
      </c>
      <c r="E148" s="35">
        <f t="shared" si="84"/>
        <v>2.3769919121772862E-4</v>
      </c>
      <c r="F148" s="34">
        <v>1892.3373000000001</v>
      </c>
      <c r="G148" s="34">
        <v>1892.3373000000001</v>
      </c>
      <c r="H148" s="36">
        <v>2</v>
      </c>
      <c r="I148" s="58">
        <v>4.5269999999999998E-3</v>
      </c>
      <c r="J148" s="58">
        <v>3.1250000000000002E-3</v>
      </c>
      <c r="K148" s="40">
        <f>319442.39*1386.14</f>
        <v>442791874.47460008</v>
      </c>
      <c r="L148" s="35">
        <f t="shared" si="83"/>
        <v>2.3561020463722747E-4</v>
      </c>
      <c r="M148" s="34">
        <f>1.33*1386.14</f>
        <v>1843.5662000000002</v>
      </c>
      <c r="N148" s="34">
        <f>1.33*1386.14</f>
        <v>1843.5662000000002</v>
      </c>
      <c r="O148" s="36">
        <v>2</v>
      </c>
      <c r="P148" s="58">
        <v>-1.6459999999999999E-3</v>
      </c>
      <c r="Q148" s="58">
        <v>1.474E-3</v>
      </c>
      <c r="R148" s="64">
        <f t="shared" si="85"/>
        <v>-2.7376705220932732E-2</v>
      </c>
      <c r="S148" s="64">
        <f t="shared" si="86"/>
        <v>-2.5772942276199876E-2</v>
      </c>
      <c r="T148" s="64">
        <f t="shared" si="87"/>
        <v>0</v>
      </c>
      <c r="U148" s="64">
        <f t="shared" ref="U148" si="96">P148-I148</f>
        <v>-6.1729999999999997E-3</v>
      </c>
      <c r="V148" s="65">
        <f t="shared" ref="V148" si="97">Q148-J148</f>
        <v>-1.6510000000000001E-3</v>
      </c>
    </row>
    <row r="149" spans="1:24">
      <c r="A149" s="153">
        <v>132</v>
      </c>
      <c r="B149" s="149" t="s">
        <v>205</v>
      </c>
      <c r="C149" s="148" t="s">
        <v>111</v>
      </c>
      <c r="D149" s="40">
        <v>920430158.22922504</v>
      </c>
      <c r="E149" s="35">
        <f t="shared" si="84"/>
        <v>4.8057764876860854E-4</v>
      </c>
      <c r="F149" s="34">
        <v>1524.5522586000002</v>
      </c>
      <c r="G149" s="34">
        <v>1524.5522586000002</v>
      </c>
      <c r="H149" s="36">
        <v>10</v>
      </c>
      <c r="I149" s="58">
        <v>3.0999999999999999E-3</v>
      </c>
      <c r="J149" s="58">
        <v>3.8E-3</v>
      </c>
      <c r="K149" s="40">
        <f>648353.57*W137</f>
        <v>898976717.21492398</v>
      </c>
      <c r="L149" s="35">
        <f t="shared" si="83"/>
        <v>4.7834682729540735E-4</v>
      </c>
      <c r="M149" s="34">
        <f>1.0739*W137</f>
        <v>1489.0194814800002</v>
      </c>
      <c r="N149" s="34">
        <f>1.0739*W137</f>
        <v>1489.0194814800002</v>
      </c>
      <c r="O149" s="36">
        <v>10</v>
      </c>
      <c r="P149" s="58">
        <v>1.4E-3</v>
      </c>
      <c r="Q149" s="58">
        <v>5.1999999999999998E-3</v>
      </c>
      <c r="R149" s="64">
        <f t="shared" ref="R149" si="98">((K149-D149)/D149)</f>
        <v>-2.3308059631134196E-2</v>
      </c>
      <c r="S149" s="64">
        <f t="shared" ref="S149" si="99">((N149-G149)/G149)</f>
        <v>-2.3307024681875989E-2</v>
      </c>
      <c r="T149" s="64">
        <f t="shared" si="87"/>
        <v>0</v>
      </c>
      <c r="U149" s="64">
        <f t="shared" si="88"/>
        <v>-1.6999999999999999E-3</v>
      </c>
      <c r="V149" s="65">
        <f t="shared" si="89"/>
        <v>1.3999999999999998E-3</v>
      </c>
    </row>
    <row r="150" spans="1:24">
      <c r="A150" s="153">
        <v>133</v>
      </c>
      <c r="B150" s="149" t="s">
        <v>206</v>
      </c>
      <c r="C150" s="148" t="s">
        <v>50</v>
      </c>
      <c r="D150" s="40">
        <v>974758068881.22998</v>
      </c>
      <c r="E150" s="35">
        <f t="shared" si="84"/>
        <v>0.50894349416189844</v>
      </c>
      <c r="F150" s="34">
        <v>2385.48</v>
      </c>
      <c r="G150" s="34">
        <v>2385.48</v>
      </c>
      <c r="H150" s="36">
        <v>13022</v>
      </c>
      <c r="I150" s="58">
        <v>6.9999999999999999E-4</v>
      </c>
      <c r="J150" s="58">
        <v>2.3E-3</v>
      </c>
      <c r="K150" s="40">
        <v>943690747258.12</v>
      </c>
      <c r="L150" s="35">
        <f t="shared" si="83"/>
        <v>0.50213922814091305</v>
      </c>
      <c r="M150" s="34">
        <v>2325.67</v>
      </c>
      <c r="N150" s="34">
        <v>2325.67</v>
      </c>
      <c r="O150" s="36">
        <v>13079</v>
      </c>
      <c r="P150" s="58">
        <v>6.9999999999999999E-4</v>
      </c>
      <c r="Q150" s="58">
        <v>3.0000000000000001E-3</v>
      </c>
      <c r="R150" s="64">
        <f t="shared" si="85"/>
        <v>-3.1871828112966773E-2</v>
      </c>
      <c r="S150" s="64">
        <f t="shared" si="86"/>
        <v>-2.507252209198985E-2</v>
      </c>
      <c r="T150" s="64">
        <f t="shared" si="87"/>
        <v>4.3772078021809243E-3</v>
      </c>
      <c r="U150" s="64">
        <f t="shared" si="88"/>
        <v>0</v>
      </c>
      <c r="V150" s="65">
        <f t="shared" si="89"/>
        <v>7.000000000000001E-4</v>
      </c>
    </row>
    <row r="151" spans="1:24">
      <c r="A151" s="153">
        <v>134</v>
      </c>
      <c r="B151" s="149" t="s">
        <v>207</v>
      </c>
      <c r="C151" s="149" t="s">
        <v>116</v>
      </c>
      <c r="D151" s="40">
        <v>571717133.65809</v>
      </c>
      <c r="E151" s="35">
        <f t="shared" si="84"/>
        <v>2.9850659867851483E-4</v>
      </c>
      <c r="F151" s="34">
        <v>162136.50232500001</v>
      </c>
      <c r="G151" s="34">
        <v>162136.50232500001</v>
      </c>
      <c r="H151" s="36">
        <v>30</v>
      </c>
      <c r="I151" s="58">
        <v>0</v>
      </c>
      <c r="J151" s="58">
        <v>3.0999999999999999E-3</v>
      </c>
      <c r="K151" s="40">
        <f>402751.94*W137</f>
        <v>558436991.21320808</v>
      </c>
      <c r="L151" s="35">
        <f t="shared" si="83"/>
        <v>2.9714514055358761E-4</v>
      </c>
      <c r="M151" s="34">
        <f>114.22*W137</f>
        <v>158372.106504</v>
      </c>
      <c r="N151" s="34">
        <f>114.22*W137</f>
        <v>158372.106504</v>
      </c>
      <c r="O151" s="36">
        <v>30</v>
      </c>
      <c r="P151" s="58">
        <v>1.5E-3</v>
      </c>
      <c r="Q151" s="58">
        <v>4.5999999999999999E-3</v>
      </c>
      <c r="R151" s="64">
        <f t="shared" ref="R151" si="100">((K151-D151)/D151)</f>
        <v>-2.322851925026263E-2</v>
      </c>
      <c r="S151" s="64">
        <f t="shared" ref="S151" si="101">((N151-G151)/G151)</f>
        <v>-2.3217448057775061E-2</v>
      </c>
      <c r="T151" s="64">
        <f t="shared" ref="T151" si="102">((O151-H151)/H151)</f>
        <v>0</v>
      </c>
      <c r="U151" s="64">
        <f t="shared" ref="U151" si="103">P151-I151</f>
        <v>1.5E-3</v>
      </c>
      <c r="V151" s="65">
        <f t="shared" ref="V151" si="104">Q151-J151</f>
        <v>1.5E-3</v>
      </c>
    </row>
    <row r="152" spans="1:24" ht="16.5" customHeight="1">
      <c r="A152" s="153">
        <v>135</v>
      </c>
      <c r="B152" s="149" t="s">
        <v>208</v>
      </c>
      <c r="C152" s="148" t="s">
        <v>53</v>
      </c>
      <c r="D152" s="40">
        <v>189260626757.55569</v>
      </c>
      <c r="E152" s="35">
        <f t="shared" si="84"/>
        <v>9.8817304277168103E-2</v>
      </c>
      <c r="F152" s="34">
        <v>1781.3581199999999</v>
      </c>
      <c r="G152" s="34">
        <v>1781.3581199999999</v>
      </c>
      <c r="H152" s="36">
        <v>950</v>
      </c>
      <c r="I152" s="58">
        <v>1E-3</v>
      </c>
      <c r="J152" s="58">
        <v>5.21E-2</v>
      </c>
      <c r="K152" s="40">
        <f>139420444.98*1386.14</f>
        <v>193256255604.57721</v>
      </c>
      <c r="L152" s="35">
        <f t="shared" si="83"/>
        <v>0.10283193652649264</v>
      </c>
      <c r="M152" s="34">
        <f>1.2534*1386.14</f>
        <v>1737.3878760000002</v>
      </c>
      <c r="N152" s="34">
        <f>1.2534*1386.14</f>
        <v>1737.3878760000002</v>
      </c>
      <c r="O152" s="36">
        <v>961</v>
      </c>
      <c r="P152" s="58">
        <v>1.1000000000000001E-3</v>
      </c>
      <c r="Q152" s="58">
        <v>5.3900000000000003E-2</v>
      </c>
      <c r="R152" s="64">
        <f t="shared" si="85"/>
        <v>2.1111780698792389E-2</v>
      </c>
      <c r="S152" s="64">
        <f t="shared" si="86"/>
        <v>-2.4683550997594825E-2</v>
      </c>
      <c r="T152" s="64">
        <f t="shared" si="87"/>
        <v>1.1578947368421053E-2</v>
      </c>
      <c r="U152" s="64">
        <f t="shared" si="88"/>
        <v>1.0000000000000005E-4</v>
      </c>
      <c r="V152" s="65">
        <f t="shared" si="89"/>
        <v>1.800000000000003E-3</v>
      </c>
    </row>
    <row r="153" spans="1:24" ht="16.5" customHeight="1">
      <c r="A153" s="153">
        <v>136</v>
      </c>
      <c r="B153" s="149" t="s">
        <v>209</v>
      </c>
      <c r="C153" s="148" t="s">
        <v>113</v>
      </c>
      <c r="D153" s="34">
        <v>1858592603.6202688</v>
      </c>
      <c r="E153" s="35">
        <f t="shared" si="84"/>
        <v>9.7041373045070529E-4</v>
      </c>
      <c r="F153" s="34">
        <v>159179.51920500002</v>
      </c>
      <c r="G153" s="34">
        <v>159179.51920500002</v>
      </c>
      <c r="H153" s="36">
        <v>31</v>
      </c>
      <c r="I153" s="58">
        <v>4.0000000000000002E-4</v>
      </c>
      <c r="J153" s="58">
        <v>2.3900000000000001E-2</v>
      </c>
      <c r="K153" s="34">
        <f>1323744.70071144*W137</f>
        <v>1835442450.7544897</v>
      </c>
      <c r="L153" s="35">
        <f t="shared" si="83"/>
        <v>9.7664161505955156E-4</v>
      </c>
      <c r="M153" s="34">
        <f>113.38*W137</f>
        <v>157207.401816</v>
      </c>
      <c r="N153" s="34">
        <f>113.38*W137</f>
        <v>157207.401816</v>
      </c>
      <c r="O153" s="36">
        <v>31</v>
      </c>
      <c r="P153" s="58">
        <v>-5.9999999999999995E-4</v>
      </c>
      <c r="Q153" s="58">
        <v>6.7000000000000004E-2</v>
      </c>
      <c r="R153" s="64">
        <f t="shared" si="85"/>
        <v>-1.2455743566764455E-2</v>
      </c>
      <c r="S153" s="64">
        <f t="shared" si="86"/>
        <v>-1.2389265898335961E-2</v>
      </c>
      <c r="T153" s="64">
        <f t="shared" si="87"/>
        <v>0</v>
      </c>
      <c r="U153" s="64">
        <f t="shared" si="88"/>
        <v>-1E-3</v>
      </c>
      <c r="V153" s="65">
        <f t="shared" si="89"/>
        <v>4.3099999999999999E-2</v>
      </c>
    </row>
    <row r="154" spans="1:24" ht="16.5" customHeight="1">
      <c r="A154" s="153">
        <v>137</v>
      </c>
      <c r="B154" s="149" t="s">
        <v>210</v>
      </c>
      <c r="C154" s="148" t="s">
        <v>123</v>
      </c>
      <c r="D154" s="34">
        <v>5237974209.9771452</v>
      </c>
      <c r="E154" s="35">
        <f t="shared" si="84"/>
        <v>2.7348662010208994E-3</v>
      </c>
      <c r="F154" s="34">
        <v>1649.08674</v>
      </c>
      <c r="G154" s="34">
        <v>1649.08674</v>
      </c>
      <c r="H154" s="36">
        <v>53</v>
      </c>
      <c r="I154" s="58">
        <v>-3.2000000000000002E-3</v>
      </c>
      <c r="J154" s="58">
        <v>-5.0000000000000001E-4</v>
      </c>
      <c r="K154" s="34">
        <f>4194629.56*W137</f>
        <v>5816077039.2325916</v>
      </c>
      <c r="L154" s="35">
        <f t="shared" si="83"/>
        <v>3.0947431070758665E-3</v>
      </c>
      <c r="M154" s="34">
        <f>1.16*W137</f>
        <v>1608.4017119999999</v>
      </c>
      <c r="N154" s="34">
        <f>1.16*W137</f>
        <v>1608.4017119999999</v>
      </c>
      <c r="O154" s="36">
        <v>55</v>
      </c>
      <c r="P154" s="58">
        <v>7.1999999999999998E-3</v>
      </c>
      <c r="Q154" s="58">
        <v>7.1999999999999998E-3</v>
      </c>
      <c r="R154" s="64">
        <f t="shared" ref="R154" si="105">((K154-D154)/D154)</f>
        <v>0.11036763566996807</v>
      </c>
      <c r="S154" s="64">
        <f t="shared" ref="S154" si="106">((N154-G154)/G154)</f>
        <v>-2.4671248038778182E-2</v>
      </c>
      <c r="T154" s="64">
        <f t="shared" si="87"/>
        <v>3.7735849056603772E-2</v>
      </c>
      <c r="U154" s="64">
        <f t="shared" si="88"/>
        <v>1.04E-2</v>
      </c>
      <c r="V154" s="65">
        <f t="shared" si="89"/>
        <v>7.7000000000000002E-3</v>
      </c>
    </row>
    <row r="155" spans="1:24">
      <c r="A155" s="153">
        <v>138</v>
      </c>
      <c r="B155" s="149" t="s">
        <v>211</v>
      </c>
      <c r="C155" s="148" t="s">
        <v>125</v>
      </c>
      <c r="D155" s="34">
        <v>1745294204.5188301</v>
      </c>
      <c r="E155" s="35">
        <f t="shared" si="84"/>
        <v>9.112580435551691E-4</v>
      </c>
      <c r="F155" s="34">
        <v>2132.43975</v>
      </c>
      <c r="G155" s="34">
        <v>2132.43975</v>
      </c>
      <c r="H155" s="36">
        <v>125</v>
      </c>
      <c r="I155" s="58">
        <v>5.3E-3</v>
      </c>
      <c r="J155" s="58">
        <v>5.7000000000000002E-3</v>
      </c>
      <c r="K155" s="34">
        <f>1247653.12*W137</f>
        <v>1729937426.0259843</v>
      </c>
      <c r="L155" s="35">
        <f>(K155/$K$156)</f>
        <v>9.2050223694644924E-4</v>
      </c>
      <c r="M155" s="34">
        <f>1.5*W137</f>
        <v>2079.8298</v>
      </c>
      <c r="N155" s="34">
        <f>1.5*W137</f>
        <v>2079.8298</v>
      </c>
      <c r="O155" s="36">
        <v>126</v>
      </c>
      <c r="P155" s="58">
        <v>-5.9999999999999995E-4</v>
      </c>
      <c r="Q155" s="58">
        <v>5.4999999999999997E-3</v>
      </c>
      <c r="R155" s="64">
        <f t="shared" si="85"/>
        <v>-8.7989626351160487E-3</v>
      </c>
      <c r="S155" s="64">
        <f t="shared" si="86"/>
        <v>-2.467124803877813E-2</v>
      </c>
      <c r="T155" s="64">
        <f t="shared" si="87"/>
        <v>8.0000000000000002E-3</v>
      </c>
      <c r="U155" s="64">
        <f t="shared" si="88"/>
        <v>-5.8999999999999999E-3</v>
      </c>
      <c r="V155" s="65">
        <f t="shared" si="89"/>
        <v>-2.0000000000000052E-4</v>
      </c>
    </row>
    <row r="156" spans="1:24">
      <c r="A156" s="43"/>
      <c r="B156" s="44"/>
      <c r="C156" s="79" t="s">
        <v>56</v>
      </c>
      <c r="D156" s="67">
        <f>SUM(D118:D155)</f>
        <v>1915257941328.8516</v>
      </c>
      <c r="E156" s="47">
        <f>(D156/$D$231)</f>
        <v>0.23773907167744845</v>
      </c>
      <c r="F156" s="48"/>
      <c r="G156" s="53"/>
      <c r="H156" s="50">
        <f>SUM(H118:H155)</f>
        <v>29359</v>
      </c>
      <c r="I156" s="83"/>
      <c r="J156" s="83"/>
      <c r="K156" s="67">
        <f>SUM(K118:K155)</f>
        <v>1879340816992.0879</v>
      </c>
      <c r="L156" s="47">
        <f>(K156/$K$231)</f>
        <v>0.23255192698293067</v>
      </c>
      <c r="M156" s="48"/>
      <c r="N156" s="53"/>
      <c r="O156" s="50">
        <f>SUM(O118:O155)</f>
        <v>29573</v>
      </c>
      <c r="P156" s="83"/>
      <c r="Q156" s="83"/>
      <c r="R156" s="64">
        <f t="shared" si="85"/>
        <v>-1.8753152545000554E-2</v>
      </c>
      <c r="S156" s="64" t="e">
        <f t="shared" si="86"/>
        <v>#DIV/0!</v>
      </c>
      <c r="T156" s="64">
        <f t="shared" si="87"/>
        <v>7.2890766034265468E-3</v>
      </c>
      <c r="U156" s="64">
        <f t="shared" si="88"/>
        <v>0</v>
      </c>
      <c r="V156" s="65">
        <f t="shared" si="89"/>
        <v>0</v>
      </c>
    </row>
    <row r="157" spans="1:24" ht="6" customHeight="1">
      <c r="A157" s="43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</row>
    <row r="158" spans="1:24">
      <c r="A158" s="187" t="s">
        <v>212</v>
      </c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</row>
    <row r="159" spans="1:24">
      <c r="A159" s="153">
        <v>139</v>
      </c>
      <c r="B159" s="149" t="s">
        <v>213</v>
      </c>
      <c r="C159" s="148" t="s">
        <v>214</v>
      </c>
      <c r="D159" s="80">
        <v>2320008163.2034602</v>
      </c>
      <c r="E159" s="35">
        <f>(D159/$D$165)</f>
        <v>4.5912614098732899E-3</v>
      </c>
      <c r="F159" s="68">
        <v>109.33</v>
      </c>
      <c r="G159" s="68">
        <v>109.33</v>
      </c>
      <c r="H159" s="36">
        <v>8</v>
      </c>
      <c r="I159" s="58">
        <v>3.0000000000000001E-3</v>
      </c>
      <c r="J159" s="58">
        <v>0.04</v>
      </c>
      <c r="K159" s="80">
        <v>2326968187.6930699</v>
      </c>
      <c r="L159" s="35">
        <f>(K159/$K$165)</f>
        <v>4.6220759180538654E-3</v>
      </c>
      <c r="M159" s="68">
        <v>109.659198289023</v>
      </c>
      <c r="N159" s="68">
        <v>109.659198289023</v>
      </c>
      <c r="O159" s="36">
        <v>8</v>
      </c>
      <c r="P159" s="58">
        <v>3.0000000000000001E-3</v>
      </c>
      <c r="Q159" s="58">
        <v>4.3099999999999999E-2</v>
      </c>
      <c r="R159" s="64">
        <f t="shared" ref="R159:R165" si="107">((K159-D159)/D159)</f>
        <v>2.9999999999997147E-3</v>
      </c>
      <c r="S159" s="64">
        <f t="shared" ref="S159:T165" si="108">((N159-G159)/G159)</f>
        <v>3.0110517609347608E-3</v>
      </c>
      <c r="T159" s="64">
        <f t="shared" si="108"/>
        <v>0</v>
      </c>
      <c r="U159" s="64">
        <f t="shared" ref="U159:V165" si="109">P159-I159</f>
        <v>0</v>
      </c>
      <c r="V159" s="65">
        <f t="shared" si="109"/>
        <v>3.0999999999999986E-3</v>
      </c>
    </row>
    <row r="160" spans="1:24">
      <c r="A160" s="153">
        <v>140</v>
      </c>
      <c r="B160" s="149" t="s">
        <v>215</v>
      </c>
      <c r="C160" s="148" t="s">
        <v>24</v>
      </c>
      <c r="D160" s="80">
        <v>271887739788.64999</v>
      </c>
      <c r="E160" s="35">
        <v>0</v>
      </c>
      <c r="F160" s="68">
        <v>108.7551</v>
      </c>
      <c r="G160" s="68">
        <v>108.7551</v>
      </c>
      <c r="H160" s="36">
        <v>45</v>
      </c>
      <c r="I160" s="58">
        <v>8.6400000000000005E-2</v>
      </c>
      <c r="J160" s="58">
        <v>9.6000000000000002E-2</v>
      </c>
      <c r="K160" s="80">
        <v>269957712249.94</v>
      </c>
      <c r="L160" s="35">
        <f t="shared" ref="L160:L164" si="110">(K160/$K$165)</f>
        <v>0.5362192088755553</v>
      </c>
      <c r="M160" s="68">
        <v>107.98309999999999</v>
      </c>
      <c r="N160" s="68">
        <v>107.98309999999999</v>
      </c>
      <c r="O160" s="36">
        <v>45</v>
      </c>
      <c r="P160" s="58">
        <v>-0.37009999999999998</v>
      </c>
      <c r="Q160" s="58">
        <v>-1.3299999999999999E-2</v>
      </c>
      <c r="R160" s="64">
        <f t="shared" ref="R160" si="111">((K160-D160)/D160)</f>
        <v>-7.0986192323724663E-3</v>
      </c>
      <c r="S160" s="64">
        <f t="shared" ref="S160" si="112">((N160-G160)/G160)</f>
        <v>-7.0985176787112109E-3</v>
      </c>
      <c r="T160" s="64">
        <f t="shared" ref="T160" si="113">((O160-H160)/H160)</f>
        <v>0</v>
      </c>
      <c r="U160" s="64">
        <f t="shared" ref="U160" si="114">P160-I160</f>
        <v>-0.45650000000000002</v>
      </c>
      <c r="V160" s="65">
        <f t="shared" ref="V160" si="115">Q160-J160</f>
        <v>-0.10930000000000001</v>
      </c>
    </row>
    <row r="161" spans="1:22">
      <c r="A161" s="153">
        <v>141</v>
      </c>
      <c r="B161" s="149" t="s">
        <v>216</v>
      </c>
      <c r="C161" s="148" t="s">
        <v>48</v>
      </c>
      <c r="D161" s="40">
        <v>163627573866</v>
      </c>
      <c r="E161" s="35">
        <f>(D161/$D$165)</f>
        <v>0.32381651814742918</v>
      </c>
      <c r="F161" s="68">
        <v>103</v>
      </c>
      <c r="G161" s="68">
        <v>103</v>
      </c>
      <c r="H161" s="36">
        <v>851</v>
      </c>
      <c r="I161" s="58">
        <v>9.2999999999999999E-2</v>
      </c>
      <c r="J161" s="58">
        <v>9.2999999999999999E-2</v>
      </c>
      <c r="K161" s="40">
        <v>163627573866</v>
      </c>
      <c r="L161" s="35">
        <f t="shared" si="110"/>
        <v>0.32501478649151838</v>
      </c>
      <c r="M161" s="68">
        <v>103</v>
      </c>
      <c r="N161" s="68">
        <v>103</v>
      </c>
      <c r="O161" s="36">
        <v>851</v>
      </c>
      <c r="P161" s="58">
        <v>9.2999999999999999E-2</v>
      </c>
      <c r="Q161" s="58">
        <v>9.2999999999999999E-2</v>
      </c>
      <c r="R161" s="64">
        <f t="shared" si="107"/>
        <v>0</v>
      </c>
      <c r="S161" s="64">
        <f t="shared" si="108"/>
        <v>0</v>
      </c>
      <c r="T161" s="64">
        <f t="shared" si="108"/>
        <v>0</v>
      </c>
      <c r="U161" s="64">
        <f t="shared" si="109"/>
        <v>0</v>
      </c>
      <c r="V161" s="65">
        <f t="shared" si="109"/>
        <v>0</v>
      </c>
    </row>
    <row r="162" spans="1:22" ht="15.75" customHeight="1">
      <c r="A162" s="153">
        <v>142</v>
      </c>
      <c r="B162" s="149" t="s">
        <v>218</v>
      </c>
      <c r="C162" s="148" t="s">
        <v>161</v>
      </c>
      <c r="D162" s="40">
        <v>6483625753.7221298</v>
      </c>
      <c r="E162" s="35">
        <f>(D162/$D$165)</f>
        <v>1.283099826598086E-2</v>
      </c>
      <c r="F162" s="68">
        <v>345.68</v>
      </c>
      <c r="G162" s="68">
        <v>345.68</v>
      </c>
      <c r="H162" s="36">
        <v>4897</v>
      </c>
      <c r="I162" s="58">
        <v>1.23E-2</v>
      </c>
      <c r="J162" s="58">
        <v>0.26179999999999998</v>
      </c>
      <c r="K162" s="40">
        <v>6494286435.1905403</v>
      </c>
      <c r="L162" s="35">
        <f t="shared" si="110"/>
        <v>1.2899654192005384E-2</v>
      </c>
      <c r="M162" s="68">
        <v>346.21</v>
      </c>
      <c r="N162" s="68">
        <v>346.21</v>
      </c>
      <c r="O162" s="36">
        <v>4897</v>
      </c>
      <c r="P162" s="58">
        <v>0.11169999999999999</v>
      </c>
      <c r="Q162" s="58">
        <v>0.20549999999999999</v>
      </c>
      <c r="R162" s="64">
        <f t="shared" si="107"/>
        <v>1.6442468879839943E-3</v>
      </c>
      <c r="S162" s="64">
        <f t="shared" si="108"/>
        <v>1.5332099051144779E-3</v>
      </c>
      <c r="T162" s="64">
        <f t="shared" si="108"/>
        <v>0</v>
      </c>
      <c r="U162" s="64">
        <f t="shared" si="109"/>
        <v>9.9399999999999988E-2</v>
      </c>
      <c r="V162" s="65">
        <f t="shared" si="109"/>
        <v>-5.6299999999999989E-2</v>
      </c>
    </row>
    <row r="163" spans="1:22">
      <c r="A163" s="153">
        <v>143</v>
      </c>
      <c r="B163" s="149" t="s">
        <v>217</v>
      </c>
      <c r="C163" s="148" t="s">
        <v>161</v>
      </c>
      <c r="D163" s="40">
        <v>27887498592.639999</v>
      </c>
      <c r="E163" s="35">
        <f>(D163/$D$165)</f>
        <v>5.5188942063672801E-2</v>
      </c>
      <c r="F163" s="68">
        <v>153.29</v>
      </c>
      <c r="G163" s="68">
        <v>153.29</v>
      </c>
      <c r="H163" s="36">
        <v>6424</v>
      </c>
      <c r="I163" s="58">
        <v>2.3800000000000002E-2</v>
      </c>
      <c r="J163" s="58">
        <v>2.6100000000000002E-2</v>
      </c>
      <c r="K163" s="40">
        <v>27936924282.23</v>
      </c>
      <c r="L163" s="35">
        <f t="shared" si="110"/>
        <v>5.549134089254748E-2</v>
      </c>
      <c r="M163" s="68">
        <v>153.55000000000001</v>
      </c>
      <c r="N163" s="68">
        <v>153.55000000000001</v>
      </c>
      <c r="O163" s="36">
        <v>6424</v>
      </c>
      <c r="P163" s="58">
        <v>8.8400000000000006E-2</v>
      </c>
      <c r="Q163" s="58">
        <v>3.6900000000000002E-2</v>
      </c>
      <c r="R163" s="64">
        <f t="shared" si="107"/>
        <v>1.7723242343092205E-3</v>
      </c>
      <c r="S163" s="64">
        <f t="shared" si="108"/>
        <v>1.6961315154283994E-3</v>
      </c>
      <c r="T163" s="64">
        <f t="shared" si="108"/>
        <v>0</v>
      </c>
      <c r="U163" s="64">
        <f t="shared" si="109"/>
        <v>6.4600000000000005E-2</v>
      </c>
      <c r="V163" s="65">
        <f t="shared" si="109"/>
        <v>1.0800000000000001E-2</v>
      </c>
    </row>
    <row r="164" spans="1:22">
      <c r="A164" s="153">
        <v>144</v>
      </c>
      <c r="B164" s="149" t="s">
        <v>325</v>
      </c>
      <c r="C164" s="148" t="s">
        <v>161</v>
      </c>
      <c r="D164" s="40">
        <v>33103087772.23</v>
      </c>
      <c r="E164" s="35">
        <f>(D164/$D$165)</f>
        <v>6.5510514939924894E-2</v>
      </c>
      <c r="F164" s="68">
        <v>9.3000000000000007</v>
      </c>
      <c r="G164" s="68">
        <v>9.3000000000000007</v>
      </c>
      <c r="H164" s="36">
        <v>211092</v>
      </c>
      <c r="I164" s="58">
        <v>0</v>
      </c>
      <c r="J164" s="58">
        <v>0</v>
      </c>
      <c r="K164" s="40">
        <v>33103087772.23</v>
      </c>
      <c r="L164" s="35">
        <f t="shared" si="110"/>
        <v>6.5752933630319671E-2</v>
      </c>
      <c r="M164" s="68">
        <v>8.6</v>
      </c>
      <c r="N164" s="68">
        <v>8.6</v>
      </c>
      <c r="O164" s="36">
        <v>211092</v>
      </c>
      <c r="P164" s="58">
        <v>0</v>
      </c>
      <c r="Q164" s="58">
        <v>0</v>
      </c>
      <c r="R164" s="64">
        <f t="shared" si="107"/>
        <v>0</v>
      </c>
      <c r="S164" s="64">
        <f t="shared" si="108"/>
        <v>-7.5268817204301189E-2</v>
      </c>
      <c r="T164" s="64">
        <f t="shared" si="108"/>
        <v>0</v>
      </c>
      <c r="U164" s="64">
        <f t="shared" si="109"/>
        <v>0</v>
      </c>
      <c r="V164" s="65">
        <f t="shared" si="109"/>
        <v>0</v>
      </c>
    </row>
    <row r="165" spans="1:22">
      <c r="A165" s="43"/>
      <c r="B165" s="81"/>
      <c r="C165" s="45" t="s">
        <v>56</v>
      </c>
      <c r="D165" s="46">
        <f>SUM(D159:D164)</f>
        <v>505309533936.44556</v>
      </c>
      <c r="E165" s="47">
        <f>(D165/$D$231)</f>
        <v>6.2723572065945532E-2</v>
      </c>
      <c r="F165" s="48"/>
      <c r="G165" s="82"/>
      <c r="H165" s="50">
        <f>SUM(H159:H164)</f>
        <v>223317</v>
      </c>
      <c r="I165" s="84"/>
      <c r="J165" s="84"/>
      <c r="K165" s="46">
        <f>SUM(K159:K164)</f>
        <v>503446552793.28357</v>
      </c>
      <c r="L165" s="47">
        <f>(K165/$K$231)</f>
        <v>6.2297091047261992E-2</v>
      </c>
      <c r="M165" s="48"/>
      <c r="N165" s="82"/>
      <c r="O165" s="50">
        <f>SUM(O159:O164)</f>
        <v>223317</v>
      </c>
      <c r="P165" s="84"/>
      <c r="Q165" s="84"/>
      <c r="R165" s="64">
        <f t="shared" si="107"/>
        <v>-3.686811781778692E-3</v>
      </c>
      <c r="S165" s="64" t="e">
        <f t="shared" si="108"/>
        <v>#DIV/0!</v>
      </c>
      <c r="T165" s="64">
        <f t="shared" si="108"/>
        <v>0</v>
      </c>
      <c r="U165" s="64">
        <f t="shared" si="109"/>
        <v>0</v>
      </c>
      <c r="V165" s="65">
        <f t="shared" si="109"/>
        <v>0</v>
      </c>
    </row>
    <row r="166" spans="1:22" ht="5.25" customHeight="1">
      <c r="A166" s="43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</row>
    <row r="167" spans="1:22" ht="15" customHeight="1">
      <c r="A167" s="187" t="s">
        <v>219</v>
      </c>
      <c r="B167" s="187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</row>
    <row r="168" spans="1:22">
      <c r="A168" s="155">
        <v>145</v>
      </c>
      <c r="B168" s="149" t="s">
        <v>220</v>
      </c>
      <c r="C168" s="148" t="s">
        <v>60</v>
      </c>
      <c r="D168" s="34">
        <v>644280956.78999996</v>
      </c>
      <c r="E168" s="35">
        <f t="shared" ref="E168:E196" si="116">(D168/$D$197)</f>
        <v>6.9661400508306305E-3</v>
      </c>
      <c r="F168" s="34">
        <v>8.1199999999999992</v>
      </c>
      <c r="G168" s="34">
        <v>8.24</v>
      </c>
      <c r="H168" s="38">
        <v>11950</v>
      </c>
      <c r="I168" s="59">
        <v>5.3600000000000002E-4</v>
      </c>
      <c r="J168" s="59">
        <v>3.5555999999999997E-2</v>
      </c>
      <c r="K168" s="34">
        <v>646485145.17999995</v>
      </c>
      <c r="L168" s="62">
        <f t="shared" ref="L168:L196" si="117">(K168/$K$197)</f>
        <v>6.9166863021110272E-3</v>
      </c>
      <c r="M168" s="34">
        <v>8.15</v>
      </c>
      <c r="N168" s="34">
        <v>8.27</v>
      </c>
      <c r="O168" s="38">
        <v>11950</v>
      </c>
      <c r="P168" s="59">
        <v>3.774E-3</v>
      </c>
      <c r="Q168" s="59">
        <v>3.9329999999999997E-2</v>
      </c>
      <c r="R168" s="64">
        <f>((K168-D168)/D168)</f>
        <v>3.4211602357175201E-3</v>
      </c>
      <c r="S168" s="64">
        <f>((N168-G168)/G168)</f>
        <v>3.6407766990290487E-3</v>
      </c>
      <c r="T168" s="64">
        <f>((O168-H168)/H168)</f>
        <v>0</v>
      </c>
      <c r="U168" s="64">
        <f>P168-I168</f>
        <v>3.238E-3</v>
      </c>
      <c r="V168" s="65">
        <f>Q168-J168</f>
        <v>3.7739999999999996E-3</v>
      </c>
    </row>
    <row r="169" spans="1:22">
      <c r="A169" s="155">
        <v>146</v>
      </c>
      <c r="B169" s="149" t="s">
        <v>221</v>
      </c>
      <c r="C169" s="149" t="s">
        <v>222</v>
      </c>
      <c r="D169" s="34">
        <v>2330698883.04</v>
      </c>
      <c r="E169" s="35">
        <f t="shared" si="116"/>
        <v>2.5200147023534007E-2</v>
      </c>
      <c r="F169" s="34">
        <v>2294.71</v>
      </c>
      <c r="G169" s="34">
        <v>2309.63</v>
      </c>
      <c r="H169" s="38">
        <v>196</v>
      </c>
      <c r="I169" s="59">
        <v>-1.11E-2</v>
      </c>
      <c r="J169" s="59">
        <v>4.4299999999999999E-2</v>
      </c>
      <c r="K169" s="34">
        <v>2277713686.1300001</v>
      </c>
      <c r="L169" s="62">
        <f t="shared" si="117"/>
        <v>2.4369053442983225E-2</v>
      </c>
      <c r="M169" s="34">
        <v>2310.41</v>
      </c>
      <c r="N169" s="34">
        <v>2327.1999999999998</v>
      </c>
      <c r="O169" s="38">
        <v>203</v>
      </c>
      <c r="P169" s="59">
        <v>7.3000000000000001E-3</v>
      </c>
      <c r="Q169" s="59">
        <v>5.1900000000000002E-2</v>
      </c>
      <c r="R169" s="64">
        <f>((K169-D169)/D169)</f>
        <v>-2.2733608916862602E-2</v>
      </c>
      <c r="S169" s="64">
        <f>((N169-G169)/G169)</f>
        <v>7.6072790879923224E-3</v>
      </c>
      <c r="T169" s="64">
        <f>((O169-H169)/H169)</f>
        <v>3.5714285714285712E-2</v>
      </c>
      <c r="U169" s="64">
        <f>P169-I169</f>
        <v>1.84E-2</v>
      </c>
      <c r="V169" s="65">
        <f>Q169-J169</f>
        <v>7.6000000000000026E-3</v>
      </c>
    </row>
    <row r="170" spans="1:22">
      <c r="A170" s="155">
        <v>147</v>
      </c>
      <c r="B170" s="149" t="s">
        <v>223</v>
      </c>
      <c r="C170" s="148" t="s">
        <v>24</v>
      </c>
      <c r="D170" s="34">
        <v>10657263051.299999</v>
      </c>
      <c r="E170" s="35">
        <f t="shared" si="116"/>
        <v>0.11522921202542467</v>
      </c>
      <c r="F170" s="34">
        <v>1090.5168000000001</v>
      </c>
      <c r="G170" s="34">
        <v>1123.3967</v>
      </c>
      <c r="H170" s="38">
        <v>22471</v>
      </c>
      <c r="I170" s="59">
        <v>-6.6699999999999995E-2</v>
      </c>
      <c r="J170" s="59">
        <v>0.53280000000000005</v>
      </c>
      <c r="K170" s="34">
        <v>10739323148.17</v>
      </c>
      <c r="L170" s="62">
        <f t="shared" si="117"/>
        <v>0.114899050452597</v>
      </c>
      <c r="M170" s="34">
        <v>1091.8895</v>
      </c>
      <c r="N170" s="34">
        <v>1124.8108</v>
      </c>
      <c r="O170" s="38">
        <v>22485</v>
      </c>
      <c r="P170" s="59">
        <v>6.5600000000000006E-2</v>
      </c>
      <c r="Q170" s="59">
        <v>0.42430000000000001</v>
      </c>
      <c r="R170" s="64">
        <f t="shared" ref="R170:R196" si="118">((K170-D170)/D170)</f>
        <v>7.6999222478599649E-3</v>
      </c>
      <c r="S170" s="64">
        <f t="shared" ref="S170:T196" si="119">((N170-G170)/G170)</f>
        <v>1.2587717232923706E-3</v>
      </c>
      <c r="T170" s="64">
        <f t="shared" si="119"/>
        <v>6.2302523252191712E-4</v>
      </c>
      <c r="U170" s="64">
        <f t="shared" ref="U170:V196" si="120">P170-I170</f>
        <v>0.1323</v>
      </c>
      <c r="V170" s="65">
        <f t="shared" si="120"/>
        <v>-0.10850000000000004</v>
      </c>
    </row>
    <row r="171" spans="1:22">
      <c r="A171" s="155">
        <v>148</v>
      </c>
      <c r="B171" s="149" t="s">
        <v>224</v>
      </c>
      <c r="C171" s="148" t="s">
        <v>127</v>
      </c>
      <c r="D171" s="34">
        <v>6234328773.4099998</v>
      </c>
      <c r="E171" s="35">
        <f t="shared" si="116"/>
        <v>6.740724974221568E-2</v>
      </c>
      <c r="F171" s="34">
        <v>36.511699999999998</v>
      </c>
      <c r="G171" s="34">
        <v>36.961100000000002</v>
      </c>
      <c r="H171" s="36">
        <v>6208</v>
      </c>
      <c r="I171" s="58">
        <v>6.3E-3</v>
      </c>
      <c r="J171" s="58">
        <v>7.6399999999999996E-2</v>
      </c>
      <c r="K171" s="34">
        <v>6232306866.0900002</v>
      </c>
      <c r="L171" s="62">
        <f t="shared" si="117"/>
        <v>6.6678889457289864E-2</v>
      </c>
      <c r="M171" s="34">
        <v>36.427700000000002</v>
      </c>
      <c r="N171" s="34">
        <v>36.874200000000002</v>
      </c>
      <c r="O171" s="36">
        <v>6217</v>
      </c>
      <c r="P171" s="58">
        <v>4.8999999999999998E-3</v>
      </c>
      <c r="Q171" s="58">
        <v>7.4800000000000005E-2</v>
      </c>
      <c r="R171" s="64">
        <f t="shared" si="118"/>
        <v>-3.2431836585573094E-4</v>
      </c>
      <c r="S171" s="64">
        <f t="shared" si="119"/>
        <v>-2.3511205023660003E-3</v>
      </c>
      <c r="T171" s="64">
        <f t="shared" si="119"/>
        <v>1.4497422680412372E-3</v>
      </c>
      <c r="U171" s="64">
        <f t="shared" si="120"/>
        <v>-1.4000000000000002E-3</v>
      </c>
      <c r="V171" s="65">
        <f t="shared" si="120"/>
        <v>-1.5999999999999903E-3</v>
      </c>
    </row>
    <row r="172" spans="1:22">
      <c r="A172" s="155">
        <v>149</v>
      </c>
      <c r="B172" s="149" t="s">
        <v>225</v>
      </c>
      <c r="C172" s="148" t="s">
        <v>135</v>
      </c>
      <c r="D172" s="40">
        <v>2664139246.96</v>
      </c>
      <c r="E172" s="35">
        <f t="shared" si="116"/>
        <v>2.8805394469057614E-2</v>
      </c>
      <c r="F172" s="34">
        <v>6.3552999999999997</v>
      </c>
      <c r="G172" s="34">
        <v>6.5049999999999999</v>
      </c>
      <c r="H172" s="36">
        <v>2736</v>
      </c>
      <c r="I172" s="58">
        <v>0.156</v>
      </c>
      <c r="J172" s="58">
        <v>0.93159999999999998</v>
      </c>
      <c r="K172" s="40">
        <v>2671584526.6199999</v>
      </c>
      <c r="L172" s="62">
        <f t="shared" si="117"/>
        <v>2.8583042066742895E-2</v>
      </c>
      <c r="M172" s="34">
        <v>6.3733000000000004</v>
      </c>
      <c r="N172" s="34">
        <v>6.5233999999999996</v>
      </c>
      <c r="O172" s="36">
        <v>2736</v>
      </c>
      <c r="P172" s="58">
        <v>0.14749999999999999</v>
      </c>
      <c r="Q172" s="58">
        <v>0.75070000000000003</v>
      </c>
      <c r="R172" s="64">
        <f t="shared" si="118"/>
        <v>2.7946285722473094E-3</v>
      </c>
      <c r="S172" s="64">
        <f t="shared" si="119"/>
        <v>2.8285933897001922E-3</v>
      </c>
      <c r="T172" s="64">
        <f t="shared" si="119"/>
        <v>0</v>
      </c>
      <c r="U172" s="64">
        <f t="shared" si="120"/>
        <v>-8.5000000000000075E-3</v>
      </c>
      <c r="V172" s="65">
        <f t="shared" si="120"/>
        <v>-0.18089999999999995</v>
      </c>
    </row>
    <row r="173" spans="1:22">
      <c r="A173" s="155">
        <v>150</v>
      </c>
      <c r="B173" s="149" t="s">
        <v>226</v>
      </c>
      <c r="C173" s="148" t="s">
        <v>28</v>
      </c>
      <c r="D173" s="40">
        <v>1250722266.3399999</v>
      </c>
      <c r="E173" s="35">
        <f t="shared" si="116"/>
        <v>1.3523147596082977E-2</v>
      </c>
      <c r="F173" s="34">
        <v>1.3047</v>
      </c>
      <c r="G173" s="34">
        <v>1.3157000000000001</v>
      </c>
      <c r="H173" s="36">
        <v>248</v>
      </c>
      <c r="I173" s="58">
        <v>-1.1000000000000001E-3</v>
      </c>
      <c r="J173" s="58">
        <v>4.9700000000000001E-2</v>
      </c>
      <c r="K173" s="40">
        <v>1278040494.8199999</v>
      </c>
      <c r="L173" s="62">
        <f t="shared" si="117"/>
        <v>1.3673640067326588E-2</v>
      </c>
      <c r="M173" s="34">
        <v>1.3141</v>
      </c>
      <c r="N173" s="34">
        <v>1.325</v>
      </c>
      <c r="O173" s="36">
        <v>257</v>
      </c>
      <c r="P173" s="58">
        <v>7.3000000000000001E-3</v>
      </c>
      <c r="Q173" s="58">
        <v>5.7000000000000002E-2</v>
      </c>
      <c r="R173" s="64">
        <f t="shared" ref="R173" si="121">((K173-D173)/D173)</f>
        <v>2.184196221271538E-2</v>
      </c>
      <c r="S173" s="64">
        <f t="shared" ref="S173" si="122">((N173-G173)/G173)</f>
        <v>7.0684806566845507E-3</v>
      </c>
      <c r="T173" s="64">
        <f t="shared" ref="T173" si="123">((O173-H173)/H173)</f>
        <v>3.6290322580645164E-2</v>
      </c>
      <c r="U173" s="64">
        <f t="shared" ref="U173" si="124">P173-I173</f>
        <v>8.3999999999999995E-3</v>
      </c>
      <c r="V173" s="65">
        <f t="shared" ref="V173" si="125">Q173-J173</f>
        <v>7.3000000000000009E-3</v>
      </c>
    </row>
    <row r="174" spans="1:22">
      <c r="A174" s="155">
        <v>151</v>
      </c>
      <c r="B174" s="149" t="s">
        <v>227</v>
      </c>
      <c r="C174" s="148" t="s">
        <v>71</v>
      </c>
      <c r="D174" s="34">
        <v>6907280569.0910997</v>
      </c>
      <c r="E174" s="35">
        <f t="shared" si="116"/>
        <v>7.4683386661625661E-2</v>
      </c>
      <c r="F174" s="34">
        <v>11742.549332828499</v>
      </c>
      <c r="G174" s="34">
        <v>11831.6388214167</v>
      </c>
      <c r="H174" s="36">
        <v>1409</v>
      </c>
      <c r="I174" s="58">
        <v>0.11119999999999999</v>
      </c>
      <c r="J174" s="58">
        <v>0.81620000000000004</v>
      </c>
      <c r="K174" s="34">
        <v>6994163396.45158</v>
      </c>
      <c r="L174" s="62">
        <f t="shared" si="117"/>
        <v>7.4829923811309845E-2</v>
      </c>
      <c r="M174" s="34">
        <v>11800.808427333701</v>
      </c>
      <c r="N174" s="34">
        <v>11889.2589367856</v>
      </c>
      <c r="O174" s="36">
        <v>1431</v>
      </c>
      <c r="P174" s="58">
        <v>0.25869999999999999</v>
      </c>
      <c r="Q174" s="58">
        <v>0.68920000000000003</v>
      </c>
      <c r="R174" s="64">
        <f t="shared" si="118"/>
        <v>1.2578441905091581E-2</v>
      </c>
      <c r="S174" s="64">
        <f t="shared" si="119"/>
        <v>4.8700028997335915E-3</v>
      </c>
      <c r="T174" s="64">
        <f t="shared" si="119"/>
        <v>1.5613910574875798E-2</v>
      </c>
      <c r="U174" s="64">
        <f t="shared" si="120"/>
        <v>0.14749999999999999</v>
      </c>
      <c r="V174" s="65">
        <f t="shared" si="120"/>
        <v>-0.127</v>
      </c>
    </row>
    <row r="175" spans="1:22">
      <c r="A175" s="155">
        <v>152</v>
      </c>
      <c r="B175" s="149" t="s">
        <v>228</v>
      </c>
      <c r="C175" s="148" t="s">
        <v>73</v>
      </c>
      <c r="D175" s="34">
        <v>1376953332.5999999</v>
      </c>
      <c r="E175" s="35">
        <f t="shared" si="116"/>
        <v>1.4887992043316048E-2</v>
      </c>
      <c r="F175" s="34">
        <v>243.79</v>
      </c>
      <c r="G175" s="34">
        <v>245.66</v>
      </c>
      <c r="H175" s="36">
        <v>508</v>
      </c>
      <c r="I175" s="58">
        <v>1E-4</v>
      </c>
      <c r="J175" s="58">
        <v>5.57E-2</v>
      </c>
      <c r="K175" s="34">
        <v>1401337753.6400001</v>
      </c>
      <c r="L175" s="62">
        <f t="shared" si="117"/>
        <v>1.4992786326952843E-2</v>
      </c>
      <c r="M175" s="34">
        <v>244.52</v>
      </c>
      <c r="N175" s="34">
        <v>246.37</v>
      </c>
      <c r="O175" s="36">
        <v>508</v>
      </c>
      <c r="P175" s="58">
        <v>2.8999999999999998E-3</v>
      </c>
      <c r="Q175" s="58">
        <v>5.8799999999999998E-2</v>
      </c>
      <c r="R175" s="64">
        <f t="shared" si="118"/>
        <v>1.7708966936415257E-2</v>
      </c>
      <c r="S175" s="64">
        <f t="shared" si="119"/>
        <v>2.8901734104046567E-3</v>
      </c>
      <c r="T175" s="64">
        <f t="shared" si="119"/>
        <v>0</v>
      </c>
      <c r="U175" s="64">
        <f t="shared" si="120"/>
        <v>2.8E-3</v>
      </c>
      <c r="V175" s="65">
        <f t="shared" si="120"/>
        <v>3.0999999999999986E-3</v>
      </c>
    </row>
    <row r="176" spans="1:22">
      <c r="A176" s="155">
        <v>153</v>
      </c>
      <c r="B176" s="149" t="s">
        <v>229</v>
      </c>
      <c r="C176" s="148" t="s">
        <v>230</v>
      </c>
      <c r="D176" s="34">
        <v>1485540182.98</v>
      </c>
      <c r="E176" s="35">
        <f t="shared" si="116"/>
        <v>1.6062062453831419E-2</v>
      </c>
      <c r="F176" s="34">
        <v>2.2303999999999999</v>
      </c>
      <c r="G176" s="34">
        <v>2.2704</v>
      </c>
      <c r="H176" s="36">
        <v>4064</v>
      </c>
      <c r="I176" s="58">
        <v>1.9300000000000001E-2</v>
      </c>
      <c r="J176" s="58">
        <v>0.52029999999999998</v>
      </c>
      <c r="K176" s="34">
        <v>1490535878.0699999</v>
      </c>
      <c r="L176" s="62">
        <f t="shared" si="117"/>
        <v>1.5947109021014431E-2</v>
      </c>
      <c r="M176" s="34">
        <v>2.2728000000000002</v>
      </c>
      <c r="N176" s="34">
        <v>2.2530000000000001</v>
      </c>
      <c r="O176" s="36">
        <v>4119</v>
      </c>
      <c r="P176" s="58">
        <v>1.9300000000000001E-2</v>
      </c>
      <c r="Q176" s="58">
        <v>0.52029999999999998</v>
      </c>
      <c r="R176" s="64">
        <f t="shared" si="118"/>
        <v>3.3628811574645716E-3</v>
      </c>
      <c r="S176" s="64">
        <f t="shared" si="119"/>
        <v>-7.6638477801267884E-3</v>
      </c>
      <c r="T176" s="64">
        <f t="shared" si="119"/>
        <v>1.3533464566929134E-2</v>
      </c>
      <c r="U176" s="64">
        <f t="shared" si="120"/>
        <v>0</v>
      </c>
      <c r="V176" s="65">
        <f t="shared" si="120"/>
        <v>0</v>
      </c>
    </row>
    <row r="177" spans="1:22">
      <c r="A177" s="155">
        <v>154</v>
      </c>
      <c r="B177" s="149" t="s">
        <v>231</v>
      </c>
      <c r="C177" s="148" t="s">
        <v>30</v>
      </c>
      <c r="D177" s="52">
        <v>225026842.91999999</v>
      </c>
      <c r="E177" s="35">
        <f t="shared" si="116"/>
        <v>2.4330511191686917E-3</v>
      </c>
      <c r="F177" s="34">
        <v>220.67679999999999</v>
      </c>
      <c r="G177" s="34">
        <v>222.0069</v>
      </c>
      <c r="H177" s="36">
        <v>161</v>
      </c>
      <c r="I177" s="58">
        <v>2.8579999999999999E-3</v>
      </c>
      <c r="J177" s="58">
        <v>4.7E-2</v>
      </c>
      <c r="K177" s="52">
        <v>237032904.75</v>
      </c>
      <c r="L177" s="62">
        <f t="shared" si="117"/>
        <v>2.5359936847078432E-3</v>
      </c>
      <c r="M177" s="34">
        <v>221.0042</v>
      </c>
      <c r="N177" s="34">
        <v>222.34100000000001</v>
      </c>
      <c r="O177" s="36">
        <v>159</v>
      </c>
      <c r="P177" s="58">
        <v>3.058E-3</v>
      </c>
      <c r="Q177" s="58">
        <v>4.7100000000000003E-2</v>
      </c>
      <c r="R177" s="64">
        <f t="shared" si="118"/>
        <v>5.3353909578993323E-2</v>
      </c>
      <c r="S177" s="64">
        <f t="shared" si="119"/>
        <v>1.5049081807817978E-3</v>
      </c>
      <c r="T177" s="64">
        <f t="shared" si="119"/>
        <v>-1.2422360248447204E-2</v>
      </c>
      <c r="U177" s="64">
        <f t="shared" si="120"/>
        <v>2.0000000000000009E-4</v>
      </c>
      <c r="V177" s="65">
        <f t="shared" si="120"/>
        <v>1.0000000000000286E-4</v>
      </c>
    </row>
    <row r="178" spans="1:22">
      <c r="A178" s="155">
        <v>155</v>
      </c>
      <c r="B178" s="149" t="s">
        <v>232</v>
      </c>
      <c r="C178" s="148" t="s">
        <v>79</v>
      </c>
      <c r="D178" s="52">
        <v>621055245.94000006</v>
      </c>
      <c r="E178" s="35">
        <f t="shared" si="116"/>
        <v>6.7150173801136508E-3</v>
      </c>
      <c r="F178" s="34">
        <v>176.39</v>
      </c>
      <c r="G178" s="34">
        <v>176.63</v>
      </c>
      <c r="H178" s="36">
        <v>53</v>
      </c>
      <c r="I178" s="58">
        <v>-3.5000000000000001E-3</v>
      </c>
      <c r="J178" s="58">
        <v>3.49E-2</v>
      </c>
      <c r="K178" s="52">
        <v>842470282.34000003</v>
      </c>
      <c r="L178" s="62">
        <f t="shared" si="117"/>
        <v>9.0135136209112069E-3</v>
      </c>
      <c r="M178" s="34">
        <v>176.09</v>
      </c>
      <c r="N178" s="34">
        <v>176.33</v>
      </c>
      <c r="O178" s="36">
        <v>53</v>
      </c>
      <c r="P178" s="58">
        <v>-2.3E-3</v>
      </c>
      <c r="Q178" s="58">
        <v>3.27E-2</v>
      </c>
      <c r="R178" s="64">
        <f t="shared" si="118"/>
        <v>0.35651423580663355</v>
      </c>
      <c r="S178" s="64">
        <f t="shared" si="119"/>
        <v>-1.6984657193001356E-3</v>
      </c>
      <c r="T178" s="64">
        <f t="shared" si="119"/>
        <v>0</v>
      </c>
      <c r="U178" s="64">
        <f t="shared" si="120"/>
        <v>1.2000000000000001E-3</v>
      </c>
      <c r="V178" s="65">
        <f t="shared" si="120"/>
        <v>-2.2000000000000006E-3</v>
      </c>
    </row>
    <row r="179" spans="1:22" ht="15.75" customHeight="1">
      <c r="A179" s="155">
        <v>156</v>
      </c>
      <c r="B179" s="149" t="s">
        <v>233</v>
      </c>
      <c r="C179" s="148" t="s">
        <v>82</v>
      </c>
      <c r="D179" s="40">
        <v>587862100.80999994</v>
      </c>
      <c r="E179" s="35">
        <f t="shared" si="116"/>
        <v>6.3561241127180488E-3</v>
      </c>
      <c r="F179" s="34">
        <v>1.9347000000000001</v>
      </c>
      <c r="G179" s="34">
        <v>1.9560999999999999</v>
      </c>
      <c r="H179" s="36">
        <v>122</v>
      </c>
      <c r="I179" s="58">
        <v>6.8000000000000005E-2</v>
      </c>
      <c r="J179" s="58">
        <v>6.8000000000000005E-2</v>
      </c>
      <c r="K179" s="40">
        <v>593395224.21000004</v>
      </c>
      <c r="L179" s="62">
        <f t="shared" si="117"/>
        <v>6.3486820225214097E-3</v>
      </c>
      <c r="M179" s="34">
        <v>1.9347000000000001</v>
      </c>
      <c r="N179" s="34">
        <v>1.95</v>
      </c>
      <c r="O179" s="36">
        <v>124</v>
      </c>
      <c r="P179" s="58">
        <v>6.8000000000000005E-2</v>
      </c>
      <c r="Q179" s="58">
        <v>6.7900000000000002E-2</v>
      </c>
      <c r="R179" s="64">
        <f t="shared" si="118"/>
        <v>9.412281200601549E-3</v>
      </c>
      <c r="S179" s="64">
        <f t="shared" si="119"/>
        <v>-3.1184499769950384E-3</v>
      </c>
      <c r="T179" s="64">
        <f t="shared" si="119"/>
        <v>1.6393442622950821E-2</v>
      </c>
      <c r="U179" s="64">
        <f t="shared" si="120"/>
        <v>0</v>
      </c>
      <c r="V179" s="65">
        <f t="shared" si="120"/>
        <v>-1.0000000000000286E-4</v>
      </c>
    </row>
    <row r="180" spans="1:22">
      <c r="A180" s="155">
        <v>157</v>
      </c>
      <c r="B180" s="149" t="s">
        <v>234</v>
      </c>
      <c r="C180" s="148" t="s">
        <v>32</v>
      </c>
      <c r="D180" s="34">
        <v>14834006259.08</v>
      </c>
      <c r="E180" s="35">
        <f t="shared" si="116"/>
        <v>0.16038928983792888</v>
      </c>
      <c r="F180" s="34">
        <v>450.43</v>
      </c>
      <c r="G180" s="34">
        <v>454.88</v>
      </c>
      <c r="H180" s="36">
        <v>5564</v>
      </c>
      <c r="I180" s="58">
        <v>-4.0000000000000002E-4</v>
      </c>
      <c r="J180" s="58">
        <v>5.16E-2</v>
      </c>
      <c r="K180" s="34">
        <v>14918413587.09</v>
      </c>
      <c r="L180" s="62">
        <f t="shared" si="117"/>
        <v>0.15961076240711225</v>
      </c>
      <c r="M180" s="34">
        <v>452.67</v>
      </c>
      <c r="N180" s="34">
        <v>457.13</v>
      </c>
      <c r="O180" s="36">
        <v>5569</v>
      </c>
      <c r="P180" s="58">
        <v>5.0000000000000001E-3</v>
      </c>
      <c r="Q180" s="58">
        <v>5.6899999999999999E-2</v>
      </c>
      <c r="R180" s="64">
        <f t="shared" si="118"/>
        <v>5.6901235266995998E-3</v>
      </c>
      <c r="S180" s="64">
        <f t="shared" si="119"/>
        <v>4.9463594794231444E-3</v>
      </c>
      <c r="T180" s="64">
        <f t="shared" si="119"/>
        <v>8.9863407620416965E-4</v>
      </c>
      <c r="U180" s="64">
        <f t="shared" si="120"/>
        <v>5.4000000000000003E-3</v>
      </c>
      <c r="V180" s="65">
        <f t="shared" si="120"/>
        <v>5.2999999999999992E-3</v>
      </c>
    </row>
    <row r="181" spans="1:22">
      <c r="A181" s="155">
        <v>158</v>
      </c>
      <c r="B181" s="149" t="s">
        <v>235</v>
      </c>
      <c r="C181" s="148" t="s">
        <v>92</v>
      </c>
      <c r="D181" s="34">
        <v>4695457613.5299997</v>
      </c>
      <c r="E181" s="35">
        <f t="shared" si="116"/>
        <v>5.0768558334481927E-2</v>
      </c>
      <c r="F181" s="34">
        <v>3.2368999999999999</v>
      </c>
      <c r="G181" s="34">
        <v>3.3035999999999999</v>
      </c>
      <c r="H181" s="36">
        <v>10208</v>
      </c>
      <c r="I181" s="58">
        <v>1.5800000000000002E-2</v>
      </c>
      <c r="J181" s="58">
        <v>5.8200000000000002E-2</v>
      </c>
      <c r="K181" s="34">
        <v>4677317069.0600004</v>
      </c>
      <c r="L181" s="62">
        <f t="shared" si="117"/>
        <v>5.0042193766400948E-2</v>
      </c>
      <c r="M181" s="34">
        <v>3.2244999999999999</v>
      </c>
      <c r="N181" s="34">
        <v>3.2906</v>
      </c>
      <c r="O181" s="36">
        <v>10209</v>
      </c>
      <c r="P181" s="58">
        <v>-4.5999999999999999E-3</v>
      </c>
      <c r="Q181" s="58">
        <v>5.4100000000000002E-2</v>
      </c>
      <c r="R181" s="64">
        <f t="shared" si="118"/>
        <v>-3.8634241778111649E-3</v>
      </c>
      <c r="S181" s="64">
        <f t="shared" si="119"/>
        <v>-3.9351011018282783E-3</v>
      </c>
      <c r="T181" s="64">
        <f t="shared" si="119"/>
        <v>9.7962382445141062E-5</v>
      </c>
      <c r="U181" s="64">
        <f t="shared" si="120"/>
        <v>-2.0400000000000001E-2</v>
      </c>
      <c r="V181" s="65">
        <f t="shared" si="120"/>
        <v>-4.0999999999999995E-3</v>
      </c>
    </row>
    <row r="182" spans="1:22">
      <c r="A182" s="155">
        <v>159</v>
      </c>
      <c r="B182" s="149" t="s">
        <v>236</v>
      </c>
      <c r="C182" s="148" t="s">
        <v>94</v>
      </c>
      <c r="D182" s="34">
        <v>322895608.81999999</v>
      </c>
      <c r="E182" s="35">
        <f t="shared" si="116"/>
        <v>3.4912346999129164E-3</v>
      </c>
      <c r="F182" s="34">
        <v>368.08</v>
      </c>
      <c r="G182" s="34">
        <v>370.75</v>
      </c>
      <c r="H182" s="36">
        <v>32</v>
      </c>
      <c r="I182" s="58">
        <v>-4.3E-3</v>
      </c>
      <c r="J182" s="58">
        <v>5.8900000000000001E-2</v>
      </c>
      <c r="K182" s="34">
        <v>322977977.69</v>
      </c>
      <c r="L182" s="62">
        <f t="shared" si="117"/>
        <v>3.4555122740677234E-3</v>
      </c>
      <c r="M182" s="34">
        <v>358.19459999999998</v>
      </c>
      <c r="N182" s="34">
        <v>360.73500000000001</v>
      </c>
      <c r="O182" s="36">
        <v>32</v>
      </c>
      <c r="P182" s="58">
        <v>-2.7099999999999999E-2</v>
      </c>
      <c r="Q182" s="58">
        <v>3.0499999999999999E-2</v>
      </c>
      <c r="R182" s="64">
        <f t="shared" si="118"/>
        <v>2.5509442603142296E-4</v>
      </c>
      <c r="S182" s="64">
        <f t="shared" si="119"/>
        <v>-2.7012811867835433E-2</v>
      </c>
      <c r="T182" s="64">
        <f t="shared" si="119"/>
        <v>0</v>
      </c>
      <c r="U182" s="64">
        <f t="shared" si="120"/>
        <v>-2.2800000000000001E-2</v>
      </c>
      <c r="V182" s="65">
        <f t="shared" si="120"/>
        <v>-2.8400000000000002E-2</v>
      </c>
    </row>
    <row r="183" spans="1:22">
      <c r="A183" s="155">
        <v>160</v>
      </c>
      <c r="B183" s="149" t="s">
        <v>237</v>
      </c>
      <c r="C183" s="149" t="s">
        <v>96</v>
      </c>
      <c r="D183" s="55">
        <v>75748691.390000001</v>
      </c>
      <c r="E183" s="35">
        <f t="shared" si="116"/>
        <v>8.1901534932667835E-4</v>
      </c>
      <c r="F183" s="34">
        <v>1.4970000000000001</v>
      </c>
      <c r="G183" s="34">
        <v>1.4970000000000001</v>
      </c>
      <c r="H183" s="36">
        <v>24</v>
      </c>
      <c r="I183" s="58">
        <v>-0.01</v>
      </c>
      <c r="J183" s="58">
        <v>4.3200000000000002E-2</v>
      </c>
      <c r="K183" s="55">
        <v>75825326.150000006</v>
      </c>
      <c r="L183" s="62">
        <f t="shared" si="117"/>
        <v>8.1124833052239969E-4</v>
      </c>
      <c r="M183" s="34">
        <v>1.4973000000000001</v>
      </c>
      <c r="N183" s="34">
        <v>1.4973000000000001</v>
      </c>
      <c r="O183" s="36">
        <v>24</v>
      </c>
      <c r="P183" s="58">
        <v>1E-3</v>
      </c>
      <c r="Q183" s="58">
        <v>4.4200000000000003E-2</v>
      </c>
      <c r="R183" s="64">
        <f t="shared" si="118"/>
        <v>1.0116974774579716E-3</v>
      </c>
      <c r="S183" s="64">
        <f t="shared" si="119"/>
        <v>2.0040080160318432E-4</v>
      </c>
      <c r="T183" s="64">
        <f t="shared" si="119"/>
        <v>0</v>
      </c>
      <c r="U183" s="64">
        <f t="shared" si="120"/>
        <v>1.0999999999999999E-2</v>
      </c>
      <c r="V183" s="65">
        <f t="shared" si="120"/>
        <v>1.0000000000000009E-3</v>
      </c>
    </row>
    <row r="184" spans="1:22" ht="13.5" customHeight="1">
      <c r="A184" s="155">
        <v>161</v>
      </c>
      <c r="B184" s="149" t="s">
        <v>238</v>
      </c>
      <c r="C184" s="148" t="s">
        <v>38</v>
      </c>
      <c r="D184" s="40">
        <v>8276340891.5299997</v>
      </c>
      <c r="E184" s="35">
        <f t="shared" si="116"/>
        <v>8.9486037343187358E-2</v>
      </c>
      <c r="F184" s="34">
        <v>6.5402300000000002</v>
      </c>
      <c r="G184" s="34">
        <v>6.7540800000000001</v>
      </c>
      <c r="H184" s="36">
        <v>4501</v>
      </c>
      <c r="I184" s="58">
        <v>1.4800000000000001E-2</v>
      </c>
      <c r="J184" s="58">
        <v>6.88E-2</v>
      </c>
      <c r="K184" s="40">
        <v>8469947105.7200003</v>
      </c>
      <c r="L184" s="62">
        <f t="shared" si="117"/>
        <v>9.0619200707894101E-2</v>
      </c>
      <c r="M184" s="34">
        <v>6.6544270000000001</v>
      </c>
      <c r="N184" s="34">
        <v>6.7731120000000002</v>
      </c>
      <c r="O184" s="36">
        <v>4622</v>
      </c>
      <c r="P184" s="58">
        <v>2.7000000000000001E-3</v>
      </c>
      <c r="Q184" s="58">
        <v>7.1599999999999997E-2</v>
      </c>
      <c r="R184" s="64">
        <f t="shared" si="118"/>
        <v>2.3392730764405435E-2</v>
      </c>
      <c r="S184" s="64">
        <f t="shared" si="119"/>
        <v>2.8178523203752637E-3</v>
      </c>
      <c r="T184" s="64">
        <f t="shared" si="119"/>
        <v>2.6882914907798268E-2</v>
      </c>
      <c r="U184" s="64">
        <f t="shared" si="120"/>
        <v>-1.21E-2</v>
      </c>
      <c r="V184" s="65">
        <f t="shared" si="120"/>
        <v>2.7999999999999969E-3</v>
      </c>
    </row>
    <row r="185" spans="1:22" ht="13.5" customHeight="1">
      <c r="A185" s="155">
        <v>162</v>
      </c>
      <c r="B185" s="149" t="s">
        <v>239</v>
      </c>
      <c r="C185" s="148" t="s">
        <v>240</v>
      </c>
      <c r="D185" s="40">
        <v>107712614.73</v>
      </c>
      <c r="E185" s="35">
        <f t="shared" si="116"/>
        <v>1.1646179380945326E-3</v>
      </c>
      <c r="F185" s="34">
        <v>2.8591000000000002</v>
      </c>
      <c r="G185" s="34">
        <v>2.8748999999999998</v>
      </c>
      <c r="H185" s="36">
        <v>112</v>
      </c>
      <c r="I185" s="58">
        <v>8.0000000000000007E-5</v>
      </c>
      <c r="J185" s="58">
        <v>5.6300000000000002E-4</v>
      </c>
      <c r="K185" s="40">
        <v>108319333.81999999</v>
      </c>
      <c r="L185" s="62">
        <f t="shared" si="117"/>
        <v>1.1588987899760388E-3</v>
      </c>
      <c r="M185" s="34">
        <v>2.8725999999999998</v>
      </c>
      <c r="N185" s="34">
        <v>2.8885000000000001</v>
      </c>
      <c r="O185" s="36">
        <v>112</v>
      </c>
      <c r="P185" s="58">
        <v>4.6999999999999997E-5</v>
      </c>
      <c r="Q185" s="58">
        <v>3.0600000000000001E-4</v>
      </c>
      <c r="R185" s="64">
        <f t="shared" si="118"/>
        <v>5.6327579784487946E-3</v>
      </c>
      <c r="S185" s="64">
        <f t="shared" si="119"/>
        <v>4.7305993251940169E-3</v>
      </c>
      <c r="T185" s="64">
        <f t="shared" si="119"/>
        <v>0</v>
      </c>
      <c r="U185" s="64">
        <f>P185-I185</f>
        <v>-3.3000000000000009E-5</v>
      </c>
      <c r="V185" s="65">
        <f>Q185-J185</f>
        <v>-2.5700000000000001E-4</v>
      </c>
    </row>
    <row r="186" spans="1:22">
      <c r="A186" s="155">
        <v>163</v>
      </c>
      <c r="B186" s="149" t="s">
        <v>241</v>
      </c>
      <c r="C186" s="148" t="s">
        <v>151</v>
      </c>
      <c r="D186" s="40">
        <v>1047618739.3</v>
      </c>
      <c r="E186" s="35">
        <f t="shared" si="116"/>
        <v>1.1327137300780291E-2</v>
      </c>
      <c r="F186" s="34">
        <v>376.97</v>
      </c>
      <c r="G186" s="34">
        <v>382.05</v>
      </c>
      <c r="H186" s="36">
        <v>158</v>
      </c>
      <c r="I186" s="58">
        <v>1.37E-2</v>
      </c>
      <c r="J186" s="58">
        <v>0.44629999999999997</v>
      </c>
      <c r="K186" s="40">
        <v>1061235145.8200001</v>
      </c>
      <c r="L186" s="62">
        <f t="shared" si="117"/>
        <v>1.1354059178526466E-2</v>
      </c>
      <c r="M186" s="34">
        <v>376.62</v>
      </c>
      <c r="N186" s="34">
        <v>381.7</v>
      </c>
      <c r="O186" s="36">
        <v>158</v>
      </c>
      <c r="P186" s="58">
        <v>1.37E-2</v>
      </c>
      <c r="Q186" s="58">
        <v>0.75990000000000002</v>
      </c>
      <c r="R186" s="64">
        <f t="shared" si="118"/>
        <v>1.2997482776127448E-2</v>
      </c>
      <c r="S186" s="64">
        <f t="shared" si="119"/>
        <v>-9.1611045674655869E-4</v>
      </c>
      <c r="T186" s="64">
        <f t="shared" si="119"/>
        <v>0</v>
      </c>
      <c r="U186" s="64">
        <f t="shared" si="120"/>
        <v>0</v>
      </c>
      <c r="V186" s="65">
        <f t="shared" si="120"/>
        <v>0.31360000000000005</v>
      </c>
    </row>
    <row r="187" spans="1:22">
      <c r="A187" s="155">
        <v>164</v>
      </c>
      <c r="B187" s="149" t="s">
        <v>242</v>
      </c>
      <c r="C187" s="148" t="s">
        <v>34</v>
      </c>
      <c r="D187" s="40">
        <v>2295918133.6900001</v>
      </c>
      <c r="E187" s="35">
        <f t="shared" si="116"/>
        <v>2.4824088149697218E-2</v>
      </c>
      <c r="F187" s="34">
        <v>552.22</v>
      </c>
      <c r="G187" s="34">
        <v>552.22</v>
      </c>
      <c r="H187" s="36">
        <v>823</v>
      </c>
      <c r="I187" s="58">
        <v>2.8999999999999998E-3</v>
      </c>
      <c r="J187" s="58">
        <v>4.5900000000000003E-2</v>
      </c>
      <c r="K187" s="40">
        <v>2303764435.8400002</v>
      </c>
      <c r="L187" s="62">
        <f t="shared" si="117"/>
        <v>2.4647768066238352E-2</v>
      </c>
      <c r="M187" s="34">
        <v>552.22</v>
      </c>
      <c r="N187" s="34">
        <v>552.22</v>
      </c>
      <c r="O187" s="36">
        <v>823</v>
      </c>
      <c r="P187" s="58">
        <v>2.8999999999999998E-3</v>
      </c>
      <c r="Q187" s="58">
        <v>4.5900000000000003E-2</v>
      </c>
      <c r="R187" s="64">
        <f t="shared" si="118"/>
        <v>3.4175008398010763E-3</v>
      </c>
      <c r="S187" s="64">
        <f t="shared" si="119"/>
        <v>0</v>
      </c>
      <c r="T187" s="64">
        <f t="shared" si="119"/>
        <v>0</v>
      </c>
      <c r="U187" s="64">
        <f t="shared" si="120"/>
        <v>0</v>
      </c>
      <c r="V187" s="65">
        <f t="shared" si="120"/>
        <v>0</v>
      </c>
    </row>
    <row r="188" spans="1:22">
      <c r="A188" s="155">
        <v>165</v>
      </c>
      <c r="B188" s="149" t="s">
        <v>243</v>
      </c>
      <c r="C188" s="148" t="s">
        <v>106</v>
      </c>
      <c r="D188" s="34">
        <v>47601020</v>
      </c>
      <c r="E188" s="35">
        <f t="shared" si="116"/>
        <v>5.1467510934126784E-4</v>
      </c>
      <c r="F188" s="34">
        <v>2.8</v>
      </c>
      <c r="G188" s="34">
        <v>2.8</v>
      </c>
      <c r="H188" s="36">
        <v>8</v>
      </c>
      <c r="I188" s="58">
        <v>3.774E-3</v>
      </c>
      <c r="J188" s="58">
        <v>6.5961000000000006E-2</v>
      </c>
      <c r="K188" s="34">
        <v>48265638.649999999</v>
      </c>
      <c r="L188" s="62">
        <f t="shared" si="117"/>
        <v>5.1638971784903956E-4</v>
      </c>
      <c r="M188" s="34">
        <v>2.78</v>
      </c>
      <c r="N188" s="34">
        <v>2.78</v>
      </c>
      <c r="O188" s="36">
        <v>8</v>
      </c>
      <c r="P188" s="58">
        <v>-7.064E-3</v>
      </c>
      <c r="Q188" s="58">
        <v>5.8430000000000003E-2</v>
      </c>
      <c r="R188" s="64">
        <f t="shared" si="118"/>
        <v>1.3962277489011759E-2</v>
      </c>
      <c r="S188" s="64">
        <f t="shared" si="119"/>
        <v>-7.1428571428571496E-3</v>
      </c>
      <c r="T188" s="64">
        <f t="shared" si="119"/>
        <v>0</v>
      </c>
      <c r="U188" s="64">
        <f t="shared" si="120"/>
        <v>-1.0838E-2</v>
      </c>
      <c r="V188" s="65">
        <f t="shared" si="120"/>
        <v>-7.531000000000003E-3</v>
      </c>
    </row>
    <row r="189" spans="1:22">
      <c r="A189" s="155">
        <v>166</v>
      </c>
      <c r="B189" s="149" t="s">
        <v>244</v>
      </c>
      <c r="C189" s="148" t="s">
        <v>46</v>
      </c>
      <c r="D189" s="34">
        <v>449748321.06999999</v>
      </c>
      <c r="E189" s="35">
        <f t="shared" si="116"/>
        <v>4.8628005518107356E-3</v>
      </c>
      <c r="F189" s="34">
        <v>3.7555049999999999</v>
      </c>
      <c r="G189" s="34">
        <v>3.8302559999999999</v>
      </c>
      <c r="H189" s="36">
        <v>138</v>
      </c>
      <c r="I189" s="58">
        <v>-1.9E-3</v>
      </c>
      <c r="J189" s="58">
        <v>0.1138</v>
      </c>
      <c r="K189" s="34">
        <v>457939747.82999998</v>
      </c>
      <c r="L189" s="62">
        <f t="shared" si="117"/>
        <v>4.8994560890119714E-3</v>
      </c>
      <c r="M189" s="34">
        <v>3.7052860000000001</v>
      </c>
      <c r="N189" s="34">
        <v>3.774105</v>
      </c>
      <c r="O189" s="36">
        <v>138</v>
      </c>
      <c r="P189" s="58">
        <v>-1.7999999999999999E-2</v>
      </c>
      <c r="Q189" s="58">
        <v>9.8199999999999996E-2</v>
      </c>
      <c r="R189" s="64">
        <f t="shared" si="118"/>
        <v>1.821335706270498E-2</v>
      </c>
      <c r="S189" s="64">
        <f t="shared" si="119"/>
        <v>-1.4659855633670397E-2</v>
      </c>
      <c r="T189" s="64">
        <f t="shared" si="119"/>
        <v>0</v>
      </c>
      <c r="U189" s="64">
        <f t="shared" si="120"/>
        <v>-1.61E-2</v>
      </c>
      <c r="V189" s="65">
        <f t="shared" si="120"/>
        <v>-1.5600000000000003E-2</v>
      </c>
    </row>
    <row r="190" spans="1:22">
      <c r="A190" s="155">
        <v>167</v>
      </c>
      <c r="B190" s="149" t="s">
        <v>326</v>
      </c>
      <c r="C190" s="148" t="s">
        <v>327</v>
      </c>
      <c r="D190" s="34">
        <v>210394486.14885899</v>
      </c>
      <c r="E190" s="35">
        <f t="shared" si="116"/>
        <v>2.2748421181618345E-3</v>
      </c>
      <c r="F190" s="34">
        <v>118.97</v>
      </c>
      <c r="G190" s="34">
        <v>119.64</v>
      </c>
      <c r="H190" s="36">
        <v>107</v>
      </c>
      <c r="I190" s="58">
        <v>-8.3999999999999995E-3</v>
      </c>
      <c r="J190" s="58">
        <v>2.35E-2</v>
      </c>
      <c r="K190" s="34">
        <v>208425184.67318201</v>
      </c>
      <c r="L190" s="35">
        <f t="shared" si="117"/>
        <v>2.2299222659517928E-3</v>
      </c>
      <c r="M190" s="34">
        <v>117.87450183296799</v>
      </c>
      <c r="N190" s="34">
        <v>118.52448624968601</v>
      </c>
      <c r="O190" s="36">
        <v>107</v>
      </c>
      <c r="P190" s="58">
        <v>-8.9999999999999998E-4</v>
      </c>
      <c r="Q190" s="58">
        <v>2.2599999999999999E-2</v>
      </c>
      <c r="R190" s="64">
        <f t="shared" ref="R190" si="126">((K190-D190)/D190)</f>
        <v>-9.3600431823277781E-3</v>
      </c>
      <c r="S190" s="64">
        <f t="shared" ref="S190" si="127">((N190-G190)/G190)</f>
        <v>-9.3239196783182383E-3</v>
      </c>
      <c r="T190" s="64">
        <f t="shared" ref="T190" si="128">((O190-H190)/H190)</f>
        <v>0</v>
      </c>
      <c r="U190" s="64">
        <f t="shared" ref="U190" si="129">P190-I190</f>
        <v>7.4999999999999997E-3</v>
      </c>
      <c r="V190" s="65">
        <f t="shared" ref="V190" si="130">Q190-J190</f>
        <v>-9.0000000000000149E-4</v>
      </c>
    </row>
    <row r="191" spans="1:22">
      <c r="A191" s="155">
        <v>168</v>
      </c>
      <c r="B191" s="149" t="s">
        <v>245</v>
      </c>
      <c r="C191" s="148" t="s">
        <v>50</v>
      </c>
      <c r="D191" s="40">
        <v>5946044431.7799997</v>
      </c>
      <c r="E191" s="35">
        <f t="shared" si="116"/>
        <v>6.4290241429162814E-2</v>
      </c>
      <c r="F191" s="34">
        <v>10130</v>
      </c>
      <c r="G191" s="34">
        <v>10216.49</v>
      </c>
      <c r="H191" s="36">
        <v>4269</v>
      </c>
      <c r="I191" s="58">
        <v>-3.7000000000000002E-3</v>
      </c>
      <c r="J191" s="58">
        <v>4.9799999999999997E-2</v>
      </c>
      <c r="K191" s="40">
        <v>6187765110.6999998</v>
      </c>
      <c r="L191" s="35">
        <f t="shared" si="117"/>
        <v>6.6202341230814823E-2</v>
      </c>
      <c r="M191" s="34">
        <v>10193.08</v>
      </c>
      <c r="N191" s="34">
        <v>10281.64</v>
      </c>
      <c r="O191" s="36">
        <v>4398</v>
      </c>
      <c r="P191" s="58">
        <v>6.4000000000000003E-3</v>
      </c>
      <c r="Q191" s="58">
        <v>5.6500000000000002E-2</v>
      </c>
      <c r="R191" s="64">
        <f t="shared" si="118"/>
        <v>4.0652349926628265E-2</v>
      </c>
      <c r="S191" s="64">
        <f t="shared" si="119"/>
        <v>6.3769455067248767E-3</v>
      </c>
      <c r="T191" s="64">
        <f t="shared" si="119"/>
        <v>3.0217849613492623E-2</v>
      </c>
      <c r="U191" s="64">
        <f t="shared" si="120"/>
        <v>1.0100000000000001E-2</v>
      </c>
      <c r="V191" s="65">
        <f t="shared" si="120"/>
        <v>6.7000000000000046E-3</v>
      </c>
    </row>
    <row r="192" spans="1:22">
      <c r="A192" s="155">
        <v>169</v>
      </c>
      <c r="B192" s="149" t="s">
        <v>246</v>
      </c>
      <c r="C192" s="149" t="s">
        <v>116</v>
      </c>
      <c r="D192" s="40">
        <v>170771682.22</v>
      </c>
      <c r="E192" s="35">
        <f t="shared" si="116"/>
        <v>1.8464296399314708E-3</v>
      </c>
      <c r="F192" s="34">
        <v>1496.78</v>
      </c>
      <c r="G192" s="34">
        <v>1519.29</v>
      </c>
      <c r="H192" s="36">
        <v>63</v>
      </c>
      <c r="I192" s="58">
        <v>3.3000000000000002E-2</v>
      </c>
      <c r="J192" s="58">
        <v>3.7499999999999999E-2</v>
      </c>
      <c r="K192" s="40">
        <v>167400508.72999999</v>
      </c>
      <c r="L192" s="35">
        <f t="shared" si="117"/>
        <v>1.7910029554922379E-3</v>
      </c>
      <c r="M192" s="34">
        <v>1497.0144</v>
      </c>
      <c r="N192" s="34">
        <v>1520.7246</v>
      </c>
      <c r="O192" s="36">
        <v>64</v>
      </c>
      <c r="P192" s="58">
        <v>2.0000000000000001E-4</v>
      </c>
      <c r="Q192" s="58">
        <v>3.7999999999999999E-2</v>
      </c>
      <c r="R192" s="64">
        <f t="shared" si="118"/>
        <v>-1.9740822636255515E-2</v>
      </c>
      <c r="S192" s="64">
        <f t="shared" si="119"/>
        <v>9.4425685682130854E-4</v>
      </c>
      <c r="T192" s="64">
        <f t="shared" si="119"/>
        <v>1.5873015873015872E-2</v>
      </c>
      <c r="U192" s="64">
        <f t="shared" si="120"/>
        <v>-3.2800000000000003E-2</v>
      </c>
      <c r="V192" s="65">
        <f t="shared" si="120"/>
        <v>5.0000000000000044E-4</v>
      </c>
    </row>
    <row r="193" spans="1:22">
      <c r="A193" s="155">
        <v>170</v>
      </c>
      <c r="B193" s="149" t="s">
        <v>247</v>
      </c>
      <c r="C193" s="149" t="s">
        <v>96</v>
      </c>
      <c r="D193" s="40">
        <v>809367715.14999998</v>
      </c>
      <c r="E193" s="35">
        <f t="shared" si="116"/>
        <v>8.7511027556157056E-3</v>
      </c>
      <c r="F193" s="34">
        <v>1.5419</v>
      </c>
      <c r="G193" s="34">
        <v>1.5419</v>
      </c>
      <c r="H193" s="36">
        <v>46</v>
      </c>
      <c r="I193" s="58">
        <v>2.8E-3</v>
      </c>
      <c r="J193" s="58">
        <v>8.6E-3</v>
      </c>
      <c r="K193" s="40">
        <v>809367715.14999998</v>
      </c>
      <c r="L193" s="35">
        <f t="shared" si="117"/>
        <v>8.6593522380011088E-3</v>
      </c>
      <c r="M193" s="34">
        <v>1.5419</v>
      </c>
      <c r="N193" s="34">
        <v>1.5419</v>
      </c>
      <c r="O193" s="36">
        <v>46</v>
      </c>
      <c r="P193" s="58">
        <v>2.8E-3</v>
      </c>
      <c r="Q193" s="58">
        <v>8.6E-3</v>
      </c>
      <c r="R193" s="64">
        <f t="shared" si="118"/>
        <v>0</v>
      </c>
      <c r="S193" s="64">
        <f t="shared" si="119"/>
        <v>0</v>
      </c>
      <c r="T193" s="64">
        <f t="shared" si="119"/>
        <v>0</v>
      </c>
      <c r="U193" s="64">
        <f t="shared" si="120"/>
        <v>0</v>
      </c>
      <c r="V193" s="65">
        <f t="shared" si="120"/>
        <v>0</v>
      </c>
    </row>
    <row r="194" spans="1:22">
      <c r="A194" s="155">
        <v>171</v>
      </c>
      <c r="B194" s="149" t="s">
        <v>248</v>
      </c>
      <c r="C194" s="148" t="s">
        <v>53</v>
      </c>
      <c r="D194" s="34">
        <v>4196270003.8299999</v>
      </c>
      <c r="E194" s="35">
        <f t="shared" si="116"/>
        <v>4.537120681545663E-2</v>
      </c>
      <c r="F194" s="34">
        <v>2.3567</v>
      </c>
      <c r="G194" s="34">
        <v>2.3736999999999999</v>
      </c>
      <c r="H194" s="36">
        <v>3003</v>
      </c>
      <c r="I194" s="58">
        <v>-2E-3</v>
      </c>
      <c r="J194" s="58">
        <v>6.1100000000000002E-2</v>
      </c>
      <c r="K194" s="34">
        <v>4222228292.52</v>
      </c>
      <c r="L194" s="62">
        <f t="shared" si="117"/>
        <v>4.5173239962269414E-2</v>
      </c>
      <c r="M194" s="34">
        <v>2.3561000000000001</v>
      </c>
      <c r="N194" s="34">
        <v>2.3732000000000002</v>
      </c>
      <c r="O194" s="36">
        <v>3022</v>
      </c>
      <c r="P194" s="58">
        <v>-2.0000000000000001E-4</v>
      </c>
      <c r="Q194" s="58">
        <v>6.08E-2</v>
      </c>
      <c r="R194" s="64">
        <f t="shared" si="118"/>
        <v>6.1860387120722757E-3</v>
      </c>
      <c r="S194" s="64">
        <f t="shared" si="119"/>
        <v>-2.106416143572157E-4</v>
      </c>
      <c r="T194" s="64">
        <f t="shared" si="119"/>
        <v>6.327006327006327E-3</v>
      </c>
      <c r="U194" s="64">
        <f t="shared" si="120"/>
        <v>1.8E-3</v>
      </c>
      <c r="V194" s="65">
        <f t="shared" si="120"/>
        <v>-3.0000000000000165E-4</v>
      </c>
    </row>
    <row r="195" spans="1:22">
      <c r="A195" s="155">
        <v>172</v>
      </c>
      <c r="B195" s="149" t="s">
        <v>249</v>
      </c>
      <c r="C195" s="148" t="s">
        <v>53</v>
      </c>
      <c r="D195" s="34">
        <v>2757375120.1799998</v>
      </c>
      <c r="E195" s="35">
        <f t="shared" si="116"/>
        <v>2.9813485960459098E-2</v>
      </c>
      <c r="F195" s="34">
        <v>1.881</v>
      </c>
      <c r="G195" s="34">
        <v>1.8942000000000001</v>
      </c>
      <c r="H195" s="36">
        <v>1533</v>
      </c>
      <c r="I195" s="58">
        <v>6.9999999999999999E-4</v>
      </c>
      <c r="J195" s="58">
        <v>5.2200000000000003E-2</v>
      </c>
      <c r="K195" s="34">
        <v>2781006483.8200002</v>
      </c>
      <c r="L195" s="62">
        <f t="shared" si="117"/>
        <v>2.9753737724884734E-2</v>
      </c>
      <c r="M195" s="34">
        <v>1.8808</v>
      </c>
      <c r="N195" s="34">
        <v>1.8939999999999999</v>
      </c>
      <c r="O195" s="36">
        <v>1545</v>
      </c>
      <c r="P195" s="58">
        <v>-1E-4</v>
      </c>
      <c r="Q195" s="58">
        <v>5.21E-2</v>
      </c>
      <c r="R195" s="64">
        <f t="shared" si="118"/>
        <v>8.57023894465897E-3</v>
      </c>
      <c r="S195" s="64">
        <f t="shared" si="119"/>
        <v>-1.0558547143923556E-4</v>
      </c>
      <c r="T195" s="64">
        <f t="shared" si="119"/>
        <v>7.8277886497064575E-3</v>
      </c>
      <c r="U195" s="64">
        <f t="shared" si="120"/>
        <v>-8.0000000000000004E-4</v>
      </c>
      <c r="V195" s="65">
        <f t="shared" si="120"/>
        <v>-1.0000000000000286E-4</v>
      </c>
    </row>
    <row r="196" spans="1:22">
      <c r="A196" s="155">
        <v>173</v>
      </c>
      <c r="B196" s="149" t="s">
        <v>250</v>
      </c>
      <c r="C196" s="148" t="s">
        <v>121</v>
      </c>
      <c r="D196" s="40">
        <v>11259088532.799999</v>
      </c>
      <c r="E196" s="35">
        <f t="shared" si="116"/>
        <v>0.12173631198873162</v>
      </c>
      <c r="F196" s="34">
        <v>719.37</v>
      </c>
      <c r="G196" s="34">
        <v>727.56</v>
      </c>
      <c r="H196" s="36">
        <v>37</v>
      </c>
      <c r="I196" s="58">
        <v>-6.4000000000000003E-3</v>
      </c>
      <c r="J196" s="58">
        <v>4.6300000000000001E-2</v>
      </c>
      <c r="K196" s="40">
        <v>11242878522.52</v>
      </c>
      <c r="L196" s="62">
        <f t="shared" si="117"/>
        <v>0.12028654401851845</v>
      </c>
      <c r="M196" s="34">
        <v>713.88</v>
      </c>
      <c r="N196" s="34">
        <v>721.97</v>
      </c>
      <c r="O196" s="36">
        <v>38</v>
      </c>
      <c r="P196" s="58">
        <v>-7.7000000000000002E-3</v>
      </c>
      <c r="Q196" s="58">
        <v>3.8300000000000001E-2</v>
      </c>
      <c r="R196" s="64">
        <f t="shared" si="118"/>
        <v>-1.439726691265971E-3</v>
      </c>
      <c r="S196" s="64">
        <f t="shared" si="119"/>
        <v>-7.6832151300235286E-3</v>
      </c>
      <c r="T196" s="64">
        <f t="shared" si="119"/>
        <v>2.7027027027027029E-2</v>
      </c>
      <c r="U196" s="64">
        <f t="shared" si="120"/>
        <v>-1.2999999999999999E-3</v>
      </c>
      <c r="V196" s="65">
        <f t="shared" si="120"/>
        <v>-8.0000000000000002E-3</v>
      </c>
    </row>
    <row r="197" spans="1:22">
      <c r="A197" s="43"/>
      <c r="B197" s="44"/>
      <c r="C197" s="45" t="s">
        <v>56</v>
      </c>
      <c r="D197" s="87">
        <f>SUM(D168:D196)</f>
        <v>92487511317.429947</v>
      </c>
      <c r="E197" s="47">
        <f>(D197/$D$231)</f>
        <v>1.1480383194290572E-2</v>
      </c>
      <c r="F197" s="48"/>
      <c r="G197" s="88"/>
      <c r="H197" s="50">
        <f>SUM(H168:H196)</f>
        <v>80752</v>
      </c>
      <c r="I197" s="106"/>
      <c r="J197" s="106"/>
      <c r="K197" s="87">
        <f>SUM(K168:K196)</f>
        <v>93467466492.254761</v>
      </c>
      <c r="L197" s="47">
        <f>(K197/$K$231)</f>
        <v>1.1565778408290622E-2</v>
      </c>
      <c r="M197" s="48"/>
      <c r="N197" s="88"/>
      <c r="O197" s="50">
        <f>SUM(O168:O196)</f>
        <v>81157</v>
      </c>
      <c r="P197" s="106"/>
      <c r="Q197" s="106"/>
      <c r="R197" s="64">
        <f t="shared" ref="R197" si="131">((K197-D197)/D197)</f>
        <v>1.0595540531536976E-2</v>
      </c>
      <c r="S197" s="64" t="e">
        <f t="shared" ref="S197" si="132">((N197-G197)/G197)</f>
        <v>#DIV/0!</v>
      </c>
      <c r="T197" s="64">
        <f t="shared" ref="T197" si="133">((O197-H197)/H197)</f>
        <v>5.0153556568258368E-3</v>
      </c>
      <c r="U197" s="64">
        <f t="shared" ref="U197" si="134">P197-I197</f>
        <v>0</v>
      </c>
      <c r="V197" s="65">
        <f t="shared" ref="V197" si="135">Q197-J197</f>
        <v>0</v>
      </c>
    </row>
    <row r="198" spans="1:22" ht="5.25" customHeight="1">
      <c r="A198" s="43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</row>
    <row r="199" spans="1:22" ht="15" customHeight="1">
      <c r="A199" s="187" t="s">
        <v>251</v>
      </c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</row>
    <row r="200" spans="1:22">
      <c r="A200" s="153">
        <v>174</v>
      </c>
      <c r="B200" s="149" t="s">
        <v>252</v>
      </c>
      <c r="C200" s="148" t="s">
        <v>253</v>
      </c>
      <c r="D200" s="89">
        <v>2068872721.1400001</v>
      </c>
      <c r="E200" s="35">
        <f>(D200/$D$202)</f>
        <v>0.20751995404724033</v>
      </c>
      <c r="F200" s="90">
        <v>31.440899999999999</v>
      </c>
      <c r="G200" s="90">
        <v>31.440899999999999</v>
      </c>
      <c r="H200" s="36">
        <v>1319</v>
      </c>
      <c r="I200" s="58">
        <v>5.0000000000000001E-3</v>
      </c>
      <c r="J200" s="58">
        <v>5.8599999999999999E-2</v>
      </c>
      <c r="K200" s="89">
        <v>1620458485.1700001</v>
      </c>
      <c r="L200" s="62">
        <f>(K200/$K$202)</f>
        <v>0.16754020213195017</v>
      </c>
      <c r="M200" s="90">
        <v>44.928100000000001</v>
      </c>
      <c r="N200" s="90">
        <v>45.342300000000002</v>
      </c>
      <c r="O200" s="36">
        <v>1508</v>
      </c>
      <c r="P200" s="58">
        <v>6.7799999999999999E-2</v>
      </c>
      <c r="Q200" s="58">
        <v>0.12429999999999999</v>
      </c>
      <c r="R200" s="64">
        <f>((K200-D200)/D200)</f>
        <v>-0.21674326863515928</v>
      </c>
      <c r="S200" s="64">
        <f t="shared" ref="S200:T202" si="136">((N200-G200)/G200)</f>
        <v>0.44214383176054128</v>
      </c>
      <c r="T200" s="64">
        <f t="shared" si="136"/>
        <v>0.14329037149355572</v>
      </c>
      <c r="U200" s="64">
        <f t="shared" ref="U200:V202" si="137">P200-I200</f>
        <v>6.2799999999999995E-2</v>
      </c>
      <c r="V200" s="65">
        <f t="shared" si="137"/>
        <v>6.5699999999999995E-2</v>
      </c>
    </row>
    <row r="201" spans="1:22">
      <c r="A201" s="153">
        <v>175</v>
      </c>
      <c r="B201" s="149" t="s">
        <v>254</v>
      </c>
      <c r="C201" s="148" t="s">
        <v>50</v>
      </c>
      <c r="D201" s="52">
        <v>7900639515.1099997</v>
      </c>
      <c r="E201" s="35">
        <f>(D201/$D$202)</f>
        <v>0.79248004595275967</v>
      </c>
      <c r="F201" s="90">
        <v>4.84</v>
      </c>
      <c r="G201" s="90">
        <v>4.91</v>
      </c>
      <c r="H201" s="36">
        <v>12161</v>
      </c>
      <c r="I201" s="58">
        <v>2E-3</v>
      </c>
      <c r="J201" s="58">
        <v>8.3900000000000002E-2</v>
      </c>
      <c r="K201" s="52">
        <v>8051599113.8400002</v>
      </c>
      <c r="L201" s="62">
        <f>(K201/$K$202)</f>
        <v>0.8324597978680498</v>
      </c>
      <c r="M201" s="90">
        <v>4.8499999999999996</v>
      </c>
      <c r="N201" s="90">
        <v>4.91</v>
      </c>
      <c r="O201" s="36">
        <v>12290</v>
      </c>
      <c r="P201" s="58">
        <v>0</v>
      </c>
      <c r="Q201" s="58">
        <v>8.3900000000000002E-2</v>
      </c>
      <c r="R201" s="64">
        <f>((K201-D201)/D201)</f>
        <v>1.9107263208413668E-2</v>
      </c>
      <c r="S201" s="64">
        <f t="shared" si="136"/>
        <v>0</v>
      </c>
      <c r="T201" s="64">
        <f t="shared" si="136"/>
        <v>1.060768028944988E-2</v>
      </c>
      <c r="U201" s="64">
        <f t="shared" si="137"/>
        <v>-2E-3</v>
      </c>
      <c r="V201" s="65">
        <f t="shared" si="137"/>
        <v>0</v>
      </c>
    </row>
    <row r="202" spans="1:22">
      <c r="A202" s="43"/>
      <c r="B202" s="44"/>
      <c r="C202" s="79" t="s">
        <v>56</v>
      </c>
      <c r="D202" s="87">
        <f>SUM(D200:D201)</f>
        <v>9969512236.25</v>
      </c>
      <c r="E202" s="47">
        <f>(D202/$D$231)</f>
        <v>1.2375056815995119E-3</v>
      </c>
      <c r="F202" s="48"/>
      <c r="G202" s="88"/>
      <c r="H202" s="50">
        <f>SUM(H200:H201)</f>
        <v>13480</v>
      </c>
      <c r="I202" s="106"/>
      <c r="J202" s="106"/>
      <c r="K202" s="87">
        <f>SUM(K200:K201)</f>
        <v>9672057599.0100002</v>
      </c>
      <c r="L202" s="47">
        <f>(K202/$K$231)</f>
        <v>1.1968322148931132E-3</v>
      </c>
      <c r="M202" s="48"/>
      <c r="N202" s="88"/>
      <c r="O202" s="50">
        <f>SUM(O200:O201)</f>
        <v>13798</v>
      </c>
      <c r="P202" s="106"/>
      <c r="Q202" s="106"/>
      <c r="R202" s="64">
        <f>((K202-D202)/D202)</f>
        <v>-2.9836428321781808E-2</v>
      </c>
      <c r="S202" s="64" t="e">
        <f t="shared" si="136"/>
        <v>#DIV/0!</v>
      </c>
      <c r="T202" s="64">
        <f t="shared" si="136"/>
        <v>2.3590504451038576E-2</v>
      </c>
      <c r="U202" s="64">
        <f t="shared" si="137"/>
        <v>0</v>
      </c>
      <c r="V202" s="65">
        <f t="shared" si="137"/>
        <v>0</v>
      </c>
    </row>
    <row r="203" spans="1:22" ht="6" customHeight="1">
      <c r="A203" s="43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</row>
    <row r="204" spans="1:22" ht="15" customHeight="1">
      <c r="A204" s="183" t="s">
        <v>255</v>
      </c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</row>
    <row r="205" spans="1:22">
      <c r="A205" s="186" t="s">
        <v>256</v>
      </c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</row>
    <row r="206" spans="1:22">
      <c r="A206" s="153">
        <v>176</v>
      </c>
      <c r="B206" s="149" t="s">
        <v>257</v>
      </c>
      <c r="C206" s="148" t="s">
        <v>258</v>
      </c>
      <c r="D206" s="56">
        <v>9518063578.5499992</v>
      </c>
      <c r="E206" s="35">
        <f>(D206/$D$230)</f>
        <v>0.11302335633140789</v>
      </c>
      <c r="F206" s="91">
        <v>3.08</v>
      </c>
      <c r="G206" s="91">
        <v>3.14</v>
      </c>
      <c r="H206" s="54">
        <v>15631</v>
      </c>
      <c r="I206" s="61">
        <v>5.5999999999999999E-3</v>
      </c>
      <c r="J206" s="61">
        <v>4.5699999999999998E-2</v>
      </c>
      <c r="K206" s="56">
        <v>9846061925.7700005</v>
      </c>
      <c r="L206" s="35">
        <f>(K206/$K$230)</f>
        <v>0.11512693490936898</v>
      </c>
      <c r="M206" s="91">
        <v>3.09</v>
      </c>
      <c r="N206" s="91">
        <v>3.15</v>
      </c>
      <c r="O206" s="54">
        <v>15690</v>
      </c>
      <c r="P206" s="61">
        <v>3.44E-2</v>
      </c>
      <c r="Q206" s="61">
        <v>8.1600000000000006E-2</v>
      </c>
      <c r="R206" s="63">
        <f>((K206-D206)/D206)</f>
        <v>3.4460617384315599E-2</v>
      </c>
      <c r="S206" s="63">
        <f>((N206-G206)/G206)</f>
        <v>3.1847133757961104E-3</v>
      </c>
      <c r="T206" s="63">
        <f>((O206-H206)/H206)</f>
        <v>3.7745505725801294E-3</v>
      </c>
      <c r="U206" s="63">
        <f>P206-I206</f>
        <v>2.8799999999999999E-2</v>
      </c>
      <c r="V206" s="110">
        <f>Q206-J206</f>
        <v>3.5900000000000008E-2</v>
      </c>
    </row>
    <row r="207" spans="1:22">
      <c r="A207" s="153">
        <v>177</v>
      </c>
      <c r="B207" s="149" t="s">
        <v>259</v>
      </c>
      <c r="C207" s="148" t="s">
        <v>50</v>
      </c>
      <c r="D207" s="56">
        <v>6921468613.8299999</v>
      </c>
      <c r="E207" s="35">
        <f>(D207/$D$230)</f>
        <v>8.2189786506630919E-2</v>
      </c>
      <c r="F207" s="91">
        <v>1007.01</v>
      </c>
      <c r="G207" s="91">
        <v>1017.48</v>
      </c>
      <c r="H207" s="54">
        <v>3184</v>
      </c>
      <c r="I207" s="61">
        <v>3.7000000000000002E-3</v>
      </c>
      <c r="J207" s="61">
        <v>7.0099999999999996E-2</v>
      </c>
      <c r="K207" s="56">
        <v>7281305799.2600002</v>
      </c>
      <c r="L207" s="35">
        <f>(K207/$K$230)</f>
        <v>8.5138040480185237E-2</v>
      </c>
      <c r="M207" s="91">
        <v>1007.79</v>
      </c>
      <c r="N207" s="91">
        <v>1020.07</v>
      </c>
      <c r="O207" s="54">
        <v>3369</v>
      </c>
      <c r="P207" s="61">
        <v>2.5000000000000001E-3</v>
      </c>
      <c r="Q207" s="61">
        <v>7.2900000000000006E-2</v>
      </c>
      <c r="R207" s="63">
        <f>((K207-D207)/D207)</f>
        <v>5.1988559871672106E-2</v>
      </c>
      <c r="S207" s="63">
        <f>((N207-G207)/G207)</f>
        <v>2.5455045799426344E-3</v>
      </c>
      <c r="T207" s="63">
        <f>((O207-H207)/H207)</f>
        <v>5.8103015075376886E-2</v>
      </c>
      <c r="U207" s="63">
        <f>P207-I207</f>
        <v>-1.2000000000000001E-3</v>
      </c>
      <c r="V207" s="110">
        <f>Q207-J207</f>
        <v>2.8000000000000108E-3</v>
      </c>
    </row>
    <row r="208" spans="1:22" ht="6" customHeight="1">
      <c r="A208" s="78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</row>
    <row r="209" spans="1:24" ht="15" customHeight="1">
      <c r="A209" s="186" t="s">
        <v>193</v>
      </c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</row>
    <row r="210" spans="1:24">
      <c r="A210" s="153">
        <v>178</v>
      </c>
      <c r="B210" s="149" t="s">
        <v>260</v>
      </c>
      <c r="C210" s="148" t="s">
        <v>24</v>
      </c>
      <c r="D210" s="40">
        <v>1328999554.74</v>
      </c>
      <c r="E210" s="35">
        <f>(D210/$D$230)</f>
        <v>1.5781360252538304E-2</v>
      </c>
      <c r="F210" s="90">
        <v>1.1448</v>
      </c>
      <c r="G210" s="90">
        <v>1.1448</v>
      </c>
      <c r="H210" s="36">
        <v>842</v>
      </c>
      <c r="I210" s="58">
        <v>0.13239999999999999</v>
      </c>
      <c r="J210" s="58">
        <v>0.14130000000000001</v>
      </c>
      <c r="K210" s="40">
        <v>1371363989.5</v>
      </c>
      <c r="L210" s="35">
        <f t="shared" ref="L210:L223" si="138">(K210/$K$230)</f>
        <v>1.6034931929790008E-2</v>
      </c>
      <c r="M210" s="90">
        <v>1.1477999999999999</v>
      </c>
      <c r="N210" s="90">
        <v>1.1477999999999999</v>
      </c>
      <c r="O210" s="36">
        <v>858</v>
      </c>
      <c r="P210" s="58">
        <v>0.1366</v>
      </c>
      <c r="Q210" s="58">
        <v>0.14050000000000001</v>
      </c>
      <c r="R210" s="64">
        <f>((K210-D210)/D210)</f>
        <v>3.1876936759612381E-2</v>
      </c>
      <c r="S210" s="64">
        <f>((N210-G210)/G210)</f>
        <v>2.6205450733751672E-3</v>
      </c>
      <c r="T210" s="64">
        <f>((O210-H210)/H210)</f>
        <v>1.9002375296912115E-2</v>
      </c>
      <c r="U210" s="64">
        <f>P210-I210</f>
        <v>4.2000000000000093E-3</v>
      </c>
      <c r="V210" s="65">
        <f>Q210-J210</f>
        <v>-7.9999999999999516E-4</v>
      </c>
      <c r="X210" s="111"/>
    </row>
    <row r="211" spans="1:24">
      <c r="A211" s="153">
        <v>179</v>
      </c>
      <c r="B211" s="149" t="s">
        <v>261</v>
      </c>
      <c r="C211" s="148" t="s">
        <v>262</v>
      </c>
      <c r="D211" s="40">
        <v>371158169.50999999</v>
      </c>
      <c r="E211" s="35">
        <f>(D211/$D$230)</f>
        <v>4.4073609827927308E-3</v>
      </c>
      <c r="F211" s="90">
        <v>1125.1500000000001</v>
      </c>
      <c r="G211" s="90">
        <v>1125.1500000000001</v>
      </c>
      <c r="H211" s="36">
        <v>17</v>
      </c>
      <c r="I211" s="58">
        <v>2.5000000000000001E-3</v>
      </c>
      <c r="J211" s="58">
        <v>8.3000000000000001E-3</v>
      </c>
      <c r="K211" s="40">
        <v>372116489.69</v>
      </c>
      <c r="L211" s="35">
        <f t="shared" si="138"/>
        <v>4.351042194353576E-3</v>
      </c>
      <c r="M211" s="90">
        <v>1128.05</v>
      </c>
      <c r="N211" s="90">
        <v>1128.05</v>
      </c>
      <c r="O211" s="36">
        <v>17</v>
      </c>
      <c r="P211" s="58">
        <v>2.5000000000000001E-3</v>
      </c>
      <c r="Q211" s="58">
        <v>1.0800000000000001E-2</v>
      </c>
      <c r="R211" s="64">
        <f>((K211-D211)/D211)</f>
        <v>2.5819724816112054E-3</v>
      </c>
      <c r="S211" s="64">
        <f>((N211-G211)/G211)</f>
        <v>2.5774341198950036E-3</v>
      </c>
      <c r="T211" s="64">
        <f>((O211-H211)/H211)</f>
        <v>0</v>
      </c>
      <c r="U211" s="64">
        <f>P211-I211</f>
        <v>0</v>
      </c>
      <c r="V211" s="65">
        <f>Q211-J211</f>
        <v>2.5000000000000005E-3</v>
      </c>
      <c r="X211" s="111"/>
    </row>
    <row r="212" spans="1:24">
      <c r="A212" s="153">
        <v>180</v>
      </c>
      <c r="B212" s="149" t="s">
        <v>263</v>
      </c>
      <c r="C212" s="148" t="s">
        <v>73</v>
      </c>
      <c r="D212" s="40">
        <v>315183437.80000001</v>
      </c>
      <c r="E212" s="35">
        <f>(D212/$D$230)</f>
        <v>3.7426825011453043E-3</v>
      </c>
      <c r="F212" s="90">
        <v>123.54</v>
      </c>
      <c r="G212" s="90">
        <v>123.54</v>
      </c>
      <c r="H212" s="36">
        <v>80</v>
      </c>
      <c r="I212" s="58">
        <v>2.5000000000000001E-3</v>
      </c>
      <c r="J212" s="58">
        <v>0.13389999999999999</v>
      </c>
      <c r="K212" s="40">
        <v>317051322.02999997</v>
      </c>
      <c r="L212" s="35">
        <f t="shared" si="138"/>
        <v>3.7071823424899551E-3</v>
      </c>
      <c r="M212" s="90">
        <v>123.84</v>
      </c>
      <c r="N212" s="90">
        <v>123.84</v>
      </c>
      <c r="O212" s="36">
        <v>80</v>
      </c>
      <c r="P212" s="58">
        <v>2.3999999999999998E-3</v>
      </c>
      <c r="Q212" s="58">
        <v>0.1331</v>
      </c>
      <c r="R212" s="64">
        <f t="shared" ref="R212:R231" si="139">((K212-D212)/D212)</f>
        <v>5.9263400483156965E-3</v>
      </c>
      <c r="S212" s="64">
        <f t="shared" ref="S212:S230" si="140">((N212-G212)/G212)</f>
        <v>2.4283632831471357E-3</v>
      </c>
      <c r="T212" s="64">
        <f t="shared" ref="T212:T230" si="141">((O212-H212)/H212)</f>
        <v>0</v>
      </c>
      <c r="U212" s="64">
        <f t="shared" ref="U212:U230" si="142">P212-I212</f>
        <v>-1.0000000000000026E-4</v>
      </c>
      <c r="V212" s="65">
        <f t="shared" ref="V212:V230" si="143">Q212-J212</f>
        <v>-7.9999999999999516E-4</v>
      </c>
    </row>
    <row r="213" spans="1:24">
      <c r="A213" s="153">
        <v>181</v>
      </c>
      <c r="B213" s="158" t="s">
        <v>264</v>
      </c>
      <c r="C213" s="148" t="s">
        <v>265</v>
      </c>
      <c r="D213" s="40">
        <v>55671536.173002802</v>
      </c>
      <c r="E213" s="35">
        <v>0</v>
      </c>
      <c r="F213" s="90">
        <v>106.88</v>
      </c>
      <c r="G213" s="90">
        <v>106.88</v>
      </c>
      <c r="H213" s="36">
        <v>14</v>
      </c>
      <c r="I213" s="58">
        <v>2.8999999999999998E-3</v>
      </c>
      <c r="J213" s="58">
        <v>6.88E-2</v>
      </c>
      <c r="K213" s="40">
        <v>55824672.057668999</v>
      </c>
      <c r="L213" s="35">
        <f t="shared" si="138"/>
        <v>6.5274050018911676E-4</v>
      </c>
      <c r="M213" s="90">
        <v>107.18</v>
      </c>
      <c r="N213" s="90">
        <v>107.18</v>
      </c>
      <c r="O213" s="36">
        <v>14</v>
      </c>
      <c r="P213" s="58">
        <v>3.0000000000000001E-3</v>
      </c>
      <c r="Q213" s="58">
        <v>7.1800000000000003E-2</v>
      </c>
      <c r="R213" s="64">
        <f t="shared" si="139"/>
        <v>2.7507034149429183E-3</v>
      </c>
      <c r="S213" s="64">
        <f t="shared" si="140"/>
        <v>2.8068862275450169E-3</v>
      </c>
      <c r="T213" s="64">
        <f t="shared" si="141"/>
        <v>0</v>
      </c>
      <c r="U213" s="64">
        <f t="shared" si="142"/>
        <v>1.0000000000000026E-4</v>
      </c>
      <c r="V213" s="65">
        <f t="shared" si="143"/>
        <v>3.0000000000000027E-3</v>
      </c>
    </row>
    <row r="214" spans="1:24">
      <c r="A214" s="153">
        <v>182</v>
      </c>
      <c r="B214" s="158" t="s">
        <v>266</v>
      </c>
      <c r="C214" s="148" t="s">
        <v>79</v>
      </c>
      <c r="D214" s="52">
        <v>65263182.719999999</v>
      </c>
      <c r="E214" s="35">
        <f>(D214/$D$230)</f>
        <v>7.7497527674721175E-4</v>
      </c>
      <c r="F214" s="90">
        <v>100.69</v>
      </c>
      <c r="G214" s="90">
        <v>100.69</v>
      </c>
      <c r="H214" s="36">
        <v>15</v>
      </c>
      <c r="I214" s="58">
        <v>4.4999999999999997E-3</v>
      </c>
      <c r="J214" s="58">
        <v>2.4400000000000002E-2</v>
      </c>
      <c r="K214" s="52">
        <v>68843143.209999993</v>
      </c>
      <c r="L214" s="35">
        <f t="shared" si="138"/>
        <v>8.0496142793396212E-4</v>
      </c>
      <c r="M214" s="90">
        <v>100.87</v>
      </c>
      <c r="N214" s="90">
        <v>100.87</v>
      </c>
      <c r="O214" s="36">
        <v>15</v>
      </c>
      <c r="P214" s="58">
        <v>1.2200000000000001E-2</v>
      </c>
      <c r="Q214" s="58">
        <v>3.6499999999999998E-2</v>
      </c>
      <c r="R214" s="64">
        <f t="shared" si="139"/>
        <v>5.4854212448681432E-2</v>
      </c>
      <c r="S214" s="64">
        <f t="shared" si="140"/>
        <v>1.78766511073599E-3</v>
      </c>
      <c r="T214" s="64">
        <f t="shared" si="141"/>
        <v>0</v>
      </c>
      <c r="U214" s="64">
        <f t="shared" si="142"/>
        <v>7.7000000000000011E-3</v>
      </c>
      <c r="V214" s="65">
        <f t="shared" si="143"/>
        <v>1.2099999999999996E-2</v>
      </c>
    </row>
    <row r="215" spans="1:24">
      <c r="A215" s="153">
        <v>183</v>
      </c>
      <c r="B215" s="149" t="s">
        <v>267</v>
      </c>
      <c r="C215" s="148" t="s">
        <v>82</v>
      </c>
      <c r="D215" s="52">
        <v>268447706.55000001</v>
      </c>
      <c r="E215" s="35">
        <v>0</v>
      </c>
      <c r="F215" s="90">
        <v>1.1662999999999999</v>
      </c>
      <c r="G215" s="90">
        <v>1.1662999999999999</v>
      </c>
      <c r="H215" s="36">
        <v>56</v>
      </c>
      <c r="I215" s="58">
        <v>0.14050000000000001</v>
      </c>
      <c r="J215" s="58">
        <v>0.14050000000000001</v>
      </c>
      <c r="K215" s="52">
        <v>269279223.69</v>
      </c>
      <c r="L215" s="35">
        <f t="shared" si="138"/>
        <v>3.1485980782900284E-3</v>
      </c>
      <c r="M215" s="90">
        <v>1.18</v>
      </c>
      <c r="N215" s="90">
        <v>1.18</v>
      </c>
      <c r="O215" s="36">
        <v>59</v>
      </c>
      <c r="P215" s="58">
        <v>0.14050000000000001</v>
      </c>
      <c r="Q215" s="58">
        <v>0.13969999999999999</v>
      </c>
      <c r="R215" s="64">
        <f t="shared" ref="R215:R216" si="144">((K215-D215)/D215)</f>
        <v>3.0975013744254528E-3</v>
      </c>
      <c r="S215" s="64">
        <f t="shared" ref="S215:S216" si="145">((N215-G215)/G215)</f>
        <v>1.1746548915373443E-2</v>
      </c>
      <c r="T215" s="64">
        <f t="shared" ref="T215" si="146">((O215-H215)/H215)</f>
        <v>5.3571428571428568E-2</v>
      </c>
      <c r="U215" s="64">
        <f t="shared" ref="U215" si="147">P215-I215</f>
        <v>0</v>
      </c>
      <c r="V215" s="65">
        <f t="shared" ref="V215" si="148">Q215-J215</f>
        <v>-8.0000000000002292E-4</v>
      </c>
    </row>
    <row r="216" spans="1:24">
      <c r="A216" s="153">
        <v>184</v>
      </c>
      <c r="B216" s="149" t="s">
        <v>268</v>
      </c>
      <c r="C216" s="148" t="s">
        <v>32</v>
      </c>
      <c r="D216" s="40">
        <v>5044847369.8299999</v>
      </c>
      <c r="E216" s="35">
        <f t="shared" ref="E216:E223" si="149">(D216/$D$230)</f>
        <v>5.9905628619968218E-2</v>
      </c>
      <c r="F216" s="90">
        <v>143.51</v>
      </c>
      <c r="G216" s="90">
        <v>143.51</v>
      </c>
      <c r="H216" s="36">
        <v>765</v>
      </c>
      <c r="I216" s="58">
        <v>2.5999999999999999E-3</v>
      </c>
      <c r="J216" s="58">
        <v>8.6E-3</v>
      </c>
      <c r="K216" s="40">
        <v>5111864845.3400002</v>
      </c>
      <c r="L216" s="35">
        <f t="shared" si="138"/>
        <v>5.9771443217784319E-2</v>
      </c>
      <c r="M216" s="90">
        <v>143.88999999999999</v>
      </c>
      <c r="N216" s="90">
        <v>143.88999999999999</v>
      </c>
      <c r="O216" s="36">
        <v>770</v>
      </c>
      <c r="P216" s="58">
        <v>2.5999999999999999E-3</v>
      </c>
      <c r="Q216" s="58">
        <v>1.12E-2</v>
      </c>
      <c r="R216" s="64">
        <f t="shared" si="144"/>
        <v>1.3284341546344655E-2</v>
      </c>
      <c r="S216" s="64">
        <f t="shared" si="145"/>
        <v>2.647899101107905E-3</v>
      </c>
      <c r="T216" s="64">
        <f t="shared" si="141"/>
        <v>6.5359477124183009E-3</v>
      </c>
      <c r="U216" s="64">
        <f t="shared" si="142"/>
        <v>0</v>
      </c>
      <c r="V216" s="65">
        <f t="shared" si="143"/>
        <v>2.5999999999999999E-3</v>
      </c>
    </row>
    <row r="217" spans="1:24">
      <c r="A217" s="153">
        <v>185</v>
      </c>
      <c r="B217" s="149" t="s">
        <v>269</v>
      </c>
      <c r="C217" s="148" t="s">
        <v>71</v>
      </c>
      <c r="D217" s="40">
        <v>1027654540.33392</v>
      </c>
      <c r="E217" s="35">
        <f t="shared" si="149"/>
        <v>1.2203003724360936E-2</v>
      </c>
      <c r="F217" s="39">
        <v>1334.47625140938</v>
      </c>
      <c r="G217" s="39">
        <v>1334.47625140938</v>
      </c>
      <c r="H217" s="36">
        <v>321</v>
      </c>
      <c r="I217" s="58">
        <v>0.11799999999999999</v>
      </c>
      <c r="J217" s="58">
        <v>0.1152</v>
      </c>
      <c r="K217" s="40">
        <v>1043338223.16913</v>
      </c>
      <c r="L217" s="35">
        <f t="shared" si="138"/>
        <v>1.2199428828785835E-2</v>
      </c>
      <c r="M217" s="39">
        <v>1337.48172802608</v>
      </c>
      <c r="N217" s="39">
        <v>1337.48172802608</v>
      </c>
      <c r="O217" s="36">
        <v>325</v>
      </c>
      <c r="P217" s="58">
        <v>0.1174</v>
      </c>
      <c r="Q217" s="58">
        <v>0.1159</v>
      </c>
      <c r="R217" s="64">
        <f t="shared" si="139"/>
        <v>1.5261629487000371E-2</v>
      </c>
      <c r="S217" s="64">
        <f t="shared" si="140"/>
        <v>2.2521769222388233E-3</v>
      </c>
      <c r="T217" s="64">
        <f t="shared" si="141"/>
        <v>1.2461059190031152E-2</v>
      </c>
      <c r="U217" s="64">
        <f t="shared" si="142"/>
        <v>-5.9999999999998943E-4</v>
      </c>
      <c r="V217" s="65">
        <f t="shared" si="143"/>
        <v>7.0000000000000617E-4</v>
      </c>
    </row>
    <row r="218" spans="1:24">
      <c r="A218" s="153">
        <v>186</v>
      </c>
      <c r="B218" s="149" t="s">
        <v>270</v>
      </c>
      <c r="C218" s="148" t="s">
        <v>258</v>
      </c>
      <c r="D218" s="40">
        <v>40992269339.769997</v>
      </c>
      <c r="E218" s="35">
        <f t="shared" si="149"/>
        <v>0.4867674843928374</v>
      </c>
      <c r="F218" s="39">
        <v>1271.83</v>
      </c>
      <c r="G218" s="39">
        <v>1271.83</v>
      </c>
      <c r="H218" s="36">
        <v>11943</v>
      </c>
      <c r="I218" s="58">
        <v>3.8999999999999998E-3</v>
      </c>
      <c r="J218" s="58">
        <v>9.5999999999999992E-3</v>
      </c>
      <c r="K218" s="40">
        <v>41021966106.5</v>
      </c>
      <c r="L218" s="35">
        <f t="shared" si="138"/>
        <v>0.47965707075603525</v>
      </c>
      <c r="M218" s="39">
        <v>1275.68</v>
      </c>
      <c r="N218" s="39">
        <v>1275.68</v>
      </c>
      <c r="O218" s="36">
        <v>12081</v>
      </c>
      <c r="P218" s="58">
        <v>3.0000000000000001E-3</v>
      </c>
      <c r="Q218" s="58">
        <v>1.2500000000000001E-2</v>
      </c>
      <c r="R218" s="64">
        <f t="shared" si="139"/>
        <v>7.2444798027300385E-4</v>
      </c>
      <c r="S218" s="64">
        <f t="shared" si="140"/>
        <v>3.0271341295614483E-3</v>
      </c>
      <c r="T218" s="64">
        <f t="shared" si="141"/>
        <v>1.1554885707108766E-2</v>
      </c>
      <c r="U218" s="64">
        <f t="shared" si="142"/>
        <v>-8.9999999999999976E-4</v>
      </c>
      <c r="V218" s="65">
        <f t="shared" si="143"/>
        <v>2.9000000000000015E-3</v>
      </c>
    </row>
    <row r="219" spans="1:24">
      <c r="A219" s="153">
        <v>187</v>
      </c>
      <c r="B219" s="149" t="s">
        <v>271</v>
      </c>
      <c r="C219" s="148" t="s">
        <v>272</v>
      </c>
      <c r="D219" s="40">
        <v>336482567.69999999</v>
      </c>
      <c r="E219" s="35">
        <f t="shared" si="149"/>
        <v>3.9956015038783554E-3</v>
      </c>
      <c r="F219" s="91">
        <v>123.87</v>
      </c>
      <c r="G219" s="91">
        <v>124.65</v>
      </c>
      <c r="H219" s="54">
        <v>131</v>
      </c>
      <c r="I219" s="58">
        <v>-4.0000000000000002E-4</v>
      </c>
      <c r="J219" s="58">
        <v>2.18E-2</v>
      </c>
      <c r="K219" s="40">
        <v>337680119.45999998</v>
      </c>
      <c r="L219" s="35">
        <f t="shared" si="138"/>
        <v>3.9483884446744524E-3</v>
      </c>
      <c r="M219" s="91">
        <v>124.12</v>
      </c>
      <c r="N219" s="91">
        <v>124.91</v>
      </c>
      <c r="O219" s="54">
        <v>132</v>
      </c>
      <c r="P219" s="58">
        <v>2.0999999999999999E-3</v>
      </c>
      <c r="Q219" s="58">
        <v>2.3900000000000001E-2</v>
      </c>
      <c r="R219" s="64">
        <f t="shared" si="139"/>
        <v>3.5590306154216576E-3</v>
      </c>
      <c r="S219" s="64">
        <f t="shared" si="140"/>
        <v>2.0858403529882942E-3</v>
      </c>
      <c r="T219" s="64">
        <f t="shared" si="141"/>
        <v>7.6335877862595417E-3</v>
      </c>
      <c r="U219" s="64">
        <f t="shared" si="142"/>
        <v>2.5000000000000001E-3</v>
      </c>
      <c r="V219" s="65">
        <f t="shared" si="143"/>
        <v>2.1000000000000012E-3</v>
      </c>
    </row>
    <row r="220" spans="1:24">
      <c r="A220" s="153">
        <v>188</v>
      </c>
      <c r="B220" s="149" t="s">
        <v>273</v>
      </c>
      <c r="C220" s="148" t="s">
        <v>272</v>
      </c>
      <c r="D220" s="40">
        <v>649529590.64999998</v>
      </c>
      <c r="E220" s="35">
        <f t="shared" si="149"/>
        <v>7.7129148976552838E-3</v>
      </c>
      <c r="F220" s="91">
        <v>136.97999999999999</v>
      </c>
      <c r="G220" s="91">
        <v>136.97999999999999</v>
      </c>
      <c r="H220" s="54">
        <v>148</v>
      </c>
      <c r="I220" s="58">
        <v>2.3999999999999998E-3</v>
      </c>
      <c r="J220" s="58">
        <v>1.01E-2</v>
      </c>
      <c r="K220" s="40">
        <v>702953812.38999999</v>
      </c>
      <c r="L220" s="35">
        <f t="shared" si="138"/>
        <v>8.2194199481420947E-3</v>
      </c>
      <c r="M220" s="91">
        <v>137.24</v>
      </c>
      <c r="N220" s="91">
        <v>137.24</v>
      </c>
      <c r="O220" s="54">
        <v>147</v>
      </c>
      <c r="P220" s="58">
        <v>1.1900000000000001E-2</v>
      </c>
      <c r="Q220" s="58">
        <v>1.2E-2</v>
      </c>
      <c r="R220" s="64">
        <f t="shared" si="139"/>
        <v>8.2250635704736869E-2</v>
      </c>
      <c r="S220" s="64">
        <f t="shared" si="140"/>
        <v>1.8980873120164939E-3</v>
      </c>
      <c r="T220" s="64">
        <f t="shared" si="141"/>
        <v>-6.7567567567567571E-3</v>
      </c>
      <c r="U220" s="64">
        <f t="shared" si="142"/>
        <v>9.5000000000000015E-3</v>
      </c>
      <c r="V220" s="65">
        <f t="shared" si="143"/>
        <v>1.9000000000000006E-3</v>
      </c>
    </row>
    <row r="221" spans="1:24" ht="13.5" customHeight="1">
      <c r="A221" s="153">
        <v>189</v>
      </c>
      <c r="B221" s="149" t="s">
        <v>274</v>
      </c>
      <c r="C221" s="148" t="s">
        <v>104</v>
      </c>
      <c r="D221" s="40">
        <v>2565915827</v>
      </c>
      <c r="E221" s="35">
        <f t="shared" si="149"/>
        <v>3.0469266824922871E-2</v>
      </c>
      <c r="F221" s="68">
        <v>104.95</v>
      </c>
      <c r="G221" s="68">
        <v>104.95</v>
      </c>
      <c r="H221" s="36">
        <v>785</v>
      </c>
      <c r="I221" s="58">
        <v>3.3999999999999998E-3</v>
      </c>
      <c r="J221" s="58">
        <v>0.16769999999999999</v>
      </c>
      <c r="K221" s="40">
        <v>2641187421</v>
      </c>
      <c r="L221" s="35">
        <f t="shared" si="138"/>
        <v>3.0882581746217438E-2</v>
      </c>
      <c r="M221" s="68">
        <v>105.27</v>
      </c>
      <c r="N221" s="68">
        <v>105.27</v>
      </c>
      <c r="O221" s="36">
        <v>795</v>
      </c>
      <c r="P221" s="58">
        <v>3.0999999999999999E-3</v>
      </c>
      <c r="Q221" s="58">
        <v>0.16470000000000001</v>
      </c>
      <c r="R221" s="64">
        <f t="shared" si="139"/>
        <v>2.9335176628925326E-2</v>
      </c>
      <c r="S221" s="64">
        <f t="shared" si="140"/>
        <v>3.0490709861838322E-3</v>
      </c>
      <c r="T221" s="64">
        <f t="shared" si="141"/>
        <v>1.2738853503184714E-2</v>
      </c>
      <c r="U221" s="64">
        <f t="shared" si="142"/>
        <v>-2.9999999999999992E-4</v>
      </c>
      <c r="V221" s="65">
        <f t="shared" si="143"/>
        <v>-2.9999999999999749E-3</v>
      </c>
    </row>
    <row r="222" spans="1:24" ht="15.75" customHeight="1">
      <c r="A222" s="153">
        <v>190</v>
      </c>
      <c r="B222" s="149" t="s">
        <v>275</v>
      </c>
      <c r="C222" s="148" t="s">
        <v>50</v>
      </c>
      <c r="D222" s="40">
        <v>3821039388.71</v>
      </c>
      <c r="E222" s="35">
        <f t="shared" si="149"/>
        <v>4.5373377979925904E-2</v>
      </c>
      <c r="F222" s="68">
        <v>145.58000000000001</v>
      </c>
      <c r="G222" s="68">
        <v>145.58000000000001</v>
      </c>
      <c r="H222" s="36">
        <v>2023</v>
      </c>
      <c r="I222" s="58">
        <v>2.3999999999999998E-3</v>
      </c>
      <c r="J222" s="58">
        <v>8.0000000000000002E-3</v>
      </c>
      <c r="K222" s="40">
        <v>3865819727.29</v>
      </c>
      <c r="L222" s="35">
        <f t="shared" si="138"/>
        <v>4.5201825813244105E-2</v>
      </c>
      <c r="M222" s="68">
        <v>145.94</v>
      </c>
      <c r="N222" s="68">
        <v>145.94</v>
      </c>
      <c r="O222" s="36">
        <v>2076</v>
      </c>
      <c r="P222" s="58">
        <v>2.5000000000000001E-3</v>
      </c>
      <c r="Q222" s="58">
        <v>1.0500000000000001E-2</v>
      </c>
      <c r="R222" s="64">
        <f t="shared" si="139"/>
        <v>1.1719412972373982E-2</v>
      </c>
      <c r="S222" s="64">
        <f t="shared" si="140"/>
        <v>2.4728671520812279E-3</v>
      </c>
      <c r="T222" s="64">
        <f t="shared" si="141"/>
        <v>2.619871478002966E-2</v>
      </c>
      <c r="U222" s="64">
        <f t="shared" si="142"/>
        <v>1.0000000000000026E-4</v>
      </c>
      <c r="V222" s="65">
        <f t="shared" si="143"/>
        <v>2.5000000000000005E-3</v>
      </c>
    </row>
    <row r="223" spans="1:24">
      <c r="A223" s="155">
        <v>191</v>
      </c>
      <c r="B223" s="149" t="s">
        <v>276</v>
      </c>
      <c r="C223" s="148" t="s">
        <v>53</v>
      </c>
      <c r="D223" s="40">
        <v>4038673481.4200001</v>
      </c>
      <c r="E223" s="35">
        <f t="shared" si="149"/>
        <v>4.7957699402789551E-2</v>
      </c>
      <c r="F223" s="68">
        <v>1.2291000000000001</v>
      </c>
      <c r="G223" s="68">
        <v>1.2291000000000001</v>
      </c>
      <c r="H223" s="36">
        <v>2070</v>
      </c>
      <c r="I223" s="58">
        <v>1.6999999999999999E-3</v>
      </c>
      <c r="J223" s="58">
        <v>-1.54E-2</v>
      </c>
      <c r="K223" s="40">
        <v>4052088671.3600001</v>
      </c>
      <c r="L223" s="35">
        <f t="shared" si="138"/>
        <v>4.7379810550823007E-2</v>
      </c>
      <c r="M223" s="68">
        <v>1.2319</v>
      </c>
      <c r="N223" s="68">
        <v>1.2319</v>
      </c>
      <c r="O223" s="36">
        <v>2096</v>
      </c>
      <c r="P223" s="58">
        <v>2.3E-3</v>
      </c>
      <c r="Q223" s="58">
        <v>1.5900000000000001E-2</v>
      </c>
      <c r="R223" s="64">
        <f t="shared" si="139"/>
        <v>3.3216822309891881E-3</v>
      </c>
      <c r="S223" s="64">
        <f t="shared" si="140"/>
        <v>2.278089659100084E-3</v>
      </c>
      <c r="T223" s="64">
        <f t="shared" si="141"/>
        <v>1.2560386473429951E-2</v>
      </c>
      <c r="U223" s="64">
        <f t="shared" si="142"/>
        <v>6.0000000000000006E-4</v>
      </c>
      <c r="V223" s="65">
        <f t="shared" si="143"/>
        <v>3.1300000000000001E-2</v>
      </c>
    </row>
    <row r="224" spans="1:24" ht="6" customHeight="1">
      <c r="A224" s="43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</row>
    <row r="225" spans="1:22">
      <c r="A225" s="186" t="s">
        <v>277</v>
      </c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</row>
    <row r="226" spans="1:22">
      <c r="A226" s="153">
        <v>192</v>
      </c>
      <c r="B226" s="149" t="s">
        <v>278</v>
      </c>
      <c r="C226" s="148" t="s">
        <v>20</v>
      </c>
      <c r="D226" s="89">
        <v>380399627.83999997</v>
      </c>
      <c r="E226" s="35">
        <f>(D226/$D$202)</f>
        <v>3.8156292788009666E-2</v>
      </c>
      <c r="F226" s="90">
        <v>107.5782</v>
      </c>
      <c r="G226" s="90">
        <v>107.5782</v>
      </c>
      <c r="H226" s="38">
        <v>112</v>
      </c>
      <c r="I226" s="59">
        <v>1.3899999999999999E-2</v>
      </c>
      <c r="J226" s="59">
        <v>2.5700000000000001E-2</v>
      </c>
      <c r="K226" s="89">
        <v>388054078.31999999</v>
      </c>
      <c r="L226" s="62">
        <f>(K226/K227)</f>
        <v>6.1360109683827435E-2</v>
      </c>
      <c r="M226" s="90">
        <v>107.6953</v>
      </c>
      <c r="N226" s="90">
        <v>107.6953</v>
      </c>
      <c r="O226" s="38">
        <v>112</v>
      </c>
      <c r="P226" s="59">
        <v>1.1000000000000001E-3</v>
      </c>
      <c r="Q226" s="59">
        <v>2.6800000000000001E-2</v>
      </c>
      <c r="R226" s="64">
        <f>((K226-D226)/D226)</f>
        <v>2.0122129255130503E-2</v>
      </c>
      <c r="S226" s="64">
        <f t="shared" ref="S226" si="150">((N226-G226)/G226)</f>
        <v>1.0885104974800448E-3</v>
      </c>
      <c r="T226" s="64">
        <f t="shared" ref="T226" si="151">((O226-H226)/H226)</f>
        <v>0</v>
      </c>
      <c r="U226" s="64">
        <f t="shared" ref="U226" si="152">P226-I226</f>
        <v>-1.2799999999999999E-2</v>
      </c>
      <c r="V226" s="65">
        <f t="shared" ref="V226" si="153">Q226-J226</f>
        <v>1.1000000000000003E-3</v>
      </c>
    </row>
    <row r="227" spans="1:22">
      <c r="A227" s="153">
        <v>193</v>
      </c>
      <c r="B227" s="149" t="s">
        <v>279</v>
      </c>
      <c r="C227" s="148" t="s">
        <v>24</v>
      </c>
      <c r="D227" s="89">
        <v>6062782070.8800001</v>
      </c>
      <c r="E227" s="35">
        <f>(D227/$D$202)</f>
        <v>0.60813226637459805</v>
      </c>
      <c r="F227" s="90">
        <v>110.7253</v>
      </c>
      <c r="G227" s="90">
        <v>114.0637</v>
      </c>
      <c r="H227" s="38">
        <v>3903</v>
      </c>
      <c r="I227" s="59">
        <v>0.2306</v>
      </c>
      <c r="J227" s="59">
        <v>1.0045999999999999</v>
      </c>
      <c r="K227" s="89">
        <v>6324207703.0100002</v>
      </c>
      <c r="L227" s="62">
        <f>(K227/$K$202)</f>
        <v>0.6538637346056877</v>
      </c>
      <c r="M227" s="90">
        <v>111.2079</v>
      </c>
      <c r="N227" s="90">
        <v>114.5609</v>
      </c>
      <c r="O227" s="38">
        <v>3950</v>
      </c>
      <c r="P227" s="59">
        <v>0.2273</v>
      </c>
      <c r="Q227" s="59">
        <v>0.8266</v>
      </c>
      <c r="R227" s="64">
        <f>((K227-D227)/D227)</f>
        <v>4.3119747514205921E-2</v>
      </c>
      <c r="S227" s="64">
        <f t="shared" ref="S227" si="154">((N227-G227)/G227)</f>
        <v>4.3589678399000428E-3</v>
      </c>
      <c r="T227" s="64">
        <f t="shared" ref="T227" si="155">((O227-H227)/H227)</f>
        <v>1.2042018959774532E-2</v>
      </c>
      <c r="U227" s="64">
        <f t="shared" ref="U227" si="156">P227-I227</f>
        <v>-3.2999999999999974E-3</v>
      </c>
      <c r="V227" s="65">
        <f t="shared" ref="V227" si="157">Q227-J227</f>
        <v>-0.17799999999999994</v>
      </c>
    </row>
    <row r="228" spans="1:22">
      <c r="A228" s="153">
        <v>194</v>
      </c>
      <c r="B228" s="149" t="s">
        <v>280</v>
      </c>
      <c r="C228" s="148" t="s">
        <v>258</v>
      </c>
      <c r="D228" s="40">
        <v>296584760.88</v>
      </c>
      <c r="E228" s="35">
        <f t="shared" ref="E228" si="158">(D228/$D$230)</f>
        <v>3.5218303423554457E-3</v>
      </c>
      <c r="F228" s="39">
        <v>1292.73</v>
      </c>
      <c r="G228" s="39">
        <v>1292.73</v>
      </c>
      <c r="H228" s="36">
        <v>167</v>
      </c>
      <c r="I228" s="58">
        <v>1.44E-2</v>
      </c>
      <c r="J228" s="58">
        <v>4.5600000000000002E-2</v>
      </c>
      <c r="K228" s="40">
        <v>297237044.80000001</v>
      </c>
      <c r="L228" s="35">
        <f t="shared" ref="L228" si="159">(K228/$K$230)</f>
        <v>3.4755001712694039E-3</v>
      </c>
      <c r="M228" s="39">
        <v>1295.57</v>
      </c>
      <c r="N228" s="39">
        <v>1295.57</v>
      </c>
      <c r="O228" s="36">
        <v>167</v>
      </c>
      <c r="P228" s="58">
        <v>-6.3E-3</v>
      </c>
      <c r="Q228" s="58">
        <v>3.9E-2</v>
      </c>
      <c r="R228" s="64">
        <f t="shared" ref="R228" si="160">((K228-D228)/D228)</f>
        <v>2.1993170453688104E-3</v>
      </c>
      <c r="S228" s="64">
        <f t="shared" ref="S228" si="161">((N228-G228)/G228)</f>
        <v>2.196901131713442E-3</v>
      </c>
      <c r="T228" s="64">
        <f t="shared" ref="T228" si="162">((O228-H228)/H228)</f>
        <v>0</v>
      </c>
      <c r="U228" s="64">
        <f t="shared" ref="U228" si="163">P228-I228</f>
        <v>-2.07E-2</v>
      </c>
      <c r="V228" s="65">
        <f t="shared" ref="V228" si="164">Q228-J228</f>
        <v>-6.6000000000000017E-3</v>
      </c>
    </row>
    <row r="229" spans="1:22">
      <c r="A229" s="153">
        <v>195</v>
      </c>
      <c r="B229" s="149" t="s">
        <v>281</v>
      </c>
      <c r="C229" s="148" t="s">
        <v>282</v>
      </c>
      <c r="D229" s="40">
        <v>152810487.81</v>
      </c>
      <c r="E229" s="35">
        <f t="shared" ref="E229" si="165">(D229/$D$230)</f>
        <v>1.8145659642207405E-3</v>
      </c>
      <c r="F229" s="39">
        <v>117.66</v>
      </c>
      <c r="G229" s="39">
        <v>120.09</v>
      </c>
      <c r="H229" s="36">
        <v>311</v>
      </c>
      <c r="I229" s="58">
        <v>3.0999999999999999E-3</v>
      </c>
      <c r="J229" s="58">
        <v>0.1067</v>
      </c>
      <c r="K229" s="40">
        <v>155286153.28999999</v>
      </c>
      <c r="L229" s="35">
        <f t="shared" ref="L229" si="166">(K229/$K$230)</f>
        <v>1.8157126165693929E-3</v>
      </c>
      <c r="M229" s="39">
        <v>117.81</v>
      </c>
      <c r="N229" s="39">
        <v>120.24</v>
      </c>
      <c r="O229" s="36">
        <v>311</v>
      </c>
      <c r="P229" s="58">
        <v>1.2999999999999999E-3</v>
      </c>
      <c r="Q229" s="58">
        <v>0.1052</v>
      </c>
      <c r="R229" s="64">
        <f t="shared" ref="R229" si="167">((K229-D229)/D229)</f>
        <v>1.6200887226262624E-2</v>
      </c>
      <c r="S229" s="64">
        <f t="shared" ref="S229" si="168">((N229-G229)/G229)</f>
        <v>1.2490632025979804E-3</v>
      </c>
      <c r="T229" s="64">
        <f t="shared" ref="T229" si="169">((O229-H229)/H229)</f>
        <v>0</v>
      </c>
      <c r="U229" s="64">
        <f t="shared" ref="U229" si="170">P229-I229</f>
        <v>-1.8E-3</v>
      </c>
      <c r="V229" s="65">
        <f t="shared" ref="V229" si="171">Q229-J229</f>
        <v>-1.5000000000000013E-3</v>
      </c>
    </row>
    <row r="230" spans="1:22">
      <c r="A230" s="43"/>
      <c r="B230" s="44"/>
      <c r="C230" s="79" t="s">
        <v>56</v>
      </c>
      <c r="D230" s="67">
        <f>SUM(D206:D229)</f>
        <v>84213244832.69693</v>
      </c>
      <c r="E230" s="47">
        <f>(D230/$D$231)</f>
        <v>1.0453306689113718E-2</v>
      </c>
      <c r="F230" s="48"/>
      <c r="G230" s="82"/>
      <c r="H230" s="92">
        <f>SUM(H206:H229)</f>
        <v>42518</v>
      </c>
      <c r="I230" s="84"/>
      <c r="J230" s="84"/>
      <c r="K230" s="67">
        <f>SUM(K206:K229)</f>
        <v>85523530471.136795</v>
      </c>
      <c r="L230" s="47">
        <f>(K230/$K$231)</f>
        <v>1.0582786067126633E-2</v>
      </c>
      <c r="M230" s="48"/>
      <c r="N230" s="82"/>
      <c r="O230" s="50">
        <f>SUM(O206:O229)</f>
        <v>43064</v>
      </c>
      <c r="P230" s="84"/>
      <c r="Q230" s="84"/>
      <c r="R230" s="64">
        <f t="shared" si="139"/>
        <v>1.5559139670285322E-2</v>
      </c>
      <c r="S230" s="64" t="e">
        <f t="shared" si="140"/>
        <v>#DIV/0!</v>
      </c>
      <c r="T230" s="64">
        <f t="shared" si="141"/>
        <v>1.2841620019756339E-2</v>
      </c>
      <c r="U230" s="64">
        <f t="shared" si="142"/>
        <v>0</v>
      </c>
      <c r="V230" s="65">
        <f t="shared" si="143"/>
        <v>0</v>
      </c>
    </row>
    <row r="231" spans="1:22">
      <c r="A231" s="93"/>
      <c r="B231" s="93"/>
      <c r="C231" s="94" t="s">
        <v>283</v>
      </c>
      <c r="D231" s="95">
        <f>SUM(D26,D72,D114,D156,D165,D197,D202,D230)</f>
        <v>8056134516783.8887</v>
      </c>
      <c r="E231" s="96"/>
      <c r="F231" s="96"/>
      <c r="G231" s="97"/>
      <c r="H231" s="95">
        <f>SUM(H26,H72,H114,H156,H165,H197,H202,H230)</f>
        <v>1153293</v>
      </c>
      <c r="I231" s="107"/>
      <c r="J231" s="107"/>
      <c r="K231" s="95">
        <f>SUM(K26,K72,K114,K156,K165,K197,K202,K230)</f>
        <v>8081381398873.6875</v>
      </c>
      <c r="L231" s="96"/>
      <c r="M231" s="96"/>
      <c r="N231" s="97"/>
      <c r="O231" s="95">
        <f>SUM(O26,O72,O114,O156,O165,O197,O202,O230)</f>
        <v>1169185</v>
      </c>
      <c r="P231" s="108"/>
      <c r="Q231" s="95"/>
      <c r="R231" s="112">
        <f t="shared" si="139"/>
        <v>3.1338704731407223E-3</v>
      </c>
      <c r="S231" s="112"/>
      <c r="T231" s="112"/>
      <c r="U231" s="112"/>
      <c r="V231" s="112"/>
    </row>
    <row r="232" spans="1:22" ht="6.75" customHeight="1">
      <c r="A232" s="43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44"/>
    </row>
    <row r="233" spans="1:22" ht="14.4" customHeight="1">
      <c r="A233" s="183" t="s">
        <v>284</v>
      </c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</row>
    <row r="234" spans="1:22" ht="14.4" customHeight="1">
      <c r="A234" s="153">
        <v>1</v>
      </c>
      <c r="B234" s="149" t="s">
        <v>285</v>
      </c>
      <c r="C234" s="148" t="s">
        <v>24</v>
      </c>
      <c r="D234" s="40">
        <v>1877774895.67311</v>
      </c>
      <c r="E234" s="35">
        <f t="shared" ref="E234:E237" si="172">(D234/$D$230)</f>
        <v>2.2297857058038911E-2</v>
      </c>
      <c r="F234" s="39">
        <v>1477.9229094000002</v>
      </c>
      <c r="G234" s="39">
        <v>1477.9229094000002</v>
      </c>
      <c r="H234" s="36">
        <v>52</v>
      </c>
      <c r="I234" s="58">
        <v>9.0399999999999994E-2</v>
      </c>
      <c r="J234" s="58">
        <v>4.5900000000000003E-2</v>
      </c>
      <c r="K234" s="40">
        <f>1343590.8*W137</f>
        <v>1862960123.2305601</v>
      </c>
      <c r="L234" s="35">
        <f>(K234/$K$239)</f>
        <v>9.6074887635610104E-2</v>
      </c>
      <c r="M234" s="39">
        <f>1.0407*W137</f>
        <v>1442.9859152399999</v>
      </c>
      <c r="N234" s="39">
        <f>1.0407*W137</f>
        <v>1442.9859152399999</v>
      </c>
      <c r="O234" s="36">
        <v>53</v>
      </c>
      <c r="P234" s="58">
        <v>5.5199999999999999E-2</v>
      </c>
      <c r="Q234" s="58">
        <v>4.8099999999999997E-2</v>
      </c>
      <c r="R234" s="64">
        <f t="shared" ref="R234" si="173">((K234-D234)/D234)</f>
        <v>-7.8895358952167788E-3</v>
      </c>
      <c r="S234" s="64">
        <f t="shared" ref="S234" si="174">((N234-G234)/G234)</f>
        <v>-2.3639253399342607E-2</v>
      </c>
      <c r="T234" s="64">
        <f t="shared" ref="T234" si="175">((O234-H234)/H234)</f>
        <v>1.9230769230769232E-2</v>
      </c>
      <c r="U234" s="64">
        <f t="shared" ref="U234" si="176">P234-I234</f>
        <v>-3.5199999999999995E-2</v>
      </c>
      <c r="V234" s="65">
        <f t="shared" ref="V234" si="177">Q234-J234</f>
        <v>2.1999999999999936E-3</v>
      </c>
    </row>
    <row r="235" spans="1:22" ht="14.4" customHeight="1">
      <c r="A235" s="153">
        <v>2</v>
      </c>
      <c r="B235" s="149" t="s">
        <v>286</v>
      </c>
      <c r="C235" s="148" t="s">
        <v>214</v>
      </c>
      <c r="D235" s="40">
        <v>4191991325.02</v>
      </c>
      <c r="E235" s="35">
        <f t="shared" ref="E235" si="178">(D235/$D$230)</f>
        <v>4.9778290022526275E-2</v>
      </c>
      <c r="F235" s="39">
        <v>123.2</v>
      </c>
      <c r="G235" s="39">
        <v>123.2</v>
      </c>
      <c r="H235" s="36">
        <v>9</v>
      </c>
      <c r="I235" s="58">
        <v>5.1999999999999998E-3</v>
      </c>
      <c r="J235" s="58">
        <v>1.9099999999999999E-2</v>
      </c>
      <c r="K235" s="40">
        <v>4196282722.79</v>
      </c>
      <c r="L235" s="35">
        <f>(K235/$K$239)</f>
        <v>0.21640688174268907</v>
      </c>
      <c r="M235" s="39">
        <v>123.2</v>
      </c>
      <c r="N235" s="39">
        <v>123.2</v>
      </c>
      <c r="O235" s="36">
        <v>9</v>
      </c>
      <c r="P235" s="58">
        <v>1E-3</v>
      </c>
      <c r="Q235" s="58">
        <v>2.01E-2</v>
      </c>
      <c r="R235" s="64">
        <f t="shared" ref="R235" si="179">((K235-D235)/D235)</f>
        <v>1.0237134185814439E-3</v>
      </c>
      <c r="S235" s="64">
        <f t="shared" ref="S235" si="180">((N235-G235)/G235)</f>
        <v>0</v>
      </c>
      <c r="T235" s="64">
        <f t="shared" ref="T235" si="181">((O235-H235)/H235)</f>
        <v>0</v>
      </c>
      <c r="U235" s="64">
        <f t="shared" ref="U235" si="182">P235-I235</f>
        <v>-4.1999999999999997E-3</v>
      </c>
      <c r="V235" s="65">
        <f t="shared" ref="V235" si="183">Q235-J235</f>
        <v>1.0000000000000009E-3</v>
      </c>
    </row>
    <row r="236" spans="1:22" ht="14.4" customHeight="1">
      <c r="A236" s="153">
        <v>3</v>
      </c>
      <c r="B236" s="149" t="s">
        <v>287</v>
      </c>
      <c r="C236" s="148" t="s">
        <v>32</v>
      </c>
      <c r="D236" s="40">
        <v>1094564804.3750701</v>
      </c>
      <c r="E236" s="35">
        <f>(D236/$D$230)</f>
        <v>1.2997537460403028E-2</v>
      </c>
      <c r="F236" s="39">
        <v>159080.00535000002</v>
      </c>
      <c r="G236" s="39">
        <v>159080.00535000002</v>
      </c>
      <c r="H236" s="36">
        <v>10</v>
      </c>
      <c r="I236" s="58">
        <v>3.8E-3</v>
      </c>
      <c r="J236" s="58">
        <v>1E-3</v>
      </c>
      <c r="K236" s="40">
        <f>825607.85*W137</f>
        <v>1144749206.3626201</v>
      </c>
      <c r="L236" s="35">
        <f>(K236/$K$239)</f>
        <v>5.9035966471211059E-2</v>
      </c>
      <c r="M236" s="39">
        <f>111.97*W137</f>
        <v>155252.36180400001</v>
      </c>
      <c r="N236" s="39">
        <f>111.97*W137</f>
        <v>155252.36180400001</v>
      </c>
      <c r="O236" s="36">
        <v>7</v>
      </c>
      <c r="P236" s="58">
        <v>5.9999999999999995E-4</v>
      </c>
      <c r="Q236" s="58">
        <v>1.6000000000000001E-3</v>
      </c>
      <c r="R236" s="64">
        <f t="shared" ref="R236:R237" si="184">((K236-D236)/D236)</f>
        <v>4.5848726166745568E-2</v>
      </c>
      <c r="S236" s="64">
        <f t="shared" ref="S236:S237" si="185">((N236-G236)/G236)</f>
        <v>-2.4061122814137536E-2</v>
      </c>
      <c r="T236" s="64">
        <f t="shared" ref="T236:T237" si="186">((O236-H236)/H236)</f>
        <v>-0.3</v>
      </c>
      <c r="U236" s="64">
        <f t="shared" ref="U236:U237" si="187">P236-I236</f>
        <v>-3.2000000000000002E-3</v>
      </c>
      <c r="V236" s="65">
        <f t="shared" ref="V236:V237" si="188">Q236-J236</f>
        <v>6.0000000000000006E-4</v>
      </c>
    </row>
    <row r="237" spans="1:22" ht="14.4" customHeight="1">
      <c r="A237" s="153">
        <v>4</v>
      </c>
      <c r="B237" s="149" t="s">
        <v>288</v>
      </c>
      <c r="C237" s="148" t="s">
        <v>42</v>
      </c>
      <c r="D237" s="40">
        <v>11956154704.129999</v>
      </c>
      <c r="E237" s="35">
        <f t="shared" si="172"/>
        <v>0.14197475382741528</v>
      </c>
      <c r="F237" s="39">
        <v>1.1499999999999999</v>
      </c>
      <c r="G237" s="39">
        <v>1.1499999999999999</v>
      </c>
      <c r="H237" s="36">
        <v>16</v>
      </c>
      <c r="I237" s="58">
        <v>-8.0399999999999999E-2</v>
      </c>
      <c r="J237" s="58">
        <v>-1.6435</v>
      </c>
      <c r="K237" s="40">
        <v>12000214897.4</v>
      </c>
      <c r="L237" s="35">
        <f>(K237/$K$239)</f>
        <v>0.61886418474250615</v>
      </c>
      <c r="M237" s="39">
        <v>1.3</v>
      </c>
      <c r="N237" s="39">
        <v>1.3</v>
      </c>
      <c r="O237" s="36">
        <v>16</v>
      </c>
      <c r="P237" s="58">
        <v>0.13139999999999999</v>
      </c>
      <c r="Q237" s="58">
        <v>0.17349999999999999</v>
      </c>
      <c r="R237" s="64">
        <f t="shared" si="184"/>
        <v>3.6851474709323393E-3</v>
      </c>
      <c r="S237" s="64">
        <f t="shared" si="185"/>
        <v>0.13043478260869579</v>
      </c>
      <c r="T237" s="64">
        <f t="shared" si="186"/>
        <v>0</v>
      </c>
      <c r="U237" s="64">
        <f t="shared" si="187"/>
        <v>0.21179999999999999</v>
      </c>
      <c r="V237" s="65">
        <f t="shared" si="188"/>
        <v>1.8169999999999999</v>
      </c>
    </row>
    <row r="238" spans="1:22" ht="14.4" customHeight="1">
      <c r="A238" s="153">
        <v>5</v>
      </c>
      <c r="B238" s="149" t="s">
        <v>289</v>
      </c>
      <c r="C238" s="148" t="s">
        <v>53</v>
      </c>
      <c r="D238" s="40">
        <v>190709102.93000001</v>
      </c>
      <c r="E238" s="35">
        <f t="shared" ref="E238" si="189">(D238/$D$230)</f>
        <v>2.2645974906782673E-3</v>
      </c>
      <c r="F238" s="39">
        <v>1.1847000000000001</v>
      </c>
      <c r="G238" s="39">
        <v>1.1847000000000001</v>
      </c>
      <c r="H238" s="36">
        <v>20</v>
      </c>
      <c r="I238" s="58">
        <v>-6.4000000000000003E-3</v>
      </c>
      <c r="J238" s="58">
        <v>6.2399999999999997E-2</v>
      </c>
      <c r="K238" s="40">
        <v>186501372.41999999</v>
      </c>
      <c r="L238" s="35">
        <f>(K238/$K$239)</f>
        <v>9.618079407983671E-3</v>
      </c>
      <c r="M238" s="39">
        <v>1.1895</v>
      </c>
      <c r="N238" s="39">
        <v>1.1895</v>
      </c>
      <c r="O238" s="36">
        <v>20</v>
      </c>
      <c r="P238" s="58">
        <v>3.8E-3</v>
      </c>
      <c r="Q238" s="58">
        <v>6.6699999999999995E-2</v>
      </c>
      <c r="R238" s="64">
        <f t="shared" ref="R238:R239" si="190">((K238-D238)/D238)</f>
        <v>-2.2063606012265039E-2</v>
      </c>
      <c r="S238" s="64">
        <f t="shared" ref="S238" si="191">((N238-G238)/G238)</f>
        <v>4.0516586477588549E-3</v>
      </c>
      <c r="T238" s="64">
        <f t="shared" ref="T238" si="192">((O238-H238)/H238)</f>
        <v>0</v>
      </c>
      <c r="U238" s="64">
        <f t="shared" ref="U238" si="193">P238-I238</f>
        <v>1.0200000000000001E-2</v>
      </c>
      <c r="V238" s="65">
        <f t="shared" ref="V238" si="194">Q238-J238</f>
        <v>4.2999999999999983E-3</v>
      </c>
    </row>
    <row r="239" spans="1:22" ht="14.4" customHeight="1">
      <c r="A239" s="98"/>
      <c r="B239" s="98"/>
      <c r="C239" s="98" t="s">
        <v>56</v>
      </c>
      <c r="D239" s="98">
        <f>SUM(D234:D238)</f>
        <v>19311194832.128181</v>
      </c>
      <c r="E239" s="98"/>
      <c r="F239" s="98"/>
      <c r="G239" s="98"/>
      <c r="H239" s="98">
        <f>SUM(H234:H238)</f>
        <v>107</v>
      </c>
      <c r="I239" s="98"/>
      <c r="J239" s="98"/>
      <c r="K239" s="98">
        <f>SUM(K234:K238)</f>
        <v>19390708322.203178</v>
      </c>
      <c r="L239" s="47"/>
      <c r="M239" s="98"/>
      <c r="N239" s="98"/>
      <c r="O239" s="98">
        <f>SUM(O234:O238)</f>
        <v>105</v>
      </c>
      <c r="P239" s="98"/>
      <c r="Q239" s="98"/>
      <c r="R239" s="112">
        <f t="shared" si="190"/>
        <v>4.1174816351968934E-3</v>
      </c>
      <c r="S239" s="98"/>
      <c r="T239" s="98"/>
      <c r="U239" s="98"/>
      <c r="V239" s="98"/>
    </row>
    <row r="240" spans="1:22" ht="6" customHeight="1">
      <c r="A240" s="43"/>
      <c r="B240" s="51"/>
      <c r="C240" s="79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44"/>
    </row>
    <row r="241" spans="1:22" ht="15.6">
      <c r="A241" s="183" t="s">
        <v>290</v>
      </c>
      <c r="B241" s="183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</row>
    <row r="242" spans="1:22">
      <c r="A242" s="153">
        <v>1</v>
      </c>
      <c r="B242" s="149" t="s">
        <v>291</v>
      </c>
      <c r="C242" s="148" t="s">
        <v>292</v>
      </c>
      <c r="D242" s="40">
        <v>130673357691</v>
      </c>
      <c r="E242" s="35">
        <f>(D242/$D$244)</f>
        <v>0.89436273172779701</v>
      </c>
      <c r="F242" s="68">
        <v>108.35</v>
      </c>
      <c r="G242" s="68">
        <v>108.35</v>
      </c>
      <c r="H242" s="36">
        <v>0</v>
      </c>
      <c r="I242" s="58">
        <v>0.20979999999999999</v>
      </c>
      <c r="J242" s="58">
        <v>0.20979999999999999</v>
      </c>
      <c r="K242" s="40">
        <v>130673357691</v>
      </c>
      <c r="L242" s="35">
        <f>(K242/$K$244)</f>
        <v>0.89436273172779701</v>
      </c>
      <c r="M242" s="68">
        <v>108.35</v>
      </c>
      <c r="N242" s="68">
        <v>108.35</v>
      </c>
      <c r="O242" s="36">
        <v>0</v>
      </c>
      <c r="P242" s="58">
        <v>0.20979999999999999</v>
      </c>
      <c r="Q242" s="58">
        <v>0.20979999999999999</v>
      </c>
      <c r="R242" s="64">
        <f>((K242-D242)/D242)</f>
        <v>0</v>
      </c>
      <c r="S242" s="64">
        <f>((N242-G242)/G242)</f>
        <v>0</v>
      </c>
      <c r="T242" s="64" t="e">
        <f>((O242-H242)/H242)</f>
        <v>#DIV/0!</v>
      </c>
      <c r="U242" s="64">
        <f>P242-I242</f>
        <v>0</v>
      </c>
      <c r="V242" s="65">
        <f>Q242-J242</f>
        <v>0</v>
      </c>
    </row>
    <row r="243" spans="1:22" ht="14.4" customHeight="1">
      <c r="A243" s="153">
        <v>2</v>
      </c>
      <c r="B243" s="149" t="s">
        <v>293</v>
      </c>
      <c r="C243" s="148" t="s">
        <v>53</v>
      </c>
      <c r="D243" s="40">
        <v>15434427277.360001</v>
      </c>
      <c r="E243" s="35">
        <f>(D243/$D$244)</f>
        <v>0.10563726827220306</v>
      </c>
      <c r="F243" s="99">
        <v>1000000</v>
      </c>
      <c r="G243" s="99">
        <v>1000000</v>
      </c>
      <c r="H243" s="36">
        <v>26</v>
      </c>
      <c r="I243" s="58">
        <v>0.2031</v>
      </c>
      <c r="J243" s="58">
        <v>0.2031</v>
      </c>
      <c r="K243" s="40">
        <v>15434427277.360001</v>
      </c>
      <c r="L243" s="35">
        <f>(K243/$K$244)</f>
        <v>0.10563726827220306</v>
      </c>
      <c r="M243" s="99">
        <v>1000000</v>
      </c>
      <c r="N243" s="99">
        <v>1000000</v>
      </c>
      <c r="O243" s="36">
        <v>26</v>
      </c>
      <c r="P243" s="58">
        <v>0.2031</v>
      </c>
      <c r="Q243" s="58">
        <v>0.2031</v>
      </c>
      <c r="R243" s="64">
        <f>((K243-D243)/D243)</f>
        <v>0</v>
      </c>
      <c r="S243" s="64">
        <f>((N243-G243)/G243)</f>
        <v>0</v>
      </c>
      <c r="T243" s="64">
        <f>((O243-H243)/H243)</f>
        <v>0</v>
      </c>
      <c r="U243" s="64">
        <f>P243-I243</f>
        <v>0</v>
      </c>
      <c r="V243" s="65">
        <f>Q243-J243</f>
        <v>0</v>
      </c>
    </row>
    <row r="244" spans="1:22" ht="15" customHeight="1">
      <c r="A244" s="93"/>
      <c r="B244" s="93"/>
      <c r="C244" s="94" t="s">
        <v>294</v>
      </c>
      <c r="D244" s="98">
        <f>SUM(D242:D243)</f>
        <v>146107784968.35999</v>
      </c>
      <c r="E244" s="100"/>
      <c r="F244" s="101"/>
      <c r="G244" s="101"/>
      <c r="H244" s="98">
        <f>SUM(H242:H243)</f>
        <v>26</v>
      </c>
      <c r="I244" s="109"/>
      <c r="J244" s="109"/>
      <c r="K244" s="98">
        <f>SUM(K242:K243)</f>
        <v>146107784968.35999</v>
      </c>
      <c r="L244" s="100"/>
      <c r="M244" s="101"/>
      <c r="N244" s="101"/>
      <c r="O244" s="98">
        <f>SUM(O242:O243)</f>
        <v>26</v>
      </c>
      <c r="P244" s="109"/>
      <c r="Q244" s="98"/>
      <c r="R244" s="112">
        <f>((K244-D244)/D244)</f>
        <v>0</v>
      </c>
      <c r="S244" s="113"/>
      <c r="T244" s="113"/>
      <c r="U244" s="112"/>
      <c r="V244" s="114"/>
    </row>
    <row r="245" spans="1:22" ht="4.5" customHeight="1">
      <c r="A245" s="43"/>
      <c r="B245" s="184"/>
      <c r="C245" s="184"/>
      <c r="D245" s="184"/>
      <c r="E245" s="184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</row>
    <row r="246" spans="1:22" ht="15.6">
      <c r="A246" s="183" t="s">
        <v>295</v>
      </c>
      <c r="B246" s="18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</row>
    <row r="247" spans="1:22">
      <c r="A247" s="153">
        <v>1</v>
      </c>
      <c r="B247" s="149" t="s">
        <v>296</v>
      </c>
      <c r="C247" s="148" t="s">
        <v>94</v>
      </c>
      <c r="D247" s="102">
        <v>1561841348.48</v>
      </c>
      <c r="E247" s="103">
        <f t="shared" ref="E247:E258" si="195">(D247/$D$259)</f>
        <v>8.0309639226002011E-2</v>
      </c>
      <c r="F247" s="99">
        <v>381.62411691</v>
      </c>
      <c r="G247" s="99">
        <v>381.62411691</v>
      </c>
      <c r="H247" s="104">
        <v>266</v>
      </c>
      <c r="I247" s="60">
        <v>-3.2000000000000002E-3</v>
      </c>
      <c r="J247" s="60">
        <v>8.1100000000000005E-2</v>
      </c>
      <c r="K247" s="102">
        <v>1552447165.5599999</v>
      </c>
      <c r="L247" s="103">
        <f t="shared" ref="L247:L258" si="196">(K247/$K$259)</f>
        <v>7.9040591567737878E-2</v>
      </c>
      <c r="M247" s="99">
        <v>379.32871939</v>
      </c>
      <c r="N247" s="99">
        <v>379.32871939</v>
      </c>
      <c r="O247" s="104">
        <v>266</v>
      </c>
      <c r="P247" s="60">
        <v>-5.8999999999999999E-3</v>
      </c>
      <c r="Q247" s="60">
        <v>7.46E-2</v>
      </c>
      <c r="R247" s="64">
        <f>((K247-D247)/D247)</f>
        <v>-6.0148125346678721E-3</v>
      </c>
      <c r="S247" s="64">
        <f>((N247-G247)/G247)</f>
        <v>-6.0148125296319455E-3</v>
      </c>
      <c r="T247" s="64">
        <f>((O247-H247)/H247)</f>
        <v>0</v>
      </c>
      <c r="U247" s="64">
        <f>P247-I247</f>
        <v>-2.6999999999999997E-3</v>
      </c>
      <c r="V247" s="65">
        <f>Q247-J247</f>
        <v>-6.5000000000000058E-3</v>
      </c>
    </row>
    <row r="248" spans="1:22">
      <c r="A248" s="153">
        <v>2</v>
      </c>
      <c r="B248" s="149" t="s">
        <v>297</v>
      </c>
      <c r="C248" s="148" t="s">
        <v>258</v>
      </c>
      <c r="D248" s="102">
        <v>2238878609.8099999</v>
      </c>
      <c r="E248" s="103">
        <f t="shared" si="195"/>
        <v>0.11512278990413505</v>
      </c>
      <c r="F248" s="99">
        <v>63.68</v>
      </c>
      <c r="G248" s="99">
        <v>70.38</v>
      </c>
      <c r="H248" s="104">
        <v>615</v>
      </c>
      <c r="I248" s="60">
        <v>1.9E-3</v>
      </c>
      <c r="J248" s="60">
        <v>8.5999999999999993E-2</v>
      </c>
      <c r="K248" s="102">
        <v>2348715414.8299999</v>
      </c>
      <c r="L248" s="103">
        <f t="shared" si="196"/>
        <v>0.11958143241896574</v>
      </c>
      <c r="M248" s="99">
        <v>66.8</v>
      </c>
      <c r="N248" s="99">
        <v>73.84</v>
      </c>
      <c r="O248" s="104">
        <v>615</v>
      </c>
      <c r="P248" s="60">
        <v>4.9099999999999998E-2</v>
      </c>
      <c r="Q248" s="60">
        <v>0.13930000000000001</v>
      </c>
      <c r="R248" s="64">
        <f t="shared" ref="R248:R259" si="197">((K248-D248)/D248)</f>
        <v>4.9058847826198654E-2</v>
      </c>
      <c r="S248" s="64">
        <f t="shared" ref="S248:S259" si="198">((N248-G248)/G248)</f>
        <v>4.9161693662972551E-2</v>
      </c>
      <c r="T248" s="64">
        <f t="shared" ref="T248:T259" si="199">((O248-H248)/H248)</f>
        <v>0</v>
      </c>
      <c r="U248" s="64">
        <f t="shared" ref="U248:U259" si="200">P248-I248</f>
        <v>4.7199999999999999E-2</v>
      </c>
      <c r="V248" s="65">
        <f t="shared" ref="V248:V259" si="201">Q248-J248</f>
        <v>5.3300000000000014E-2</v>
      </c>
    </row>
    <row r="249" spans="1:22">
      <c r="A249" s="153">
        <v>3</v>
      </c>
      <c r="B249" s="149" t="s">
        <v>298</v>
      </c>
      <c r="C249" s="148" t="s">
        <v>44</v>
      </c>
      <c r="D249" s="102">
        <v>531275294.99000001</v>
      </c>
      <c r="E249" s="103">
        <f t="shared" si="195"/>
        <v>2.7318093039256638E-2</v>
      </c>
      <c r="F249" s="99">
        <v>44.26</v>
      </c>
      <c r="G249" s="99">
        <v>44.37</v>
      </c>
      <c r="H249" s="104">
        <v>218</v>
      </c>
      <c r="I249" s="60">
        <v>-2.0999999999999999E-3</v>
      </c>
      <c r="J249" s="60">
        <v>0.12039999999999999</v>
      </c>
      <c r="K249" s="102">
        <v>531114577.01999998</v>
      </c>
      <c r="L249" s="103">
        <f t="shared" si="196"/>
        <v>2.7040926924406322E-2</v>
      </c>
      <c r="M249" s="99">
        <v>44.250329000000001</v>
      </c>
      <c r="N249" s="99">
        <v>44.365367999999997</v>
      </c>
      <c r="O249" s="104">
        <v>218</v>
      </c>
      <c r="P249" s="60">
        <v>-2.9999999999999997E-4</v>
      </c>
      <c r="Q249" s="60">
        <v>9.4500000000000001E-2</v>
      </c>
      <c r="R249" s="64">
        <f t="shared" si="197"/>
        <v>-3.0251353961989469E-4</v>
      </c>
      <c r="S249" s="64">
        <f t="shared" si="198"/>
        <v>-1.0439486139285233E-4</v>
      </c>
      <c r="T249" s="64">
        <f t="shared" si="199"/>
        <v>0</v>
      </c>
      <c r="U249" s="64">
        <f t="shared" si="200"/>
        <v>1.8E-3</v>
      </c>
      <c r="V249" s="65">
        <f t="shared" si="201"/>
        <v>-2.5899999999999992E-2</v>
      </c>
    </row>
    <row r="250" spans="1:22">
      <c r="A250" s="153">
        <v>4</v>
      </c>
      <c r="B250" s="149" t="s">
        <v>299</v>
      </c>
      <c r="C250" s="148" t="s">
        <v>44</v>
      </c>
      <c r="D250" s="102">
        <v>1028419639.34</v>
      </c>
      <c r="E250" s="103">
        <f t="shared" si="195"/>
        <v>5.2881177904983687E-2</v>
      </c>
      <c r="F250" s="99">
        <v>87.33</v>
      </c>
      <c r="G250" s="99">
        <v>87.54</v>
      </c>
      <c r="H250" s="104">
        <v>261</v>
      </c>
      <c r="I250" s="60">
        <v>3.2000000000000002E-3</v>
      </c>
      <c r="J250" s="60">
        <v>4.8300000000000003E-2</v>
      </c>
      <c r="K250" s="102">
        <v>1032995784.79</v>
      </c>
      <c r="L250" s="103">
        <f t="shared" si="196"/>
        <v>5.2593479332566459E-2</v>
      </c>
      <c r="M250" s="99">
        <v>87.719684999999998</v>
      </c>
      <c r="N250" s="99">
        <v>87.950929000000002</v>
      </c>
      <c r="O250" s="104">
        <v>261</v>
      </c>
      <c r="P250" s="60">
        <v>4.4000000000000003E-3</v>
      </c>
      <c r="Q250" s="60">
        <v>5.2999999999999999E-2</v>
      </c>
      <c r="R250" s="64">
        <f t="shared" si="197"/>
        <v>4.4496869516579066E-3</v>
      </c>
      <c r="S250" s="64">
        <f t="shared" si="198"/>
        <v>4.6941855151930072E-3</v>
      </c>
      <c r="T250" s="64">
        <f t="shared" si="199"/>
        <v>0</v>
      </c>
      <c r="U250" s="64">
        <f t="shared" si="200"/>
        <v>1.2000000000000001E-3</v>
      </c>
      <c r="V250" s="65">
        <f t="shared" si="201"/>
        <v>4.6999999999999958E-3</v>
      </c>
    </row>
    <row r="251" spans="1:22">
      <c r="A251" s="153">
        <v>5</v>
      </c>
      <c r="B251" s="149" t="s">
        <v>300</v>
      </c>
      <c r="C251" s="148" t="s">
        <v>301</v>
      </c>
      <c r="D251" s="102">
        <v>2191192552.48</v>
      </c>
      <c r="E251" s="103">
        <f t="shared" si="195"/>
        <v>0.1126707802528284</v>
      </c>
      <c r="F251" s="99">
        <v>62090</v>
      </c>
      <c r="G251" s="99">
        <v>69850</v>
      </c>
      <c r="H251" s="104">
        <v>326</v>
      </c>
      <c r="I251" s="60">
        <v>7.3999999999999996E-2</v>
      </c>
      <c r="J251" s="60">
        <v>0.11</v>
      </c>
      <c r="K251" s="102">
        <v>2155963083.5900002</v>
      </c>
      <c r="L251" s="103">
        <f t="shared" si="196"/>
        <v>0.10976772756301049</v>
      </c>
      <c r="M251" s="99">
        <v>57200</v>
      </c>
      <c r="N251" s="99">
        <v>63860</v>
      </c>
      <c r="O251" s="104">
        <v>326</v>
      </c>
      <c r="P251" s="60">
        <v>-1.6E-2</v>
      </c>
      <c r="Q251" s="60">
        <v>0.1</v>
      </c>
      <c r="R251" s="64">
        <f t="shared" si="197"/>
        <v>-1.607776041869393E-2</v>
      </c>
      <c r="S251" s="64">
        <f t="shared" si="198"/>
        <v>-8.5755189692197573E-2</v>
      </c>
      <c r="T251" s="64">
        <f t="shared" si="199"/>
        <v>0</v>
      </c>
      <c r="U251" s="64">
        <f t="shared" si="200"/>
        <v>-0.09</v>
      </c>
      <c r="V251" s="65">
        <f t="shared" si="201"/>
        <v>-9.999999999999995E-3</v>
      </c>
    </row>
    <row r="252" spans="1:22">
      <c r="A252" s="153">
        <v>6</v>
      </c>
      <c r="B252" s="149" t="s">
        <v>302</v>
      </c>
      <c r="C252" s="148" t="s">
        <v>303</v>
      </c>
      <c r="D252" s="102">
        <v>1014315136.62</v>
      </c>
      <c r="E252" s="103">
        <f t="shared" si="195"/>
        <v>5.2155926568791471E-2</v>
      </c>
      <c r="F252" s="99">
        <v>5439.5</v>
      </c>
      <c r="G252" s="99">
        <v>5439.5</v>
      </c>
      <c r="H252" s="104">
        <v>214</v>
      </c>
      <c r="I252" s="60">
        <v>0</v>
      </c>
      <c r="J252" s="60">
        <v>7.2900000000000006E-2</v>
      </c>
      <c r="K252" s="102">
        <v>1012579387.76</v>
      </c>
      <c r="L252" s="103">
        <f t="shared" si="196"/>
        <v>5.1554008144926465E-2</v>
      </c>
      <c r="M252" s="99">
        <v>7500</v>
      </c>
      <c r="N252" s="99">
        <v>7500</v>
      </c>
      <c r="O252" s="104">
        <v>214</v>
      </c>
      <c r="P252" s="60">
        <v>-1.6999999999999999E-3</v>
      </c>
      <c r="Q252" s="60">
        <v>7.1099999999999997E-2</v>
      </c>
      <c r="R252" s="64">
        <f t="shared" si="197"/>
        <v>-1.7112520530690751E-3</v>
      </c>
      <c r="S252" s="64">
        <f t="shared" si="198"/>
        <v>0.37880319882342128</v>
      </c>
      <c r="T252" s="64">
        <f t="shared" si="199"/>
        <v>0</v>
      </c>
      <c r="U252" s="64">
        <f t="shared" si="200"/>
        <v>-1.6999999999999999E-3</v>
      </c>
      <c r="V252" s="65">
        <f t="shared" si="201"/>
        <v>-1.8000000000000099E-3</v>
      </c>
    </row>
    <row r="253" spans="1:22">
      <c r="A253" s="153">
        <v>7</v>
      </c>
      <c r="B253" s="149" t="s">
        <v>304</v>
      </c>
      <c r="C253" s="148" t="s">
        <v>303</v>
      </c>
      <c r="D253" s="102">
        <v>1116261515.4000001</v>
      </c>
      <c r="E253" s="103">
        <f t="shared" si="195"/>
        <v>5.7397993509961331E-2</v>
      </c>
      <c r="F253" s="99">
        <v>2605.81</v>
      </c>
      <c r="G253" s="99">
        <v>2605.81</v>
      </c>
      <c r="H253" s="104">
        <v>2463</v>
      </c>
      <c r="I253" s="60">
        <v>-6.4000000000000003E-3</v>
      </c>
      <c r="J253" s="60">
        <v>4.7100000000000003E-2</v>
      </c>
      <c r="K253" s="102">
        <v>1115331559.5599999</v>
      </c>
      <c r="L253" s="103">
        <f t="shared" si="196"/>
        <v>5.6785485662560503E-2</v>
      </c>
      <c r="M253" s="99">
        <v>3267.42</v>
      </c>
      <c r="N253" s="99">
        <v>3267.42</v>
      </c>
      <c r="O253" s="104">
        <v>2463</v>
      </c>
      <c r="P253" s="60">
        <v>-8.0000000000000004E-4</v>
      </c>
      <c r="Q253" s="60">
        <v>4.6199999999999998E-2</v>
      </c>
      <c r="R253" s="64">
        <f t="shared" si="197"/>
        <v>-8.3309854113076097E-4</v>
      </c>
      <c r="S253" s="64">
        <f t="shared" si="198"/>
        <v>0.25389802019333724</v>
      </c>
      <c r="T253" s="64">
        <f t="shared" si="199"/>
        <v>0</v>
      </c>
      <c r="U253" s="64">
        <f t="shared" si="200"/>
        <v>5.5999999999999999E-3</v>
      </c>
      <c r="V253" s="65">
        <f t="shared" si="201"/>
        <v>-9.0000000000000496E-4</v>
      </c>
    </row>
    <row r="254" spans="1:22">
      <c r="A254" s="153">
        <v>8</v>
      </c>
      <c r="B254" s="149" t="s">
        <v>305</v>
      </c>
      <c r="C254" s="148" t="s">
        <v>306</v>
      </c>
      <c r="D254" s="102">
        <v>184240981.18000001</v>
      </c>
      <c r="E254" s="103">
        <f t="shared" si="195"/>
        <v>9.4736425973165339E-3</v>
      </c>
      <c r="F254" s="99">
        <v>40.700000000000003</v>
      </c>
      <c r="G254" s="99">
        <v>40.799999999999997</v>
      </c>
      <c r="H254" s="104">
        <v>570</v>
      </c>
      <c r="I254" s="60">
        <v>1.1900000000000001E-2</v>
      </c>
      <c r="J254" s="60">
        <v>8.9700000000000002E-2</v>
      </c>
      <c r="K254" s="102">
        <v>185718806.99000001</v>
      </c>
      <c r="L254" s="103">
        <f t="shared" si="196"/>
        <v>9.4556031892067613E-3</v>
      </c>
      <c r="M254" s="99">
        <v>40.98</v>
      </c>
      <c r="N254" s="99">
        <v>41.08</v>
      </c>
      <c r="O254" s="104">
        <v>466</v>
      </c>
      <c r="P254" s="60">
        <v>0.3322</v>
      </c>
      <c r="Q254" s="60">
        <v>0.45179999999999998</v>
      </c>
      <c r="R254" s="64">
        <f t="shared" si="197"/>
        <v>8.0211568595381835E-3</v>
      </c>
      <c r="S254" s="64">
        <f t="shared" si="198"/>
        <v>6.8627450980392442E-3</v>
      </c>
      <c r="T254" s="64">
        <f t="shared" si="199"/>
        <v>-0.18245614035087721</v>
      </c>
      <c r="U254" s="64">
        <f t="shared" si="200"/>
        <v>0.32029999999999997</v>
      </c>
      <c r="V254" s="65">
        <f t="shared" si="201"/>
        <v>0.36209999999999998</v>
      </c>
    </row>
    <row r="255" spans="1:22">
      <c r="A255" s="153">
        <v>9</v>
      </c>
      <c r="B255" s="149" t="s">
        <v>307</v>
      </c>
      <c r="C255" s="148" t="s">
        <v>306</v>
      </c>
      <c r="D255" s="105">
        <v>994250865.88</v>
      </c>
      <c r="E255" s="103">
        <f t="shared" si="195"/>
        <v>5.1124224887932265E-2</v>
      </c>
      <c r="F255" s="99">
        <v>16.27</v>
      </c>
      <c r="G255" s="99">
        <v>16.37</v>
      </c>
      <c r="H255" s="104">
        <v>719</v>
      </c>
      <c r="I255" s="60">
        <v>0.24940000000000001</v>
      </c>
      <c r="J255" s="60">
        <v>1.0407</v>
      </c>
      <c r="K255" s="105">
        <v>1020001203.63</v>
      </c>
      <c r="L255" s="103">
        <f t="shared" si="196"/>
        <v>5.1931879115279272E-2</v>
      </c>
      <c r="M255" s="99">
        <v>16.170000000000002</v>
      </c>
      <c r="N255" s="99">
        <v>16.27</v>
      </c>
      <c r="O255" s="104">
        <v>571</v>
      </c>
      <c r="P255" s="60">
        <v>-0.1166</v>
      </c>
      <c r="Q255" s="60">
        <v>0.80269999999999997</v>
      </c>
      <c r="R255" s="64">
        <f t="shared" si="197"/>
        <v>2.5899235930972684E-2</v>
      </c>
      <c r="S255" s="64">
        <f t="shared" si="198"/>
        <v>-6.1087354917532932E-3</v>
      </c>
      <c r="T255" s="64">
        <f t="shared" si="199"/>
        <v>-0.20584144645340752</v>
      </c>
      <c r="U255" s="64">
        <f t="shared" si="200"/>
        <v>-0.36599999999999999</v>
      </c>
      <c r="V255" s="65">
        <f t="shared" si="201"/>
        <v>-0.23799999999999999</v>
      </c>
    </row>
    <row r="256" spans="1:22" ht="15" customHeight="1">
      <c r="A256" s="153">
        <v>10</v>
      </c>
      <c r="B256" s="149" t="s">
        <v>308</v>
      </c>
      <c r="C256" s="148" t="s">
        <v>306</v>
      </c>
      <c r="D256" s="102">
        <v>150522132.28999999</v>
      </c>
      <c r="E256" s="103">
        <f t="shared" si="195"/>
        <v>7.7398246316778456E-3</v>
      </c>
      <c r="F256" s="99">
        <v>145.69</v>
      </c>
      <c r="G256" s="99">
        <v>147.69</v>
      </c>
      <c r="H256" s="104">
        <v>506</v>
      </c>
      <c r="I256" s="60">
        <v>4</v>
      </c>
      <c r="J256" s="60">
        <v>5.4203000000000001</v>
      </c>
      <c r="K256" s="102">
        <v>187707903.80000001</v>
      </c>
      <c r="L256" s="103">
        <f t="shared" si="196"/>
        <v>9.5568751629239394E-3</v>
      </c>
      <c r="M256" s="99">
        <v>146.1</v>
      </c>
      <c r="N256" s="99">
        <v>148.1</v>
      </c>
      <c r="O256" s="104">
        <v>506</v>
      </c>
      <c r="P256" s="60">
        <v>-0.56810000000000005</v>
      </c>
      <c r="Q256" s="60">
        <v>1.7726999999999999</v>
      </c>
      <c r="R256" s="64">
        <f t="shared" si="197"/>
        <v>0.24704520819806691</v>
      </c>
      <c r="S256" s="64">
        <f t="shared" si="198"/>
        <v>2.7760850429954403E-3</v>
      </c>
      <c r="T256" s="64">
        <f t="shared" si="199"/>
        <v>0</v>
      </c>
      <c r="U256" s="64">
        <f t="shared" si="200"/>
        <v>-4.5681000000000003</v>
      </c>
      <c r="V256" s="65">
        <f t="shared" si="201"/>
        <v>-3.6476000000000002</v>
      </c>
    </row>
    <row r="257" spans="1:26">
      <c r="A257" s="153">
        <v>11</v>
      </c>
      <c r="B257" s="149" t="s">
        <v>309</v>
      </c>
      <c r="C257" s="148" t="s">
        <v>306</v>
      </c>
      <c r="D257" s="102">
        <v>8332129321.0900002</v>
      </c>
      <c r="E257" s="103">
        <f t="shared" si="195"/>
        <v>0.4284367937962168</v>
      </c>
      <c r="F257" s="99">
        <v>60.11</v>
      </c>
      <c r="G257" s="99">
        <v>60.31</v>
      </c>
      <c r="H257" s="104">
        <v>1293</v>
      </c>
      <c r="I257" s="60">
        <v>3.0000000000000001E-3</v>
      </c>
      <c r="J257" s="60">
        <v>0.55989999999999995</v>
      </c>
      <c r="K257" s="102">
        <v>8394166626.4200001</v>
      </c>
      <c r="L257" s="103">
        <f t="shared" si="196"/>
        <v>0.42737679618943319</v>
      </c>
      <c r="M257" s="99">
        <v>60.03</v>
      </c>
      <c r="N257" s="99">
        <v>60.23</v>
      </c>
      <c r="O257" s="104">
        <v>1017</v>
      </c>
      <c r="P257" s="60">
        <v>-0.124</v>
      </c>
      <c r="Q257" s="60">
        <v>0.3664</v>
      </c>
      <c r="R257" s="64">
        <f t="shared" si="197"/>
        <v>7.4455523839474288E-3</v>
      </c>
      <c r="S257" s="64">
        <f t="shared" si="198"/>
        <v>-1.3264798540873056E-3</v>
      </c>
      <c r="T257" s="64">
        <f t="shared" si="199"/>
        <v>-0.21345707656612528</v>
      </c>
      <c r="U257" s="64">
        <f t="shared" si="200"/>
        <v>-0.127</v>
      </c>
      <c r="V257" s="65">
        <f t="shared" si="201"/>
        <v>-0.19349999999999995</v>
      </c>
    </row>
    <row r="258" spans="1:26">
      <c r="A258" s="153">
        <v>12</v>
      </c>
      <c r="B258" s="149" t="s">
        <v>310</v>
      </c>
      <c r="C258" s="148" t="s">
        <v>306</v>
      </c>
      <c r="D258" s="105">
        <v>104417151.31999999</v>
      </c>
      <c r="E258" s="103">
        <f t="shared" si="195"/>
        <v>5.3691136808979422E-3</v>
      </c>
      <c r="F258" s="99">
        <v>59.71</v>
      </c>
      <c r="G258" s="99">
        <v>59.91</v>
      </c>
      <c r="H258" s="104">
        <v>696</v>
      </c>
      <c r="I258" s="60">
        <v>0.33150000000000002</v>
      </c>
      <c r="J258" s="60">
        <v>0.63329999999999997</v>
      </c>
      <c r="K258" s="105">
        <v>104396473.09999999</v>
      </c>
      <c r="L258" s="103">
        <f t="shared" si="196"/>
        <v>5.3151947289832085E-3</v>
      </c>
      <c r="M258" s="99">
        <v>59.76</v>
      </c>
      <c r="N258" s="99">
        <v>59.96</v>
      </c>
      <c r="O258" s="104">
        <v>583</v>
      </c>
      <c r="P258" s="60">
        <v>0.46400000000000002</v>
      </c>
      <c r="Q258" s="60">
        <v>1.3912</v>
      </c>
      <c r="R258" s="64">
        <f t="shared" si="197"/>
        <v>-1.9803470731190225E-4</v>
      </c>
      <c r="S258" s="64">
        <f t="shared" si="198"/>
        <v>8.345852111501296E-4</v>
      </c>
      <c r="T258" s="64">
        <f t="shared" si="199"/>
        <v>-0.16235632183908047</v>
      </c>
      <c r="U258" s="64">
        <f t="shared" si="200"/>
        <v>0.13250000000000001</v>
      </c>
      <c r="V258" s="65">
        <f t="shared" si="201"/>
        <v>0.75790000000000002</v>
      </c>
    </row>
    <row r="259" spans="1:26">
      <c r="A259" s="115"/>
      <c r="B259" s="115"/>
      <c r="C259" s="116" t="s">
        <v>311</v>
      </c>
      <c r="D259" s="98">
        <f>SUM(D247:D258)</f>
        <v>19447744548.880001</v>
      </c>
      <c r="E259" s="100"/>
      <c r="F259" s="100"/>
      <c r="G259" s="101"/>
      <c r="H259" s="98">
        <f>SUM(H247:H258)</f>
        <v>8147</v>
      </c>
      <c r="I259" s="109"/>
      <c r="J259" s="109"/>
      <c r="K259" s="98">
        <f>SUM(K247:K258)</f>
        <v>19641137987.049995</v>
      </c>
      <c r="L259" s="100"/>
      <c r="M259" s="100"/>
      <c r="N259" s="101"/>
      <c r="O259" s="98">
        <f>SUM(O247:O258)</f>
        <v>7506</v>
      </c>
      <c r="P259" s="109"/>
      <c r="Q259" s="109"/>
      <c r="R259" s="64">
        <f t="shared" si="197"/>
        <v>9.944260512262432E-3</v>
      </c>
      <c r="S259" s="64" t="e">
        <f t="shared" si="198"/>
        <v>#DIV/0!</v>
      </c>
      <c r="T259" s="64">
        <f t="shared" si="199"/>
        <v>-7.8679268442371428E-2</v>
      </c>
      <c r="U259" s="64">
        <f t="shared" si="200"/>
        <v>0</v>
      </c>
      <c r="V259" s="65">
        <f t="shared" si="201"/>
        <v>0</v>
      </c>
      <c r="Z259" s="73"/>
    </row>
    <row r="260" spans="1:26">
      <c r="A260" s="117"/>
      <c r="B260" s="117"/>
      <c r="C260" s="118" t="s">
        <v>312</v>
      </c>
      <c r="D260" s="119">
        <f>SUM(D231,D239,D244,D259)</f>
        <v>8241001241133.2568</v>
      </c>
      <c r="E260" s="120"/>
      <c r="F260" s="120"/>
      <c r="G260" s="121"/>
      <c r="H260" s="119">
        <f>SUM(H231,H239,H244,H259)</f>
        <v>1161573</v>
      </c>
      <c r="I260" s="132"/>
      <c r="J260" s="132"/>
      <c r="K260" s="119">
        <f>SUM(K231,K239,K244,K259)</f>
        <v>8266521030151.3008</v>
      </c>
      <c r="L260" s="120"/>
      <c r="M260" s="120"/>
      <c r="N260" s="119"/>
      <c r="O260" s="119">
        <f>SUM(O231,O239,O244,O259)</f>
        <v>1176822</v>
      </c>
      <c r="P260" s="133"/>
      <c r="Q260" s="119"/>
      <c r="R260" s="137"/>
      <c r="S260" s="138"/>
      <c r="T260" s="138"/>
      <c r="U260" s="139"/>
      <c r="V260" s="139"/>
      <c r="Z260" s="73"/>
    </row>
    <row r="261" spans="1:26">
      <c r="A261" s="122" t="s">
        <v>313</v>
      </c>
      <c r="B261" s="123" t="s">
        <v>334</v>
      </c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</row>
    <row r="262" spans="1:26">
      <c r="B262" s="125"/>
    </row>
    <row r="263" spans="1:26">
      <c r="B263" s="125"/>
      <c r="C263" s="126"/>
      <c r="D263" s="127"/>
      <c r="K263" s="127"/>
    </row>
    <row r="264" spans="1:26" ht="15">
      <c r="B264" s="128"/>
      <c r="C264" s="129"/>
      <c r="D264" s="130"/>
      <c r="F264" s="131"/>
      <c r="G264" s="131"/>
      <c r="I264" s="134"/>
      <c r="J264" s="135"/>
    </row>
    <row r="265" spans="1:26">
      <c r="C265" s="125"/>
    </row>
    <row r="266" spans="1:26">
      <c r="K266" s="111"/>
    </row>
    <row r="267" spans="1:26">
      <c r="B267" s="126"/>
    </row>
    <row r="268" spans="1:26">
      <c r="K268" s="136"/>
    </row>
  </sheetData>
  <sheetProtection algorithmName="SHA-512" hashValue="KmKjet8iRiUnNMs3DuL1wgvz5bUled+01grMJUcrEzP3KGk+MCj2oVSgmzXmQTW8+junkyxjilG7cQoZVBOcVA==" saltValue="i0Pz+pyhrfH/JTT2TDJ8g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3:V203"/>
    <mergeCell ref="A204:V204"/>
    <mergeCell ref="A205:V205"/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F10" sqref="F10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170" t="s">
        <v>314</v>
      </c>
      <c r="B2" s="171" t="s">
        <v>331</v>
      </c>
      <c r="C2" s="171" t="s">
        <v>336</v>
      </c>
      <c r="D2" s="172"/>
      <c r="F2" s="15"/>
      <c r="G2" s="15"/>
    </row>
    <row r="3" spans="1:7">
      <c r="A3" s="173" t="s">
        <v>18</v>
      </c>
      <c r="B3" s="174">
        <f t="shared" ref="B3:C10" si="0">B13</f>
        <v>97.343280758238819</v>
      </c>
      <c r="C3" s="174">
        <f t="shared" si="0"/>
        <v>100.4494838932208</v>
      </c>
      <c r="D3" s="172"/>
      <c r="F3" s="15"/>
      <c r="G3" s="15"/>
    </row>
    <row r="4" spans="1:7" ht="15.6" customHeight="1">
      <c r="A4" s="170" t="s">
        <v>57</v>
      </c>
      <c r="B4" s="175">
        <f t="shared" si="0"/>
        <v>5108.5181730498516</v>
      </c>
      <c r="C4" s="175">
        <f t="shared" si="0"/>
        <v>5168.017665961821</v>
      </c>
      <c r="D4" s="172"/>
      <c r="F4" s="15"/>
      <c r="G4" s="15"/>
    </row>
    <row r="5" spans="1:7" ht="16.2" customHeight="1">
      <c r="A5" s="170" t="s">
        <v>315</v>
      </c>
      <c r="B5" s="174">
        <f t="shared" si="0"/>
        <v>243.03531932412383</v>
      </c>
      <c r="C5" s="174">
        <f t="shared" si="0"/>
        <v>241.46382467087335</v>
      </c>
      <c r="D5" s="172"/>
      <c r="F5" s="15"/>
      <c r="G5" s="15"/>
    </row>
    <row r="6" spans="1:7">
      <c r="A6" s="170" t="s">
        <v>174</v>
      </c>
      <c r="B6" s="175">
        <f t="shared" si="0"/>
        <v>1915.2579413288515</v>
      </c>
      <c r="C6" s="175">
        <f t="shared" si="0"/>
        <v>1879.3408169920879</v>
      </c>
      <c r="D6" s="172"/>
      <c r="F6" s="15"/>
      <c r="G6" s="15"/>
    </row>
    <row r="7" spans="1:7">
      <c r="A7" s="170" t="s">
        <v>316</v>
      </c>
      <c r="B7" s="174">
        <f t="shared" si="0"/>
        <v>505.30953393644558</v>
      </c>
      <c r="C7" s="174">
        <f t="shared" si="0"/>
        <v>503.44655279328356</v>
      </c>
      <c r="D7" s="172"/>
      <c r="F7" s="15"/>
      <c r="G7" s="15"/>
    </row>
    <row r="8" spans="1:7">
      <c r="A8" s="170" t="s">
        <v>219</v>
      </c>
      <c r="B8" s="176">
        <f t="shared" si="0"/>
        <v>92.487511317429949</v>
      </c>
      <c r="C8" s="176">
        <f t="shared" si="0"/>
        <v>93.467466492254758</v>
      </c>
      <c r="D8" s="172"/>
      <c r="F8" s="15"/>
      <c r="G8" s="15"/>
    </row>
    <row r="9" spans="1:7">
      <c r="A9" s="170" t="s">
        <v>251</v>
      </c>
      <c r="B9" s="174">
        <f t="shared" si="0"/>
        <v>9.9695122362500008</v>
      </c>
      <c r="C9" s="174">
        <f t="shared" si="0"/>
        <v>9.6720575990099995</v>
      </c>
      <c r="D9" s="172"/>
      <c r="F9" s="15"/>
      <c r="G9" s="15"/>
    </row>
    <row r="10" spans="1:7">
      <c r="A10" s="170" t="s">
        <v>317</v>
      </c>
      <c r="B10" s="174">
        <f t="shared" si="0"/>
        <v>84.21324483269693</v>
      </c>
      <c r="C10" s="174">
        <f t="shared" si="0"/>
        <v>85.523530471136795</v>
      </c>
      <c r="D10" s="172"/>
      <c r="F10" s="15"/>
      <c r="G10" s="15"/>
    </row>
    <row r="11" spans="1:7">
      <c r="A11" s="170" t="s">
        <v>284</v>
      </c>
      <c r="B11" s="174">
        <f>B21</f>
        <v>19.31119483212818</v>
      </c>
      <c r="C11" s="174">
        <f>C21</f>
        <v>19.390708322203178</v>
      </c>
      <c r="D11" s="172"/>
      <c r="F11" s="15"/>
      <c r="G11" s="15"/>
    </row>
    <row r="12" spans="1:7">
      <c r="F12" s="15"/>
      <c r="G12" s="15"/>
    </row>
    <row r="13" spans="1:7">
      <c r="A13" s="177" t="s">
        <v>18</v>
      </c>
      <c r="B13" s="178">
        <f>'Weekly Valuation'!D26/1000000000</f>
        <v>97.343280758238819</v>
      </c>
      <c r="C13" s="179">
        <f>'Weekly Valuation'!K26/1000000000</f>
        <v>100.4494838932208</v>
      </c>
      <c r="F13" s="15"/>
      <c r="G13" s="15"/>
    </row>
    <row r="14" spans="1:7">
      <c r="A14" s="180" t="s">
        <v>57</v>
      </c>
      <c r="B14" s="178">
        <f>'Weekly Valuation'!D72/1000000000</f>
        <v>5108.5181730498516</v>
      </c>
      <c r="C14" s="181">
        <f>'Weekly Valuation'!K72/1000000000</f>
        <v>5168.017665961821</v>
      </c>
      <c r="F14" s="15"/>
      <c r="G14" s="15"/>
    </row>
    <row r="15" spans="1:7">
      <c r="A15" s="180" t="s">
        <v>315</v>
      </c>
      <c r="B15" s="178">
        <f>'Weekly Valuation'!D114/1000000000</f>
        <v>243.03531932412383</v>
      </c>
      <c r="C15" s="179">
        <f>'Weekly Valuation'!K114/1000000000</f>
        <v>241.46382467087335</v>
      </c>
      <c r="F15" s="15"/>
      <c r="G15" s="15"/>
    </row>
    <row r="16" spans="1:7">
      <c r="A16" s="180" t="s">
        <v>174</v>
      </c>
      <c r="B16" s="178">
        <f>'Weekly Valuation'!D156/1000000000</f>
        <v>1915.2579413288515</v>
      </c>
      <c r="C16" s="181">
        <f>'Weekly Valuation'!K156/1000000000</f>
        <v>1879.3408169920879</v>
      </c>
      <c r="F16" s="15"/>
      <c r="G16" s="15"/>
    </row>
    <row r="17" spans="1:7">
      <c r="A17" s="180" t="s">
        <v>316</v>
      </c>
      <c r="B17" s="178">
        <f>'Weekly Valuation'!D165/1000000000</f>
        <v>505.30953393644558</v>
      </c>
      <c r="C17" s="179">
        <f>'Weekly Valuation'!K165/1000000000</f>
        <v>503.44655279328356</v>
      </c>
      <c r="F17" s="15"/>
      <c r="G17" s="15"/>
    </row>
    <row r="18" spans="1:7">
      <c r="A18" s="180" t="s">
        <v>219</v>
      </c>
      <c r="B18" s="178">
        <f>'Weekly Valuation'!D197/1000000000</f>
        <v>92.487511317429949</v>
      </c>
      <c r="C18" s="182">
        <f>'Weekly Valuation'!K197/1000000000</f>
        <v>93.467466492254758</v>
      </c>
      <c r="F18" s="15"/>
      <c r="G18" s="15"/>
    </row>
    <row r="19" spans="1:7">
      <c r="A19" s="180" t="s">
        <v>251</v>
      </c>
      <c r="B19" s="178">
        <f>'Weekly Valuation'!D202/1000000000</f>
        <v>9.9695122362500008</v>
      </c>
      <c r="C19" s="179">
        <f>'Weekly Valuation'!K202/1000000000</f>
        <v>9.6720575990099995</v>
      </c>
      <c r="F19" s="15"/>
      <c r="G19" s="15"/>
    </row>
    <row r="20" spans="1:7">
      <c r="A20" s="180" t="s">
        <v>317</v>
      </c>
      <c r="B20" s="178">
        <f>'Weekly Valuation'!D230/1000000000</f>
        <v>84.21324483269693</v>
      </c>
      <c r="C20" s="179">
        <f>'Weekly Valuation'!K230/1000000000</f>
        <v>85.523530471136795</v>
      </c>
      <c r="F20" s="15"/>
      <c r="G20" s="15"/>
    </row>
    <row r="21" spans="1:7">
      <c r="A21" s="180" t="s">
        <v>284</v>
      </c>
      <c r="B21" s="178">
        <f>'Weekly Valuation'!D239/1000000000</f>
        <v>19.31119483212818</v>
      </c>
      <c r="C21" s="179">
        <f>'Weekly Valuation'!K239/1000000000</f>
        <v>19.390708322203178</v>
      </c>
      <c r="F21" s="15"/>
      <c r="G21" s="15"/>
    </row>
    <row r="22" spans="1:7">
      <c r="A22" s="23"/>
      <c r="C22" s="21"/>
      <c r="F22" s="15"/>
      <c r="G22" s="15"/>
    </row>
    <row r="23" spans="1:7">
      <c r="A23" s="23"/>
      <c r="B23" s="21"/>
      <c r="C23" s="22"/>
      <c r="F23" s="15"/>
      <c r="G23" s="15"/>
    </row>
    <row r="24" spans="1:7">
      <c r="A24" s="23"/>
      <c r="B24" s="21"/>
      <c r="C24" s="21"/>
      <c r="F24" s="15"/>
      <c r="G24" s="15"/>
    </row>
    <row r="25" spans="1:7">
      <c r="A25" s="23"/>
      <c r="B25" s="21"/>
      <c r="C25" s="21"/>
      <c r="F25" s="15"/>
      <c r="G25" s="15"/>
    </row>
    <row r="26" spans="1:7">
      <c r="A26" s="23"/>
      <c r="B26" s="21"/>
      <c r="C26" s="21"/>
      <c r="F26" s="15"/>
      <c r="G26" s="15"/>
    </row>
    <row r="27" spans="1:7">
      <c r="A27" s="23"/>
      <c r="B27" s="21"/>
      <c r="C27" s="21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J2snR6s7Hvv1DltamURicAHA8e5kS1JdTfbWDl5+a3wuzd7AAUrVN92AGRI8EhOXNN3INZDcitBLNiw6mo7X6Q==" saltValue="VbQPslJqJ0naI2oHaeGfz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K16" sqref="K16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64" t="s">
        <v>314</v>
      </c>
      <c r="B1" s="165">
        <v>46052</v>
      </c>
      <c r="C1" s="16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7" t="s">
        <v>251</v>
      </c>
      <c r="B2" s="21">
        <f>'Weekly Valuation'!K202</f>
        <v>9672057599.0100002</v>
      </c>
      <c r="C2" s="16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7" t="s">
        <v>284</v>
      </c>
      <c r="B3" s="21">
        <f>'Weekly Valuation'!K239</f>
        <v>19390708322.203178</v>
      </c>
      <c r="C3" s="16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7" t="s">
        <v>18</v>
      </c>
      <c r="B4" s="21">
        <f>'Weekly Valuation'!K26</f>
        <v>100449483893.22079</v>
      </c>
      <c r="C4" s="16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7" t="s">
        <v>317</v>
      </c>
      <c r="B5" s="22">
        <f>'Weekly Valuation'!K230</f>
        <v>85523530471.136795</v>
      </c>
      <c r="C5" s="16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7" t="s">
        <v>219</v>
      </c>
      <c r="B6" s="21">
        <f>'Weekly Valuation'!K197</f>
        <v>93467466492.254761</v>
      </c>
      <c r="C6" s="16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7" t="s">
        <v>316</v>
      </c>
      <c r="B7" s="21">
        <f>'Weekly Valuation'!K165</f>
        <v>503446552793.28357</v>
      </c>
      <c r="C7" s="16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7" t="s">
        <v>315</v>
      </c>
      <c r="B8" s="21">
        <f>'Weekly Valuation'!K114</f>
        <v>241463824670.87335</v>
      </c>
      <c r="C8" s="16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7" t="s">
        <v>174</v>
      </c>
      <c r="B9" s="168">
        <f>'Weekly Valuation'!K156</f>
        <v>1879340816992.0879</v>
      </c>
      <c r="C9" s="16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7" t="s">
        <v>57</v>
      </c>
      <c r="B10" s="168">
        <f>'Weekly Valuation'!K72</f>
        <v>5168017665961.8213</v>
      </c>
      <c r="C10" s="16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6"/>
      <c r="B11" s="166"/>
      <c r="C11" s="16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7"/>
      <c r="B12" s="169"/>
      <c r="C12" s="16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7"/>
      <c r="B13" s="166"/>
      <c r="C13" s="166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66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3"/>
      <c r="B16" s="22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1"/>
      <c r="B17" s="21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1"/>
      <c r="B18" s="21"/>
      <c r="C18" s="20"/>
      <c r="D18" s="2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8"/>
      <c r="B19" s="21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8"/>
      <c r="B20" s="168"/>
      <c r="C20" s="20"/>
      <c r="D20" s="20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8"/>
      <c r="B21" s="168"/>
      <c r="C21" s="20"/>
      <c r="D21" s="20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23"/>
      <c r="B22" s="168"/>
      <c r="C22" s="20"/>
      <c r="D22" s="20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20"/>
      <c r="B23" s="168"/>
      <c r="C23" s="20"/>
      <c r="D23" s="2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20"/>
      <c r="B24" s="20"/>
      <c r="C24" s="20"/>
      <c r="D24" s="20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20"/>
      <c r="B25" s="20"/>
      <c r="C25" s="20"/>
      <c r="D25" s="20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20"/>
      <c r="B26" s="20"/>
      <c r="C26" s="20"/>
      <c r="D26" s="20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20"/>
      <c r="B27" s="20"/>
      <c r="C27" s="20"/>
      <c r="D27" s="20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20"/>
      <c r="B28" s="20"/>
      <c r="C28" s="20"/>
      <c r="D28" s="20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20"/>
      <c r="B29" s="20"/>
      <c r="C29" s="20"/>
      <c r="D29" s="20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24"/>
    </row>
    <row r="34" spans="1:17" ht="15" customHeight="1">
      <c r="A34" s="193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24"/>
    </row>
  </sheetData>
  <sheetProtection algorithmName="SHA-512" hashValue="vEXbpN6C1ChD5+OzUOc4rylKeGvD/BcL451qUUXHsjfPLa5AgdtWzHgMCnKrwjsJXj+EiTHkqxm417vtdIGL8Q==" saltValue="cf8wBV1ZYhXFLTILLR/ci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9" sqref="F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  <c r="O1" s="152"/>
    </row>
    <row r="2" spans="1:15">
      <c r="A2" s="159" t="s">
        <v>318</v>
      </c>
      <c r="B2" s="160">
        <v>46003</v>
      </c>
      <c r="C2" s="160">
        <v>46010</v>
      </c>
      <c r="D2" s="160">
        <v>46015</v>
      </c>
      <c r="E2" s="160">
        <v>46024</v>
      </c>
      <c r="F2" s="160">
        <v>46031</v>
      </c>
      <c r="G2" s="160">
        <v>46038</v>
      </c>
      <c r="H2" s="160">
        <v>46045</v>
      </c>
      <c r="I2" s="160">
        <v>46052</v>
      </c>
      <c r="J2" s="20"/>
      <c r="K2" s="20"/>
      <c r="L2" s="20"/>
      <c r="M2" s="20"/>
      <c r="N2" s="15"/>
      <c r="O2" s="152"/>
    </row>
    <row r="3" spans="1:15">
      <c r="A3" s="159" t="s">
        <v>319</v>
      </c>
      <c r="B3" s="161">
        <f t="shared" ref="B3:I3" si="0">B4</f>
        <v>7522.4259502457116</v>
      </c>
      <c r="C3" s="161">
        <f t="shared" si="0"/>
        <v>7603.1851114640458</v>
      </c>
      <c r="D3" s="161">
        <f t="shared" si="0"/>
        <v>7672.435028174913</v>
      </c>
      <c r="E3" s="161">
        <f t="shared" si="0"/>
        <v>7797.3820775891299</v>
      </c>
      <c r="F3" s="161">
        <f t="shared" si="0"/>
        <v>7922.6135885840922</v>
      </c>
      <c r="G3" s="161">
        <f t="shared" si="0"/>
        <v>8029.3427073122812</v>
      </c>
      <c r="H3" s="161">
        <f t="shared" si="0"/>
        <v>8075.4457116160165</v>
      </c>
      <c r="I3" s="161">
        <f t="shared" si="0"/>
        <v>8100.7721071958904</v>
      </c>
      <c r="J3" s="20"/>
      <c r="K3" s="20"/>
      <c r="L3" s="20"/>
      <c r="M3" s="20"/>
      <c r="N3" s="15"/>
      <c r="O3" s="152"/>
    </row>
    <row r="4" spans="1:15">
      <c r="A4" s="20"/>
      <c r="B4" s="162">
        <f>'NAV Trend'!C11/1000000000</f>
        <v>7522.4259502457116</v>
      </c>
      <c r="C4" s="162">
        <f>'NAV Trend'!D11/1000000000</f>
        <v>7603.1851114640458</v>
      </c>
      <c r="D4" s="162">
        <f>'NAV Trend'!E11/1000000000</f>
        <v>7672.435028174913</v>
      </c>
      <c r="E4" s="162">
        <f>'NAV Trend'!F11/1000000000</f>
        <v>7797.3820775891299</v>
      </c>
      <c r="F4" s="162">
        <f>'NAV Trend'!G11/1000000000</f>
        <v>7922.6135885840922</v>
      </c>
      <c r="G4" s="162">
        <f>'NAV Trend'!H11/1000000000</f>
        <v>8029.3427073122812</v>
      </c>
      <c r="H4" s="163">
        <f>'NAV Trend'!I11/1000000000</f>
        <v>8075.4457116160165</v>
      </c>
      <c r="I4" s="163">
        <f>'NAV Trend'!J11/1000000000</f>
        <v>8100.7721071958904</v>
      </c>
      <c r="J4" s="20"/>
      <c r="K4" s="20"/>
      <c r="L4" s="20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2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5"/>
      <c r="O8" s="152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cJYRrAWtjBDPbDIp8icSiviBspzbX3vEYGt1ZuclmsBPRmgekqacTThljv6cHPNLvkDL3/CL6yevhL6xJMkdCw==" saltValue="NLuTnFAf6tFpd8cIGcHpU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9" sqref="G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"/>
      <c r="P1" s="143"/>
    </row>
    <row r="2" spans="1:16">
      <c r="A2" s="159" t="s">
        <v>318</v>
      </c>
      <c r="B2" s="160">
        <v>46003</v>
      </c>
      <c r="C2" s="160">
        <v>46010</v>
      </c>
      <c r="D2" s="160">
        <v>46015</v>
      </c>
      <c r="E2" s="160">
        <v>46024</v>
      </c>
      <c r="F2" s="160">
        <v>46031</v>
      </c>
      <c r="G2" s="160">
        <v>46038</v>
      </c>
      <c r="H2" s="160">
        <v>46045</v>
      </c>
      <c r="I2" s="160">
        <v>46052</v>
      </c>
      <c r="J2" s="20"/>
      <c r="K2" s="20"/>
      <c r="L2" s="15"/>
      <c r="M2" s="15"/>
      <c r="N2" s="15"/>
      <c r="O2" s="15"/>
      <c r="P2" s="143"/>
    </row>
    <row r="3" spans="1:16">
      <c r="A3" s="159" t="s">
        <v>320</v>
      </c>
      <c r="B3" s="161">
        <f t="shared" ref="B3:I3" si="0">B4</f>
        <v>17.682838809310002</v>
      </c>
      <c r="C3" s="161">
        <f t="shared" si="0"/>
        <v>17.94056485019</v>
      </c>
      <c r="D3" s="161">
        <f t="shared" si="0"/>
        <v>18.082167415780003</v>
      </c>
      <c r="E3" s="161">
        <f t="shared" si="0"/>
        <v>18.294657025999999</v>
      </c>
      <c r="F3" s="161">
        <f t="shared" si="0"/>
        <v>18.629129376529999</v>
      </c>
      <c r="G3" s="161">
        <f t="shared" si="0"/>
        <v>19.377061801090001</v>
      </c>
      <c r="H3" s="161">
        <f t="shared" si="0"/>
        <v>19.447744548879999</v>
      </c>
      <c r="I3" s="161">
        <f t="shared" si="0"/>
        <v>19.641137987049994</v>
      </c>
      <c r="J3" s="20"/>
      <c r="K3" s="20"/>
      <c r="L3" s="15"/>
      <c r="M3" s="15"/>
      <c r="N3" s="15"/>
      <c r="O3" s="15"/>
      <c r="P3" s="143"/>
    </row>
    <row r="4" spans="1:16">
      <c r="A4" s="20"/>
      <c r="B4" s="162">
        <f>'NAV Trend'!C17/1000000000</f>
        <v>17.682838809310002</v>
      </c>
      <c r="C4" s="162">
        <f>'NAV Trend'!D17/1000000000</f>
        <v>17.94056485019</v>
      </c>
      <c r="D4" s="162">
        <f>'NAV Trend'!E17/1000000000</f>
        <v>18.082167415780003</v>
      </c>
      <c r="E4" s="162">
        <f>'NAV Trend'!F17/1000000000</f>
        <v>18.294657025999999</v>
      </c>
      <c r="F4" s="162">
        <f>'NAV Trend'!G17/1000000000</f>
        <v>18.629129376529999</v>
      </c>
      <c r="G4" s="162">
        <f>'NAV Trend'!H17/1000000000</f>
        <v>19.377061801090001</v>
      </c>
      <c r="H4" s="162">
        <f>'NAV Trend'!I17/1000000000</f>
        <v>19.447744548879999</v>
      </c>
      <c r="I4" s="163">
        <f>'NAV Trend'!J17/1000000000</f>
        <v>19.641137987049994</v>
      </c>
      <c r="J4" s="20"/>
      <c r="K4" s="20"/>
      <c r="L4" s="15"/>
      <c r="M4" s="15"/>
      <c r="N4" s="15"/>
      <c r="O4" s="15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41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141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141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41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zmVXPiMKb/Rs7f34Zsyr0iLApA5+FKj7e5hPdueBZ/VV+g79+BOjZR5iUIOGLwpfPXWvt640QnUekHgPCUu6jA==" saltValue="SOjdtKooIVffNWtltFpmT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45996</v>
      </c>
      <c r="C1" s="2">
        <v>46003</v>
      </c>
      <c r="D1" s="2">
        <v>46010</v>
      </c>
      <c r="E1" s="2">
        <v>46015</v>
      </c>
      <c r="F1" s="2">
        <v>46024</v>
      </c>
      <c r="G1" s="2">
        <v>46031</v>
      </c>
      <c r="H1" s="2">
        <v>46038</v>
      </c>
      <c r="I1" s="2">
        <v>46045</v>
      </c>
      <c r="J1" s="2">
        <v>46052</v>
      </c>
    </row>
    <row r="2" spans="1:11">
      <c r="A2" s="3" t="s">
        <v>18</v>
      </c>
      <c r="B2" s="4">
        <v>78401377862.474701</v>
      </c>
      <c r="C2" s="4">
        <v>78447194943.245102</v>
      </c>
      <c r="D2" s="4">
        <v>79735701358.92749</v>
      </c>
      <c r="E2" s="4">
        <v>79641660217.847488</v>
      </c>
      <c r="F2" s="4">
        <v>81634147241.387192</v>
      </c>
      <c r="G2" s="4">
        <v>88746718359.350891</v>
      </c>
      <c r="H2" s="4">
        <v>93935595234.247498</v>
      </c>
      <c r="I2" s="4">
        <v>97343280758.238815</v>
      </c>
      <c r="J2" s="4">
        <v>100449483893.22079</v>
      </c>
    </row>
    <row r="3" spans="1:11">
      <c r="A3" s="3" t="s">
        <v>57</v>
      </c>
      <c r="B3" s="4">
        <v>4598078276116.3418</v>
      </c>
      <c r="C3" s="4">
        <v>4642448189370.7549</v>
      </c>
      <c r="D3" s="4">
        <v>4678050109959.2363</v>
      </c>
      <c r="E3" s="4">
        <v>4744967555037.585</v>
      </c>
      <c r="F3" s="4">
        <v>4861697321728.9277</v>
      </c>
      <c r="G3" s="4">
        <v>4966755962611.584</v>
      </c>
      <c r="H3" s="4">
        <v>5059951065309.5</v>
      </c>
      <c r="I3" s="4">
        <v>5108518173049.8516</v>
      </c>
      <c r="J3" s="4">
        <v>5168017665961.8213</v>
      </c>
    </row>
    <row r="4" spans="1:11">
      <c r="A4" s="3" t="s">
        <v>315</v>
      </c>
      <c r="B4" s="5">
        <v>239569435821.11508</v>
      </c>
      <c r="C4" s="5">
        <v>238896018902.52338</v>
      </c>
      <c r="D4" s="5">
        <v>238340225253.66324</v>
      </c>
      <c r="E4" s="5">
        <v>237258742107.80859</v>
      </c>
      <c r="F4" s="5">
        <v>241491021912.76636</v>
      </c>
      <c r="G4" s="5">
        <v>242702403146.86172</v>
      </c>
      <c r="H4" s="5">
        <v>243520063100.36298</v>
      </c>
      <c r="I4" s="5">
        <v>243035319324.12384</v>
      </c>
      <c r="J4" s="5">
        <v>241463824670.87335</v>
      </c>
    </row>
    <row r="5" spans="1:11">
      <c r="A5" s="3" t="s">
        <v>174</v>
      </c>
      <c r="B5" s="4">
        <v>1910113273501.6394</v>
      </c>
      <c r="C5" s="4">
        <v>1912273958134.9629</v>
      </c>
      <c r="D5" s="4">
        <v>1954262527494.0337</v>
      </c>
      <c r="E5" s="4">
        <v>1955698754786.5325</v>
      </c>
      <c r="F5" s="4">
        <v>1957393043586.3616</v>
      </c>
      <c r="G5" s="4">
        <v>1941064146472.0417</v>
      </c>
      <c r="H5" s="4">
        <v>1942452968719.8398</v>
      </c>
      <c r="I5" s="4">
        <v>1915257941328.8516</v>
      </c>
      <c r="J5" s="4">
        <v>1879340816992.0879</v>
      </c>
    </row>
    <row r="6" spans="1:11">
      <c r="A6" s="3" t="s">
        <v>316</v>
      </c>
      <c r="B6" s="5">
        <v>480962390405.30359</v>
      </c>
      <c r="C6" s="5">
        <v>481599355727.08673</v>
      </c>
      <c r="D6" s="5">
        <v>482352533334.53674</v>
      </c>
      <c r="E6" s="5">
        <v>483055353307.30524</v>
      </c>
      <c r="F6" s="5">
        <v>482861100288.11963</v>
      </c>
      <c r="G6" s="5">
        <v>504019075123.87</v>
      </c>
      <c r="H6" s="5">
        <v>504828869652.40448</v>
      </c>
      <c r="I6" s="5">
        <v>505309533936.44556</v>
      </c>
      <c r="J6" s="5">
        <v>503446552793.28357</v>
      </c>
    </row>
    <row r="7" spans="1:11">
      <c r="A7" s="3" t="s">
        <v>219</v>
      </c>
      <c r="B7" s="7">
        <v>82072736373.0802</v>
      </c>
      <c r="C7" s="7">
        <v>83138604455.992661</v>
      </c>
      <c r="D7" s="7">
        <v>83857951344.08696</v>
      </c>
      <c r="E7" s="7">
        <v>83513673347.384338</v>
      </c>
      <c r="F7" s="7">
        <v>84098310043.701248</v>
      </c>
      <c r="G7" s="7">
        <v>88017317935.611069</v>
      </c>
      <c r="H7" s="7">
        <v>90902677733.101563</v>
      </c>
      <c r="I7" s="7">
        <v>92487511317.429947</v>
      </c>
      <c r="J7" s="7">
        <v>93467466492.254761</v>
      </c>
    </row>
    <row r="8" spans="1:11">
      <c r="A8" s="3" t="s">
        <v>251</v>
      </c>
      <c r="B8" s="6">
        <v>8269417847.3099995</v>
      </c>
      <c r="C8" s="6">
        <v>8345728599.1300001</v>
      </c>
      <c r="D8" s="6">
        <v>8322821216.8900003</v>
      </c>
      <c r="E8" s="6">
        <v>8179170952.1100006</v>
      </c>
      <c r="F8" s="6">
        <v>8453062319.8899994</v>
      </c>
      <c r="G8" s="6">
        <v>8936439418.3799992</v>
      </c>
      <c r="H8" s="6">
        <v>9318037783.75</v>
      </c>
      <c r="I8" s="6">
        <v>9969512236.25</v>
      </c>
      <c r="J8" s="6">
        <v>9672057599.0100002</v>
      </c>
    </row>
    <row r="9" spans="1:11">
      <c r="A9" s="3" t="s">
        <v>317</v>
      </c>
      <c r="B9" s="6">
        <v>75808834587.932678</v>
      </c>
      <c r="C9" s="6">
        <v>77276900112.016632</v>
      </c>
      <c r="D9" s="6">
        <v>78263241502.671127</v>
      </c>
      <c r="E9" s="6">
        <v>80120118418.338852</v>
      </c>
      <c r="F9" s="6">
        <v>79754070467.976181</v>
      </c>
      <c r="G9" s="6">
        <v>82371525516.392532</v>
      </c>
      <c r="H9" s="6">
        <v>84433429779.074936</v>
      </c>
      <c r="I9" s="6">
        <v>84213244832.69693</v>
      </c>
      <c r="J9" s="6">
        <v>85523530471.136795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0</v>
      </c>
      <c r="F10" s="6">
        <v>18740964878.253338</v>
      </c>
      <c r="G10" s="6">
        <v>18756838778.421936</v>
      </c>
      <c r="H10" s="6">
        <v>18866349662.769352</v>
      </c>
      <c r="I10" s="6">
        <v>19311194832.128181</v>
      </c>
      <c r="J10" s="6">
        <v>19390708322.203178</v>
      </c>
    </row>
    <row r="11" spans="1:11" ht="15.6">
      <c r="A11" s="8" t="s">
        <v>321</v>
      </c>
      <c r="B11" s="9">
        <f t="shared" ref="B11:H11" si="0">SUM(B2:B9)</f>
        <v>7473275742515.1973</v>
      </c>
      <c r="C11" s="9">
        <f t="shared" si="0"/>
        <v>7522425950245.7119</v>
      </c>
      <c r="D11" s="9">
        <f t="shared" si="0"/>
        <v>7603185111464.0459</v>
      </c>
      <c r="E11" s="9">
        <f t="shared" si="0"/>
        <v>7672435028174.9131</v>
      </c>
      <c r="F11" s="9">
        <f t="shared" si="0"/>
        <v>7797382077589.1299</v>
      </c>
      <c r="G11" s="9">
        <f t="shared" si="0"/>
        <v>7922613588584.0918</v>
      </c>
      <c r="H11" s="9">
        <f t="shared" si="0"/>
        <v>8029342707312.2813</v>
      </c>
      <c r="I11" s="9">
        <f>SUM(I2:I10)</f>
        <v>8075445711616.0166</v>
      </c>
      <c r="J11" s="9">
        <f>SUM(J2:J10)</f>
        <v>8100772107195.8906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7497850846380.4551</v>
      </c>
      <c r="D13" s="14">
        <f t="shared" ref="D13:J13" si="1">(C11+D11)/2</f>
        <v>7562805530854.8789</v>
      </c>
      <c r="E13" s="14">
        <f t="shared" si="1"/>
        <v>7637810069819.4795</v>
      </c>
      <c r="F13" s="14">
        <f t="shared" si="1"/>
        <v>7734908552882.0215</v>
      </c>
      <c r="G13" s="14">
        <f t="shared" si="1"/>
        <v>7859997833086.6113</v>
      </c>
      <c r="H13" s="14">
        <f t="shared" si="1"/>
        <v>7975978147948.1865</v>
      </c>
      <c r="I13" s="14">
        <f t="shared" si="1"/>
        <v>8052394209464.1484</v>
      </c>
      <c r="J13" s="14">
        <f t="shared" si="1"/>
        <v>8088108909405.9531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45996</v>
      </c>
      <c r="C16" s="2">
        <v>46003</v>
      </c>
      <c r="D16" s="2">
        <v>46010</v>
      </c>
      <c r="E16" s="2">
        <v>46015</v>
      </c>
      <c r="F16" s="2">
        <v>46024</v>
      </c>
      <c r="G16" s="2">
        <v>46031</v>
      </c>
      <c r="H16" s="2">
        <v>46038</v>
      </c>
      <c r="I16" s="2">
        <v>46045</v>
      </c>
      <c r="J16" s="2">
        <v>46052</v>
      </c>
      <c r="K16" s="15"/>
    </row>
    <row r="17" spans="1:11">
      <c r="A17" s="16" t="s">
        <v>324</v>
      </c>
      <c r="B17" s="17">
        <v>17413222879.320004</v>
      </c>
      <c r="C17" s="17">
        <v>17682838809.310001</v>
      </c>
      <c r="D17" s="17">
        <v>17940564850.189999</v>
      </c>
      <c r="E17" s="17">
        <v>18082167415.780003</v>
      </c>
      <c r="F17" s="17">
        <v>18294657026</v>
      </c>
      <c r="G17" s="17">
        <v>18629129376.529999</v>
      </c>
      <c r="H17" s="17">
        <v>19377061801.09</v>
      </c>
      <c r="I17" s="17">
        <v>19447744548.880001</v>
      </c>
      <c r="J17" s="17">
        <v>19641137987.049995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