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8" i="1" l="1"/>
  <c r="M128" i="1"/>
  <c r="K128" i="1"/>
  <c r="N127" i="1" l="1"/>
  <c r="M127" i="1"/>
  <c r="K127" i="1"/>
  <c r="K150" i="1"/>
  <c r="M126" i="1"/>
  <c r="K126" i="1"/>
  <c r="N137" i="1"/>
  <c r="M137" i="1"/>
  <c r="K137" i="1"/>
  <c r="N151" i="1"/>
  <c r="M151" i="1"/>
  <c r="K151" i="1"/>
  <c r="N144" i="1"/>
  <c r="M144" i="1"/>
  <c r="K144" i="1"/>
  <c r="N142" i="1"/>
  <c r="M142" i="1"/>
  <c r="K142" i="1"/>
  <c r="N143" i="1"/>
  <c r="M143" i="1"/>
  <c r="K143" i="1"/>
  <c r="N154" i="1"/>
  <c r="M154" i="1"/>
  <c r="K154" i="1"/>
  <c r="N134" i="1"/>
  <c r="M134" i="1"/>
  <c r="K134" i="1"/>
  <c r="N157" i="1"/>
  <c r="M157" i="1"/>
  <c r="K157" i="1"/>
  <c r="N138" i="1"/>
  <c r="M138" i="1"/>
  <c r="K138" i="1"/>
  <c r="K243" i="1"/>
  <c r="N243" i="1"/>
  <c r="M243" i="1"/>
  <c r="K131" i="1"/>
  <c r="N131" i="1"/>
  <c r="M131" i="1"/>
  <c r="N130" i="1"/>
  <c r="M130" i="1"/>
  <c r="K130" i="1"/>
  <c r="N152" i="1"/>
  <c r="K135" i="1"/>
  <c r="N121" i="1"/>
  <c r="M121" i="1"/>
  <c r="K121" i="1"/>
  <c r="N133" i="1"/>
  <c r="M133" i="1"/>
  <c r="K133" i="1"/>
  <c r="N153" i="1"/>
  <c r="M153" i="1"/>
  <c r="K153" i="1"/>
  <c r="N122" i="1"/>
  <c r="M122" i="1"/>
  <c r="K122" i="1"/>
  <c r="K159" i="1"/>
  <c r="N160" i="1"/>
  <c r="M160" i="1"/>
  <c r="K160" i="1"/>
  <c r="N156" i="1"/>
  <c r="M156" i="1"/>
  <c r="K156" i="1"/>
  <c r="N125" i="1"/>
  <c r="M125" i="1"/>
  <c r="K125" i="1"/>
  <c r="N136" i="1"/>
  <c r="M136" i="1"/>
  <c r="K136" i="1"/>
  <c r="N141" i="1"/>
  <c r="M141" i="1"/>
  <c r="K141" i="1"/>
  <c r="K146" i="1"/>
  <c r="N146" i="1"/>
  <c r="M146" i="1"/>
  <c r="K148" i="1" l="1"/>
  <c r="N241" i="1"/>
  <c r="M241" i="1"/>
  <c r="K241" i="1"/>
  <c r="N124" i="1"/>
  <c r="M124" i="1"/>
  <c r="K124" i="1"/>
  <c r="N123" i="1"/>
  <c r="M123" i="1"/>
  <c r="K123" i="1"/>
  <c r="N158" i="1"/>
  <c r="M158" i="1"/>
  <c r="K158" i="1"/>
  <c r="K132" i="1"/>
  <c r="G243" i="1" l="1"/>
  <c r="F243" i="1"/>
  <c r="G241" i="1"/>
  <c r="F241" i="1"/>
  <c r="D243" i="1"/>
  <c r="D241" i="1"/>
  <c r="D237" i="1"/>
  <c r="M152" i="1" l="1"/>
  <c r="N149" i="1" l="1"/>
  <c r="M149" i="1"/>
  <c r="N135" i="1" l="1"/>
  <c r="M135" i="1"/>
  <c r="V135" i="1"/>
  <c r="U135" i="1"/>
  <c r="T135" i="1"/>
  <c r="S135" i="1"/>
  <c r="R135" i="1"/>
  <c r="V192" i="1"/>
  <c r="U192" i="1"/>
  <c r="T192" i="1"/>
  <c r="S192" i="1"/>
  <c r="R192" i="1"/>
  <c r="N159" i="1" l="1"/>
  <c r="M159" i="1"/>
  <c r="V59" i="1" l="1"/>
  <c r="U59" i="1"/>
  <c r="T59" i="1"/>
  <c r="S59" i="1"/>
  <c r="R59" i="1"/>
  <c r="N150" i="1"/>
  <c r="M150" i="1"/>
  <c r="K203" i="1" l="1"/>
  <c r="L176" i="1" s="1"/>
  <c r="L192" i="1" l="1"/>
  <c r="L190" i="1"/>
  <c r="B5" i="3"/>
  <c r="N148" i="1"/>
  <c r="M148" i="1"/>
  <c r="R260" i="1" l="1"/>
  <c r="R180" i="1"/>
  <c r="R88" i="1"/>
  <c r="K26" i="1" l="1"/>
  <c r="B6" i="3" s="1"/>
  <c r="L10" i="1" l="1"/>
  <c r="L23" i="1"/>
  <c r="R226" i="1"/>
  <c r="V31" i="1" l="1"/>
  <c r="U31" i="1"/>
  <c r="T31" i="1"/>
  <c r="S31" i="1"/>
  <c r="R31" i="1"/>
  <c r="V142" i="1" l="1"/>
  <c r="U142" i="1"/>
  <c r="T142" i="1"/>
  <c r="S142" i="1"/>
  <c r="R142" i="1"/>
  <c r="R33" i="1" l="1"/>
  <c r="S33" i="1"/>
  <c r="T33" i="1"/>
  <c r="U33" i="1"/>
  <c r="V33" i="1"/>
  <c r="K161" i="1" l="1"/>
  <c r="L135" i="1" s="1"/>
  <c r="L131" i="1" l="1"/>
  <c r="L142" i="1"/>
  <c r="L132" i="1"/>
  <c r="N126" i="1"/>
  <c r="V67" i="1" l="1"/>
  <c r="U67" i="1"/>
  <c r="T67" i="1"/>
  <c r="S67" i="1"/>
  <c r="R67" i="1"/>
  <c r="H209" i="1" l="1"/>
  <c r="O209" i="1"/>
  <c r="K209" i="1"/>
  <c r="D209" i="1"/>
  <c r="V206" i="1" l="1"/>
  <c r="U206" i="1"/>
  <c r="T206" i="1"/>
  <c r="S206" i="1"/>
  <c r="R206" i="1"/>
  <c r="L206" i="1"/>
  <c r="S198" i="1" l="1"/>
  <c r="S85" i="1" l="1"/>
  <c r="I11" i="4" l="1"/>
  <c r="L233" i="1" l="1"/>
  <c r="R233" i="1"/>
  <c r="R157" i="1" l="1"/>
  <c r="J11" i="4" l="1"/>
  <c r="L173" i="1"/>
  <c r="L183" i="1" l="1"/>
  <c r="L191" i="1"/>
  <c r="S220" i="1"/>
  <c r="S168" i="1"/>
  <c r="R37" i="1" l="1"/>
  <c r="V24" i="1"/>
  <c r="U24" i="1"/>
  <c r="T24" i="1"/>
  <c r="S24" i="1"/>
  <c r="R24" i="1"/>
  <c r="L207" i="1" l="1"/>
  <c r="L234" i="1" l="1"/>
  <c r="N132" i="1"/>
  <c r="V196" i="1" l="1"/>
  <c r="U196" i="1"/>
  <c r="T196" i="1"/>
  <c r="S196" i="1"/>
  <c r="R196" i="1"/>
  <c r="R148" i="1" l="1"/>
  <c r="S136" i="1"/>
  <c r="S131" i="1"/>
  <c r="S130" i="1"/>
  <c r="S243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6" i="1"/>
  <c r="U266" i="1"/>
  <c r="S266" i="1"/>
  <c r="O266" i="1"/>
  <c r="K266" i="1"/>
  <c r="H266" i="1"/>
  <c r="D266" i="1"/>
  <c r="E264" i="1" s="1"/>
  <c r="V265" i="1"/>
  <c r="U265" i="1"/>
  <c r="T265" i="1"/>
  <c r="S265" i="1"/>
  <c r="R265" i="1"/>
  <c r="V264" i="1"/>
  <c r="U264" i="1"/>
  <c r="T264" i="1"/>
  <c r="S264" i="1"/>
  <c r="R264" i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O251" i="1"/>
  <c r="K251" i="1"/>
  <c r="L250" i="1" s="1"/>
  <c r="H251" i="1"/>
  <c r="D251" i="1"/>
  <c r="E250" i="1" s="1"/>
  <c r="V250" i="1"/>
  <c r="U250" i="1"/>
  <c r="T250" i="1"/>
  <c r="S250" i="1"/>
  <c r="R250" i="1"/>
  <c r="V249" i="1"/>
  <c r="U249" i="1"/>
  <c r="T249" i="1"/>
  <c r="S249" i="1"/>
  <c r="R249" i="1"/>
  <c r="O246" i="1"/>
  <c r="H246" i="1"/>
  <c r="D246" i="1"/>
  <c r="B21" i="2" s="1"/>
  <c r="B11" i="2" s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R243" i="1"/>
  <c r="V242" i="1"/>
  <c r="U242" i="1"/>
  <c r="T242" i="1"/>
  <c r="S242" i="1"/>
  <c r="R242" i="1"/>
  <c r="V241" i="1"/>
  <c r="U241" i="1"/>
  <c r="T241" i="1"/>
  <c r="S241" i="1"/>
  <c r="K246" i="1"/>
  <c r="V237" i="1"/>
  <c r="U237" i="1"/>
  <c r="S237" i="1"/>
  <c r="O237" i="1"/>
  <c r="K237" i="1"/>
  <c r="L221" i="1" s="1"/>
  <c r="H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4" i="1"/>
  <c r="U214" i="1"/>
  <c r="T214" i="1"/>
  <c r="S214" i="1"/>
  <c r="R214" i="1"/>
  <c r="V213" i="1"/>
  <c r="U213" i="1"/>
  <c r="T213" i="1"/>
  <c r="S213" i="1"/>
  <c r="R213" i="1"/>
  <c r="V209" i="1"/>
  <c r="U209" i="1"/>
  <c r="S209" i="1"/>
  <c r="B2" i="3"/>
  <c r="B19" i="2"/>
  <c r="B9" i="2" s="1"/>
  <c r="V208" i="1"/>
  <c r="U208" i="1"/>
  <c r="T208" i="1"/>
  <c r="S208" i="1"/>
  <c r="R208" i="1"/>
  <c r="V207" i="1"/>
  <c r="U207" i="1"/>
  <c r="T207" i="1"/>
  <c r="S207" i="1"/>
  <c r="R207" i="1"/>
  <c r="V203" i="1"/>
  <c r="U203" i="1"/>
  <c r="S203" i="1"/>
  <c r="O203" i="1"/>
  <c r="H203" i="1"/>
  <c r="D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R198" i="1"/>
  <c r="V197" i="1"/>
  <c r="U197" i="1"/>
  <c r="T197" i="1"/>
  <c r="S197" i="1"/>
  <c r="R197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0" i="1"/>
  <c r="U170" i="1"/>
  <c r="S170" i="1"/>
  <c r="O170" i="1"/>
  <c r="K170" i="1"/>
  <c r="H170" i="1"/>
  <c r="D170" i="1"/>
  <c r="B17" i="2" s="1"/>
  <c r="B7" i="2" s="1"/>
  <c r="V169" i="1"/>
  <c r="U169" i="1"/>
  <c r="T169" i="1"/>
  <c r="S169" i="1"/>
  <c r="R169" i="1"/>
  <c r="V168" i="1"/>
  <c r="U168" i="1"/>
  <c r="T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1" i="1"/>
  <c r="U161" i="1"/>
  <c r="S161" i="1"/>
  <c r="O161" i="1"/>
  <c r="H161" i="1"/>
  <c r="D161" i="1"/>
  <c r="E135" i="1" s="1"/>
  <c r="V160" i="1"/>
  <c r="U160" i="1"/>
  <c r="T160" i="1"/>
  <c r="R160" i="1"/>
  <c r="S160" i="1"/>
  <c r="V159" i="1"/>
  <c r="U159" i="1"/>
  <c r="T159" i="1"/>
  <c r="R159" i="1"/>
  <c r="S159" i="1"/>
  <c r="V158" i="1"/>
  <c r="U158" i="1"/>
  <c r="T158" i="1"/>
  <c r="S158" i="1"/>
  <c r="V157" i="1"/>
  <c r="U157" i="1"/>
  <c r="T157" i="1"/>
  <c r="S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R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R149" i="1"/>
  <c r="S149" i="1"/>
  <c r="V148" i="1"/>
  <c r="U148" i="1"/>
  <c r="T148" i="1"/>
  <c r="S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V143" i="1"/>
  <c r="U143" i="1"/>
  <c r="T143" i="1"/>
  <c r="S143" i="1"/>
  <c r="R143" i="1"/>
  <c r="V141" i="1"/>
  <c r="U141" i="1"/>
  <c r="T141" i="1"/>
  <c r="S141" i="1"/>
  <c r="R141" i="1"/>
  <c r="V138" i="1"/>
  <c r="U138" i="1"/>
  <c r="T138" i="1"/>
  <c r="S138" i="1"/>
  <c r="R138" i="1"/>
  <c r="V137" i="1"/>
  <c r="U137" i="1"/>
  <c r="T137" i="1"/>
  <c r="S137" i="1"/>
  <c r="R137" i="1"/>
  <c r="V136" i="1"/>
  <c r="U136" i="1"/>
  <c r="T136" i="1"/>
  <c r="R136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H117" i="1"/>
  <c r="D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6" i="1"/>
  <c r="U76" i="1"/>
  <c r="S76" i="1"/>
  <c r="O76" i="1"/>
  <c r="K76" i="1"/>
  <c r="L39" i="1" s="1"/>
  <c r="H76" i="1"/>
  <c r="D76" i="1"/>
  <c r="B14" i="2" s="1"/>
  <c r="B4" i="2" s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B15" i="2" l="1"/>
  <c r="B5" i="2" s="1"/>
  <c r="E173" i="1"/>
  <c r="E192" i="1"/>
  <c r="L103" i="1"/>
  <c r="L115" i="1"/>
  <c r="B4" i="3"/>
  <c r="L228" i="1"/>
  <c r="L265" i="1"/>
  <c r="L260" i="1"/>
  <c r="L166" i="1"/>
  <c r="B8" i="3"/>
  <c r="L86" i="1"/>
  <c r="B7" i="3"/>
  <c r="E59" i="1"/>
  <c r="L59" i="1"/>
  <c r="L48" i="1"/>
  <c r="L74" i="1"/>
  <c r="L88" i="1"/>
  <c r="L99" i="1"/>
  <c r="L72" i="1"/>
  <c r="L223" i="1"/>
  <c r="L41" i="1"/>
  <c r="L68" i="1"/>
  <c r="L73" i="1"/>
  <c r="L49" i="1"/>
  <c r="E31" i="1"/>
  <c r="L31" i="1"/>
  <c r="B16" i="2"/>
  <c r="B6" i="2" s="1"/>
  <c r="E142" i="1"/>
  <c r="L33" i="1"/>
  <c r="L98" i="1"/>
  <c r="L66" i="1"/>
  <c r="L67" i="1"/>
  <c r="L22" i="1"/>
  <c r="L35" i="1"/>
  <c r="E67" i="1"/>
  <c r="L75" i="1"/>
  <c r="L116" i="1"/>
  <c r="L235" i="1"/>
  <c r="B3" i="3"/>
  <c r="C21" i="2"/>
  <c r="C11" i="2" s="1"/>
  <c r="L60" i="1"/>
  <c r="F13" i="4"/>
  <c r="E37" i="1"/>
  <c r="E24" i="1"/>
  <c r="E9" i="1"/>
  <c r="L82" i="1"/>
  <c r="L12" i="1"/>
  <c r="L24" i="1"/>
  <c r="E7" i="1"/>
  <c r="E11" i="1"/>
  <c r="E15" i="1"/>
  <c r="L30" i="1"/>
  <c r="E103" i="1"/>
  <c r="L220" i="1"/>
  <c r="E115" i="1"/>
  <c r="E21" i="1"/>
  <c r="E19" i="1"/>
  <c r="T203" i="1"/>
  <c r="E17" i="1"/>
  <c r="E102" i="1"/>
  <c r="E181" i="1"/>
  <c r="E179" i="1"/>
  <c r="E177" i="1"/>
  <c r="E175" i="1"/>
  <c r="L168" i="1"/>
  <c r="L196" i="1"/>
  <c r="L185" i="1"/>
  <c r="L47" i="1"/>
  <c r="E249" i="1"/>
  <c r="E98" i="1"/>
  <c r="E100" i="1"/>
  <c r="E96" i="1"/>
  <c r="E80" i="1"/>
  <c r="E94" i="1"/>
  <c r="E92" i="1"/>
  <c r="E104" i="1"/>
  <c r="B18" i="2"/>
  <c r="B8" i="2" s="1"/>
  <c r="E196" i="1"/>
  <c r="E166" i="1"/>
  <c r="E164" i="1"/>
  <c r="E61" i="1"/>
  <c r="E63" i="1"/>
  <c r="E70" i="1"/>
  <c r="E167" i="1"/>
  <c r="E169" i="1"/>
  <c r="E90" i="1"/>
  <c r="E113" i="1"/>
  <c r="E88" i="1"/>
  <c r="E111" i="1"/>
  <c r="E68" i="1"/>
  <c r="E86" i="1"/>
  <c r="E109" i="1"/>
  <c r="L62" i="1"/>
  <c r="L64" i="1"/>
  <c r="L69" i="1"/>
  <c r="L71" i="1"/>
  <c r="E84" i="1"/>
  <c r="E107" i="1"/>
  <c r="E65" i="1"/>
  <c r="E82" i="1"/>
  <c r="E106" i="1"/>
  <c r="E72" i="1"/>
  <c r="E74" i="1"/>
  <c r="L81" i="1"/>
  <c r="L34" i="1"/>
  <c r="B20" i="2"/>
  <c r="B10" i="2" s="1"/>
  <c r="E243" i="1"/>
  <c r="T209" i="1"/>
  <c r="E233" i="1"/>
  <c r="E208" i="1"/>
  <c r="E183" i="1"/>
  <c r="E168" i="1"/>
  <c r="E23" i="1"/>
  <c r="D13" i="4"/>
  <c r="T237" i="1"/>
  <c r="L89" i="1"/>
  <c r="E54" i="1"/>
  <c r="L55" i="1"/>
  <c r="E56" i="1"/>
  <c r="L57" i="1"/>
  <c r="E58" i="1"/>
  <c r="L37" i="1"/>
  <c r="E159" i="1"/>
  <c r="L128" i="1"/>
  <c r="T266" i="1"/>
  <c r="R266" i="1"/>
  <c r="E255" i="1"/>
  <c r="E257" i="1"/>
  <c r="E259" i="1"/>
  <c r="E261" i="1"/>
  <c r="E265" i="1"/>
  <c r="E263" i="1"/>
  <c r="E254" i="1"/>
  <c r="E256" i="1"/>
  <c r="E258" i="1"/>
  <c r="E260" i="1"/>
  <c r="E262" i="1"/>
  <c r="R251" i="1"/>
  <c r="E219" i="1"/>
  <c r="E217" i="1"/>
  <c r="E213" i="1"/>
  <c r="E235" i="1"/>
  <c r="E229" i="1"/>
  <c r="E227" i="1"/>
  <c r="E225" i="1"/>
  <c r="E223" i="1"/>
  <c r="E207" i="1"/>
  <c r="E201" i="1"/>
  <c r="E199" i="1"/>
  <c r="E197" i="1"/>
  <c r="E194" i="1"/>
  <c r="E191" i="1"/>
  <c r="E174" i="1"/>
  <c r="E176" i="1"/>
  <c r="E189" i="1"/>
  <c r="E187" i="1"/>
  <c r="E185" i="1"/>
  <c r="T170" i="1"/>
  <c r="T161" i="1"/>
  <c r="E133" i="1"/>
  <c r="E150" i="1"/>
  <c r="E152" i="1"/>
  <c r="E121" i="1"/>
  <c r="E123" i="1"/>
  <c r="E131" i="1"/>
  <c r="E129" i="1"/>
  <c r="E138" i="1"/>
  <c r="E156" i="1"/>
  <c r="E125" i="1"/>
  <c r="E143" i="1"/>
  <c r="E145" i="1"/>
  <c r="E147" i="1"/>
  <c r="E158" i="1"/>
  <c r="E149" i="1"/>
  <c r="E132" i="1"/>
  <c r="E151" i="1"/>
  <c r="E160" i="1"/>
  <c r="E122" i="1"/>
  <c r="E134" i="1"/>
  <c r="E153" i="1"/>
  <c r="E124" i="1"/>
  <c r="E128" i="1"/>
  <c r="E130" i="1"/>
  <c r="E137" i="1"/>
  <c r="E155" i="1"/>
  <c r="E157" i="1"/>
  <c r="E136" i="1"/>
  <c r="E154" i="1"/>
  <c r="E126" i="1"/>
  <c r="E141" i="1"/>
  <c r="E144" i="1"/>
  <c r="E148" i="1"/>
  <c r="H238" i="1"/>
  <c r="H267" i="1" s="1"/>
  <c r="T117" i="1"/>
  <c r="R117" i="1"/>
  <c r="E85" i="1"/>
  <c r="E87" i="1"/>
  <c r="E89" i="1"/>
  <c r="E105" i="1"/>
  <c r="E108" i="1"/>
  <c r="E110" i="1"/>
  <c r="E112" i="1"/>
  <c r="E114" i="1"/>
  <c r="E116" i="1"/>
  <c r="E79" i="1"/>
  <c r="E81" i="1"/>
  <c r="E91" i="1"/>
  <c r="E93" i="1"/>
  <c r="E95" i="1"/>
  <c r="E97" i="1"/>
  <c r="E99" i="1"/>
  <c r="E101" i="1"/>
  <c r="T76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3" i="1"/>
  <c r="L214" i="1"/>
  <c r="L219" i="1"/>
  <c r="L222" i="1"/>
  <c r="L225" i="1"/>
  <c r="L226" i="1"/>
  <c r="L229" i="1"/>
  <c r="L230" i="1"/>
  <c r="L236" i="1"/>
  <c r="L97" i="1"/>
  <c r="L108" i="1"/>
  <c r="L79" i="1"/>
  <c r="L85" i="1"/>
  <c r="L93" i="1"/>
  <c r="L101" i="1"/>
  <c r="L105" i="1"/>
  <c r="L112" i="1"/>
  <c r="L83" i="1"/>
  <c r="L87" i="1"/>
  <c r="L91" i="1"/>
  <c r="L95" i="1"/>
  <c r="L110" i="1"/>
  <c r="L114" i="1"/>
  <c r="L179" i="1"/>
  <c r="L180" i="1"/>
  <c r="L184" i="1"/>
  <c r="L187" i="1"/>
  <c r="L188" i="1"/>
  <c r="L193" i="1"/>
  <c r="L197" i="1"/>
  <c r="L198" i="1"/>
  <c r="L201" i="1"/>
  <c r="L202" i="1"/>
  <c r="L174" i="1"/>
  <c r="L257" i="1"/>
  <c r="L261" i="1"/>
  <c r="L255" i="1"/>
  <c r="L259" i="1"/>
  <c r="L263" i="1"/>
  <c r="L254" i="1"/>
  <c r="L256" i="1"/>
  <c r="L258" i="1"/>
  <c r="L262" i="1"/>
  <c r="L264" i="1"/>
  <c r="L53" i="1"/>
  <c r="L175" i="1"/>
  <c r="L177" i="1"/>
  <c r="L178" i="1"/>
  <c r="L181" i="1"/>
  <c r="L182" i="1"/>
  <c r="L186" i="1"/>
  <c r="L189" i="1"/>
  <c r="L194" i="1"/>
  <c r="L195" i="1"/>
  <c r="L199" i="1"/>
  <c r="L200" i="1"/>
  <c r="E29" i="1"/>
  <c r="E32" i="1"/>
  <c r="E35" i="1"/>
  <c r="L36" i="1"/>
  <c r="L6" i="1"/>
  <c r="L14" i="1"/>
  <c r="L8" i="1"/>
  <c r="L16" i="1"/>
  <c r="L7" i="1"/>
  <c r="L9" i="1"/>
  <c r="L11" i="1"/>
  <c r="L13" i="1"/>
  <c r="L15" i="1"/>
  <c r="L19" i="1"/>
  <c r="L17" i="1"/>
  <c r="L21" i="1"/>
  <c r="L80" i="1"/>
  <c r="E83" i="1"/>
  <c r="L84" i="1"/>
  <c r="L90" i="1"/>
  <c r="L92" i="1"/>
  <c r="L94" i="1"/>
  <c r="L96" i="1"/>
  <c r="L100" i="1"/>
  <c r="L102" i="1"/>
  <c r="L104" i="1"/>
  <c r="L106" i="1"/>
  <c r="L107" i="1"/>
  <c r="L109" i="1"/>
  <c r="L111" i="1"/>
  <c r="L113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8" i="1"/>
  <c r="O267" i="1" s="1"/>
  <c r="L217" i="1"/>
  <c r="L218" i="1"/>
  <c r="L224" i="1"/>
  <c r="L227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60" i="1"/>
  <c r="L61" i="1"/>
  <c r="E62" i="1"/>
  <c r="L63" i="1"/>
  <c r="E64" i="1"/>
  <c r="L65" i="1"/>
  <c r="E66" i="1"/>
  <c r="E69" i="1"/>
  <c r="L70" i="1"/>
  <c r="E71" i="1"/>
  <c r="E73" i="1"/>
  <c r="E75" i="1"/>
  <c r="C13" i="2"/>
  <c r="C3" i="2" s="1"/>
  <c r="R76" i="1"/>
  <c r="R121" i="1"/>
  <c r="R122" i="1"/>
  <c r="R123" i="1"/>
  <c r="R130" i="1"/>
  <c r="R131" i="1"/>
  <c r="R132" i="1"/>
  <c r="R158" i="1"/>
  <c r="C17" i="2"/>
  <c r="C7" i="2" s="1"/>
  <c r="R170" i="1"/>
  <c r="L169" i="1"/>
  <c r="L167" i="1"/>
  <c r="L165" i="1"/>
  <c r="L164" i="1"/>
  <c r="L244" i="1"/>
  <c r="L241" i="1"/>
  <c r="R246" i="1"/>
  <c r="L245" i="1"/>
  <c r="L242" i="1"/>
  <c r="L25" i="1"/>
  <c r="B13" i="2"/>
  <c r="B3" i="2" s="1"/>
  <c r="D238" i="1"/>
  <c r="E237" i="1" s="1"/>
  <c r="R26" i="1"/>
  <c r="T26" i="1"/>
  <c r="B10" i="3"/>
  <c r="C14" i="2"/>
  <c r="C4" i="2" s="1"/>
  <c r="C15" i="2"/>
  <c r="C5" i="2" s="1"/>
  <c r="L145" i="1"/>
  <c r="E146" i="1"/>
  <c r="L146" i="1"/>
  <c r="E178" i="1"/>
  <c r="E180" i="1"/>
  <c r="E182" i="1"/>
  <c r="E184" i="1"/>
  <c r="E186" i="1"/>
  <c r="E188" i="1"/>
  <c r="E190" i="1"/>
  <c r="E193" i="1"/>
  <c r="E195" i="1"/>
  <c r="E198" i="1"/>
  <c r="E200" i="1"/>
  <c r="E202" i="1"/>
  <c r="L208" i="1"/>
  <c r="R209" i="1"/>
  <c r="E214" i="1"/>
  <c r="E218" i="1"/>
  <c r="E221" i="1"/>
  <c r="E224" i="1"/>
  <c r="E226" i="1"/>
  <c r="E228" i="1"/>
  <c r="E230" i="1"/>
  <c r="E234" i="1"/>
  <c r="E236" i="1"/>
  <c r="R241" i="1"/>
  <c r="L243" i="1"/>
  <c r="E244" i="1"/>
  <c r="L249" i="1"/>
  <c r="C18" i="2"/>
  <c r="C8" i="2" s="1"/>
  <c r="C19" i="2"/>
  <c r="C9" i="2" s="1"/>
  <c r="C20" i="2"/>
  <c r="C10" i="2" s="1"/>
  <c r="C13" i="4"/>
  <c r="E13" i="4"/>
  <c r="G13" i="4"/>
  <c r="I13" i="4"/>
  <c r="R203" i="1"/>
  <c r="R237" i="1"/>
  <c r="E241" i="1"/>
  <c r="E242" i="1"/>
  <c r="E245" i="1"/>
  <c r="B9" i="3" l="1"/>
  <c r="L160" i="1"/>
  <c r="L148" i="1"/>
  <c r="L134" i="1"/>
  <c r="L123" i="1"/>
  <c r="L150" i="1"/>
  <c r="L125" i="1"/>
  <c r="L141" i="1"/>
  <c r="L157" i="1"/>
  <c r="L154" i="1"/>
  <c r="K238" i="1"/>
  <c r="L161" i="1" s="1"/>
  <c r="L122" i="1"/>
  <c r="L152" i="1"/>
  <c r="L129" i="1"/>
  <c r="L137" i="1"/>
  <c r="L144" i="1"/>
  <c r="L155" i="1"/>
  <c r="C16" i="2"/>
  <c r="C6" i="2" s="1"/>
  <c r="L159" i="1"/>
  <c r="L121" i="1"/>
  <c r="L153" i="1"/>
  <c r="L127" i="1"/>
  <c r="L158" i="1"/>
  <c r="L130" i="1"/>
  <c r="L147" i="1"/>
  <c r="L124" i="1"/>
  <c r="L126" i="1"/>
  <c r="L133" i="1"/>
  <c r="L136" i="1"/>
  <c r="L138" i="1"/>
  <c r="L143" i="1"/>
  <c r="L149" i="1"/>
  <c r="L151" i="1"/>
  <c r="L156" i="1"/>
  <c r="R161" i="1"/>
  <c r="E203" i="1"/>
  <c r="E117" i="1"/>
  <c r="D267" i="1"/>
  <c r="E209" i="1"/>
  <c r="E161" i="1"/>
  <c r="E170" i="1"/>
  <c r="E26" i="1"/>
  <c r="E76" i="1"/>
  <c r="L209" i="1" l="1"/>
  <c r="R238" i="1"/>
  <c r="L76" i="1"/>
  <c r="L237" i="1"/>
  <c r="L170" i="1"/>
  <c r="L203" i="1"/>
  <c r="K267" i="1"/>
  <c r="L117" i="1"/>
  <c r="L26" i="1"/>
</calcChain>
</file>

<file path=xl/sharedStrings.xml><?xml version="1.0" encoding="utf-8"?>
<sst xmlns="http://schemas.openxmlformats.org/spreadsheetml/2006/main" count="550" uniqueCount="345">
  <si>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</si>
  <si>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</si>
  <si>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</si>
  <si>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</si>
  <si>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</si>
  <si>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</si>
  <si>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</si>
  <si>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</si>
  <si>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</si>
  <si>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</si>
  <si>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</si>
  <si>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</si>
  <si>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</si>
  <si>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</si>
  <si>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</si>
  <si>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</si>
  <si>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</si>
  <si>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</si>
  <si>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</si>
  <si>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</si>
  <si>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</si>
  <si>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</si>
  <si>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</si>
  <si>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</si>
  <si>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</si>
  <si>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</si>
  <si>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</si>
  <si>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</si>
  <si>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</si>
  <si>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</si>
  <si>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</si>
  <si>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</si>
  <si>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</si>
  <si>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</si>
  <si>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</si>
  <si>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</si>
  <si>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</si>
  <si>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</si>
  <si>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</si>
  <si>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</si>
  <si>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</si>
  <si>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</si>
  <si>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</si>
  <si>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</si>
  <si>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</si>
  <si>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</si>
  <si>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</si>
  <si>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</si>
  <si>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</si>
  <si>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</si>
  <si>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</si>
  <si>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</si>
  <si>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</si>
  <si>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</si>
  <si>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</si>
  <si>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</si>
  <si>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</si>
  <si>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</si>
  <si>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</si>
  <si>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</si>
  <si>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</si>
  <si>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</si>
  <si>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</si>
  <si>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</si>
  <si>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</si>
  <si>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</si>
  <si>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</si>
  <si>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</si>
  <si>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</si>
  <si>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</si>
  <si>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</si>
  <si>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</si>
  <si>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</si>
  <si>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</si>
  <si>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</si>
  <si>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</si>
  <si>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</si>
  <si>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</si>
  <si>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</si>
  <si>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</si>
  <si>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</si>
  <si>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</si>
  <si>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</si>
  <si>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</si>
  <si>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</si>
  <si>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</si>
  <si>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</si>
  <si>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</si>
  <si>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</si>
  <si>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</si>
  <si>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</si>
  <si>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</si>
  <si>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</si>
  <si>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</si>
  <si>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</si>
  <si>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</si>
  <si>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</si>
  <si>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</si>
  <si>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</si>
  <si>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</si>
  <si>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</si>
  <si>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</si>
  <si>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</si>
  <si>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</si>
  <si>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</si>
  <si>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</si>
  <si>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</si>
  <si>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</si>
  <si>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</si>
  <si>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</si>
  <si>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</si>
  <si>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</si>
  <si>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</si>
  <si>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</si>
  <si>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</si>
  <si>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</si>
  <si>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</si>
  <si>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</si>
  <si>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</si>
  <si>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</si>
  <si>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</si>
  <si>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</si>
  <si>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</si>
  <si>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</si>
  <si>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</si>
  <si>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</si>
  <si>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</si>
  <si>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</si>
  <si>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</si>
  <si>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</si>
  <si>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</si>
  <si>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</si>
  <si>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</si>
  <si>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</si>
  <si>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</si>
  <si>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</si>
  <si>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</si>
  <si>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</si>
  <si>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</si>
  <si>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</si>
  <si>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</si>
  <si>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</si>
  <si>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</si>
  <si>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</si>
  <si>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</si>
  <si>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</si>
  <si>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</si>
  <si>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</si>
  <si>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</si>
  <si>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</si>
  <si>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</si>
  <si>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</si>
  <si>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</si>
  <si>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</si>
  <si>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</si>
  <si>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</si>
  <si>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</si>
  <si>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</si>
  <si>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</si>
  <si>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</si>
  <si>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</si>
  <si>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</si>
  <si>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</si>
  <si>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</si>
  <si>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</si>
  <si>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</si>
  <si>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</si>
  <si>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</si>
  <si>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</si>
  <si>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</si>
  <si>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</si>
  <si>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</si>
  <si>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</si>
  <si>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</si>
  <si>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</si>
  <si>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</si>
  <si>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</si>
  <si>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</si>
  <si>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</si>
  <si>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</si>
  <si>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</si>
  <si>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</si>
  <si>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</si>
  <si>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</si>
  <si>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</si>
  <si>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</si>
  <si>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</si>
  <si>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</si>
  <si>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</si>
  <si>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</si>
  <si>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</si>
  <si>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</si>
  <si>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</si>
  <si>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</si>
  <si>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</si>
  <si>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</si>
  <si>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</si>
  <si>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</si>
  <si>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</si>
  <si>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</si>
  <si>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</si>
  <si>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</si>
  <si>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</si>
  <si>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</si>
  <si>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</si>
  <si>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</si>
  <si>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</si>
  <si>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</si>
  <si>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</si>
  <si>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</si>
  <si>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</si>
  <si>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</si>
  <si>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</si>
  <si>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</si>
  <si>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</si>
  <si>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</si>
  <si>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</si>
  <si>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</si>
  <si>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</si>
  <si>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</si>
  <si>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</si>
  <si>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</si>
  <si>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</si>
  <si>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</si>
  <si>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</si>
  <si>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</si>
  <si>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</si>
  <si>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</si>
  <si>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</si>
  <si>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</si>
  <si>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</si>
  <si>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</si>
  <si>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</si>
  <si>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</si>
  <si>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</si>
  <si>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</si>
  <si>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</si>
  <si>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</si>
  <si>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</si>
  <si>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</si>
  <si>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</si>
  <si>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</si>
  <si>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</si>
  <si>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</si>
  <si>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</si>
  <si>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</si>
  <si>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</si>
  <si>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</si>
  <si>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</si>
  <si>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</si>
  <si>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</si>
  <si>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</si>
  <si>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</si>
  <si>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</si>
  <si>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</si>
  <si>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</si>
  <si>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</si>
  <si>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</si>
  <si>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</si>
  <si>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</si>
  <si>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</si>
  <si>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</si>
  <si>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</si>
  <si>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</si>
  <si>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</si>
  <si>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</si>
  <si>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</si>
  <si>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</si>
  <si>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</si>
  <si>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</si>
  <si>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</si>
  <si>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</si>
  <si>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</si>
  <si>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</si>
  <si>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</si>
  <si>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</si>
  <si>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</si>
  <si>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</si>
  <si>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</si>
  <si>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</si>
  <si>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</si>
  <si>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</si>
  <si>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</si>
  <si>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</si>
  <si>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</si>
  <si>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</si>
  <si>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</si>
  <si>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</si>
  <si>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</si>
  <si>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</si>
  <si>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</si>
  <si>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</si>
  <si>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</si>
  <si>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</si>
  <si>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</si>
  <si>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</si>
  <si>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</si>
  <si>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</si>
  <si>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</si>
  <si>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</si>
  <si>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</si>
  <si>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</si>
  <si>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</si>
  <si>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</si>
  <si>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</si>
  <si>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</si>
  <si>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</si>
  <si>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</si>
  <si>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</si>
  <si>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</si>
  <si>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</si>
  <si>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</si>
  <si>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</si>
  <si>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</si>
  <si>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</si>
  <si>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</si>
  <si>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</si>
  <si>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</si>
  <si>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</si>
  <si>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</si>
  <si>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</si>
  <si>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</si>
  <si>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</si>
  <si>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</si>
  <si>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</si>
  <si>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</si>
  <si>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</si>
  <si>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</si>
  <si>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</si>
  <si>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</si>
  <si>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</si>
  <si>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</si>
  <si>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</si>
  <si>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</si>
  <si>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</si>
  <si>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</si>
  <si>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Mynest Money Market Fund</t>
  </si>
  <si>
    <t>NAV, Unit Price and Yield as at Week Ended April 10, 2026</t>
  </si>
  <si>
    <t>Myrtle Balanced Plus Fund</t>
  </si>
  <si>
    <t>Myrtle Dollar Shield Fund</t>
  </si>
  <si>
    <t>Week Ended April 10, 2026</t>
  </si>
  <si>
    <t>WEEKLY VALUATION REPORT OF COLLECTIVE INVESTMENT SCHEMES AS AT WEEK ENDED FRIDAY, APRIL 17, 2026</t>
  </si>
  <si>
    <t>NFEM RATE NG₦/US$ as at 17th April, 2026 = N1343.6398</t>
  </si>
  <si>
    <t>NAV, Unit Price and Yield as at Week Ended April 17, 2026</t>
  </si>
  <si>
    <t>Week Ended April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</si>
</sst>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sz val="8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2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3" fillId="2" borderId="0" xfId="1" applyFont="1" applyFill="1" applyBorder="1"/>
    <xf numFmtId="4" fontId="13" fillId="2" borderId="0" xfId="0" applyNumberFormat="1" applyFont="1" applyFill="1"/>
    <xf numFmtId="0" fontId="4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10" fontId="24" fillId="10" borderId="0" xfId="2" applyNumberFormat="1" applyFont="1" applyFill="1" applyAlignment="1">
      <alignment horizontal="right" vertical="center" wrapText="1"/>
    </xf>
    <xf numFmtId="164" fontId="4" fillId="2" borderId="0" xfId="1" applyFont="1" applyFill="1" applyBorder="1" applyAlignment="1">
      <alignment horizontal="right" vertical="top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50" fillId="2" borderId="0" xfId="0" applyFont="1" applyFill="1" applyAlignment="1">
      <alignment horizontal="right"/>
    </xf>
    <xf numFmtId="16" fontId="50" fillId="2" borderId="0" xfId="0" applyNumberFormat="1" applyFont="1" applyFill="1" applyAlignment="1">
      <alignment horizontal="center" wrapText="1"/>
    </xf>
    <xf numFmtId="0" fontId="51" fillId="2" borderId="0" xfId="0" applyFont="1" applyFill="1"/>
    <xf numFmtId="0" fontId="50" fillId="2" borderId="0" xfId="0" applyFont="1" applyFill="1" applyAlignment="1">
      <alignment horizontal="right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5" fillId="2" borderId="0" xfId="0" applyFont="1" applyFill="1" applyAlignment="1">
      <alignment horizontal="right" wrapText="1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20" fillId="0" borderId="1" xfId="0" applyNumberFormat="1" applyFont="1" applyBorder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  <xf numFmtId="164" fontId="53" fillId="2" borderId="2" xfId="1" applyFont="1" applyFill="1" applyBorder="1"/>
    <xf numFmtId="10" fontId="53" fillId="2" borderId="2" xfId="2" applyNumberFormat="1" applyFont="1" applyFill="1" applyBorder="1"/>
    <xf numFmtId="164" fontId="53" fillId="2" borderId="2" xfId="1" applyFont="1" applyFill="1" applyBorder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10,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183.8473763187514</c:v>
                </c:pt>
                <c:pt idx="1">
                  <c:v>5619.0014664436776</c:v>
                </c:pt>
                <c:pt idx="2">
                  <c:v>237.02551254387481</c:v>
                </c:pt>
                <c:pt idx="3">
                  <c:v>1821.1793663458789</c:v>
                </c:pt>
                <c:pt idx="4">
                  <c:v>504.64319293491315</c:v>
                </c:pt>
                <c:pt idx="5" formatCode="_-* #,##0.00_-;\-* #,##0.00_-;_-* &quot;-&quot;??_-;_-@_-">
                  <c:v>125.20370858952214</c:v>
                </c:pt>
                <c:pt idx="6">
                  <c:v>15.435732579870001</c:v>
                </c:pt>
                <c:pt idx="7">
                  <c:v>117.11127480880343</c:v>
                </c:pt>
                <c:pt idx="8">
                  <c:v>31.36911643853562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17,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198.1022539740199</c:v>
                </c:pt>
                <c:pt idx="1">
                  <c:v>5663.6463496105916</c:v>
                </c:pt>
                <c:pt idx="2">
                  <c:v>237.15404274345843</c:v>
                </c:pt>
                <c:pt idx="3">
                  <c:v>1809.9686364740674</c:v>
                </c:pt>
                <c:pt idx="4">
                  <c:v>505.0606137544417</c:v>
                </c:pt>
                <c:pt idx="5" formatCode="_-* #,##0.00_-;\-* #,##0.00_-;_-* &quot;-&quot;??_-;_-@_-">
                  <c:v>130.92364111656394</c:v>
                </c:pt>
                <c:pt idx="6">
                  <c:v>16.71368421259</c:v>
                </c:pt>
                <c:pt idx="7">
                  <c:v>120.56530523860492</c:v>
                </c:pt>
                <c:pt idx="8">
                  <c:v>31.487849239809496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17TH APRIL,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17-Apr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16713684212.59</c:v>
                </c:pt>
                <c:pt idx="1">
                  <c:v>31487849239.809494</c:v>
                </c:pt>
                <c:pt idx="2">
                  <c:v>120565305238.60492</c:v>
                </c:pt>
                <c:pt idx="3" formatCode="_-* #,##0.00_-;\-* #,##0.00_-;_-* &quot;-&quot;??_-;_-@_-">
                  <c:v>130923641116.56393</c:v>
                </c:pt>
                <c:pt idx="4">
                  <c:v>198102253974.0199</c:v>
                </c:pt>
                <c:pt idx="5">
                  <c:v>237154042743.45844</c:v>
                </c:pt>
                <c:pt idx="6">
                  <c:v>505060613754.44171</c:v>
                </c:pt>
                <c:pt idx="7">
                  <c:v>1809968636474.0674</c:v>
                </c:pt>
                <c:pt idx="8">
                  <c:v>5663646349610.5918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46080</c:v>
                </c:pt>
                <c:pt idx="1">
                  <c:v>46087</c:v>
                </c:pt>
                <c:pt idx="2">
                  <c:v>46094</c:v>
                </c:pt>
                <c:pt idx="3">
                  <c:v>46099</c:v>
                </c:pt>
                <c:pt idx="4">
                  <c:v>46108</c:v>
                </c:pt>
                <c:pt idx="5">
                  <c:v>46114</c:v>
                </c:pt>
                <c:pt idx="6">
                  <c:v>46122</c:v>
                </c:pt>
                <c:pt idx="7">
                  <c:v>46129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8244.4012797571122</c:v>
                </c:pt>
                <c:pt idx="1">
                  <c:v>8344.3102028916874</c:v>
                </c:pt>
                <c:pt idx="2">
                  <c:v>8362.1373987365132</c:v>
                </c:pt>
                <c:pt idx="3">
                  <c:v>8418.7881429582667</c:v>
                </c:pt>
                <c:pt idx="4">
                  <c:v>8440.5567676688224</c:v>
                </c:pt>
                <c:pt idx="5">
                  <c:v>8593.7769156229697</c:v>
                </c:pt>
                <c:pt idx="6">
                  <c:v>8654.8382855665022</c:v>
                </c:pt>
                <c:pt idx="7">
                  <c:v>8713.6223763641447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46080</c:v>
                </c:pt>
                <c:pt idx="1">
                  <c:v>46087</c:v>
                </c:pt>
                <c:pt idx="2">
                  <c:v>46094</c:v>
                </c:pt>
                <c:pt idx="3">
                  <c:v>46099</c:v>
                </c:pt>
                <c:pt idx="4">
                  <c:v>46108</c:v>
                </c:pt>
                <c:pt idx="5">
                  <c:v>46114</c:v>
                </c:pt>
                <c:pt idx="6">
                  <c:v>46122</c:v>
                </c:pt>
                <c:pt idx="7">
                  <c:v>46129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23.429388175410001</c:v>
                </c:pt>
                <c:pt idx="1">
                  <c:v>23.933072983509998</c:v>
                </c:pt>
                <c:pt idx="2">
                  <c:v>24.024073678480001</c:v>
                </c:pt>
                <c:pt idx="3">
                  <c:v>24.06611184246</c:v>
                </c:pt>
                <c:pt idx="4">
                  <c:v>24.226803601379999</c:v>
                </c:pt>
                <c:pt idx="5">
                  <c:v>24.882508960419997</c:v>
                </c:pt>
                <c:pt idx="6">
                  <c:v>25.247393537559997</c:v>
                </c:pt>
                <c:pt idx="7">
                  <c:v>27.644948093229999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5"/>
  <sheetViews>
    <sheetView tabSelected="1" zoomScale="120" zoomScaleNormal="120" workbookViewId="0">
      <pane ySplit="3" topLeftCell="A4" activePane="bottomLeft" state="frozen"/>
      <selection activeCell="K15" sqref="K15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6" ht="27">
      <c r="A1" s="196" t="s">
        <v>341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</row>
    <row r="2" spans="1:26" ht="14.4" customHeight="1">
      <c r="A2" s="24"/>
      <c r="B2" s="25"/>
      <c r="C2" s="26"/>
      <c r="D2" s="197" t="s">
        <v>337</v>
      </c>
      <c r="E2" s="197"/>
      <c r="F2" s="197"/>
      <c r="G2" s="197"/>
      <c r="H2" s="197"/>
      <c r="I2" s="197"/>
      <c r="J2" s="197"/>
      <c r="K2" s="197" t="s">
        <v>343</v>
      </c>
      <c r="L2" s="197"/>
      <c r="M2" s="197"/>
      <c r="N2" s="197"/>
      <c r="O2" s="197"/>
      <c r="P2" s="197"/>
      <c r="Q2" s="197"/>
      <c r="R2" s="197" t="s">
        <v>0</v>
      </c>
      <c r="S2" s="197"/>
      <c r="T2" s="197"/>
      <c r="U2" s="197" t="s">
        <v>1</v>
      </c>
      <c r="V2" s="197"/>
    </row>
    <row r="3" spans="1:26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5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  <c r="X3" s="201"/>
      <c r="Z3" s="199"/>
    </row>
    <row r="4" spans="1:26" ht="5.25" customHeight="1">
      <c r="A4" s="32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</row>
    <row r="5" spans="1:26" ht="15" customHeight="1">
      <c r="A5" s="194" t="s">
        <v>17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</row>
    <row r="6" spans="1:26">
      <c r="A6" s="183">
        <v>1</v>
      </c>
      <c r="B6" s="148" t="s">
        <v>18</v>
      </c>
      <c r="C6" s="147" t="s">
        <v>19</v>
      </c>
      <c r="D6" s="144">
        <v>10385460485.780001</v>
      </c>
      <c r="E6" s="142">
        <f t="shared" ref="E6:E24" si="0">(D6/$D$26)</f>
        <v>5.6489576809482821E-2</v>
      </c>
      <c r="F6" s="144">
        <v>802.13239999999996</v>
      </c>
      <c r="G6" s="144">
        <v>805.70619999999997</v>
      </c>
      <c r="H6" s="36">
        <v>1705</v>
      </c>
      <c r="I6" s="57">
        <v>1.4500000000000001E-2</v>
      </c>
      <c r="J6" s="57">
        <v>0.29599999999999999</v>
      </c>
      <c r="K6" s="144">
        <v>11148977402.26</v>
      </c>
      <c r="L6" s="142">
        <f t="shared" ref="L6:L25" si="1">(K6/$K$26)</f>
        <v>5.6278902327492608E-2</v>
      </c>
      <c r="M6" s="144">
        <v>843.9828</v>
      </c>
      <c r="N6" s="144">
        <v>847.78959999999995</v>
      </c>
      <c r="O6" s="36">
        <v>1705</v>
      </c>
      <c r="P6" s="57">
        <v>5.2200000000000003E-2</v>
      </c>
      <c r="Q6" s="57">
        <v>0.36359999999999998</v>
      </c>
      <c r="R6" s="62">
        <f>((K6-D6)/D6)</f>
        <v>7.3517868324223426E-2</v>
      </c>
      <c r="S6" s="62">
        <f>((N6-G6)/G6)</f>
        <v>5.2231694381897502E-2</v>
      </c>
      <c r="T6" s="62">
        <f>((O6-H6)/H6)</f>
        <v>0</v>
      </c>
      <c r="U6" s="62">
        <f>P6-I6</f>
        <v>3.7700000000000004E-2</v>
      </c>
      <c r="V6" s="63">
        <f>Q6-J6</f>
        <v>6.7599999999999993E-2</v>
      </c>
      <c r="W6" s="145"/>
    </row>
    <row r="7" spans="1:26">
      <c r="A7" s="183">
        <v>2</v>
      </c>
      <c r="B7" s="148" t="s">
        <v>20</v>
      </c>
      <c r="C7" s="147" t="s">
        <v>21</v>
      </c>
      <c r="D7" s="33">
        <v>1807192968.54</v>
      </c>
      <c r="E7" s="34">
        <f t="shared" si="0"/>
        <v>9.8298545496059726E-3</v>
      </c>
      <c r="F7" s="33">
        <v>536.96990000000005</v>
      </c>
      <c r="G7" s="33">
        <v>543.92250000000001</v>
      </c>
      <c r="H7" s="35">
        <v>743</v>
      </c>
      <c r="I7" s="56">
        <v>7.0159999999999997E-3</v>
      </c>
      <c r="J7" s="56">
        <v>0.31080000000000002</v>
      </c>
      <c r="K7" s="33">
        <v>1883634998.9300001</v>
      </c>
      <c r="L7" s="34">
        <f t="shared" si="1"/>
        <v>9.5083976135729841E-3</v>
      </c>
      <c r="M7" s="33">
        <v>555.6721</v>
      </c>
      <c r="N7" s="33">
        <v>562.85220000000004</v>
      </c>
      <c r="O7" s="35">
        <v>751</v>
      </c>
      <c r="P7" s="56">
        <v>1.2541999999999999E-2</v>
      </c>
      <c r="Q7" s="56">
        <v>0.35639999999999999</v>
      </c>
      <c r="R7" s="61">
        <f t="shared" ref="R7:R26" si="2">((K7-D7)/D7)</f>
        <v>4.2298764836251161E-2</v>
      </c>
      <c r="S7" s="61">
        <f t="shared" ref="S7:S26" si="3">((N7-G7)/G7)</f>
        <v>3.4802200681163263E-2</v>
      </c>
      <c r="T7" s="61">
        <f t="shared" ref="T7:T26" si="4">((O7-H7)/H7)</f>
        <v>1.0767160161507403E-2</v>
      </c>
      <c r="U7" s="62">
        <f t="shared" ref="U7:U26" si="5">P7-I7</f>
        <v>5.5259999999999997E-3</v>
      </c>
      <c r="V7" s="63">
        <f t="shared" ref="V7:V26" si="6">Q7-J7</f>
        <v>4.5599999999999974E-2</v>
      </c>
    </row>
    <row r="8" spans="1:26">
      <c r="A8" s="183">
        <v>3</v>
      </c>
      <c r="B8" s="148" t="s">
        <v>22</v>
      </c>
      <c r="C8" s="147" t="s">
        <v>23</v>
      </c>
      <c r="D8" s="33">
        <v>14089650102.389999</v>
      </c>
      <c r="E8" s="34">
        <f t="shared" si="0"/>
        <v>7.6637754557680543E-2</v>
      </c>
      <c r="F8" s="33">
        <v>68.412099999999995</v>
      </c>
      <c r="G8" s="146">
        <v>70.474800000000002</v>
      </c>
      <c r="H8" s="36">
        <v>10414</v>
      </c>
      <c r="I8" s="57">
        <v>0.96630000000000005</v>
      </c>
      <c r="J8" s="57">
        <v>1.0646</v>
      </c>
      <c r="K8" s="33">
        <v>15197163405.07</v>
      </c>
      <c r="L8" s="34">
        <f t="shared" si="1"/>
        <v>7.6713732934421991E-2</v>
      </c>
      <c r="M8" s="33">
        <v>71.467299999999994</v>
      </c>
      <c r="N8" s="146">
        <v>73.622100000000003</v>
      </c>
      <c r="O8" s="36">
        <v>10641</v>
      </c>
      <c r="P8" s="57">
        <v>4.4699999999999997E-2</v>
      </c>
      <c r="Q8" s="57">
        <v>0.34939999999999999</v>
      </c>
      <c r="R8" s="61">
        <f t="shared" si="2"/>
        <v>7.8604741397526615E-2</v>
      </c>
      <c r="S8" s="61">
        <f t="shared" si="3"/>
        <v>4.4658516235590612E-2</v>
      </c>
      <c r="T8" s="61">
        <f t="shared" si="4"/>
        <v>2.1797580180526216E-2</v>
      </c>
      <c r="U8" s="62">
        <f t="shared" si="5"/>
        <v>-0.92160000000000009</v>
      </c>
      <c r="V8" s="63">
        <f t="shared" si="6"/>
        <v>-0.71520000000000006</v>
      </c>
      <c r="W8" s="134"/>
      <c r="X8" s="160"/>
      <c r="Y8" s="64"/>
      <c r="Z8" s="200"/>
    </row>
    <row r="9" spans="1:26">
      <c r="A9" s="183">
        <v>4</v>
      </c>
      <c r="B9" s="148" t="s">
        <v>24</v>
      </c>
      <c r="C9" s="147" t="s">
        <v>25</v>
      </c>
      <c r="D9" s="33">
        <v>2439502334.1300001</v>
      </c>
      <c r="E9" s="34">
        <f t="shared" si="0"/>
        <v>1.3269171325569712E-2</v>
      </c>
      <c r="F9" s="33">
        <v>322.70729999999998</v>
      </c>
      <c r="G9" s="33">
        <v>322.70729999999998</v>
      </c>
      <c r="H9" s="35">
        <v>2509</v>
      </c>
      <c r="I9" s="56">
        <v>2.1000000000000001E-2</v>
      </c>
      <c r="J9" s="56">
        <v>0.28949999999999998</v>
      </c>
      <c r="K9" s="33">
        <v>2566694898.8499999</v>
      </c>
      <c r="L9" s="34">
        <f t="shared" si="1"/>
        <v>1.2956414414076323E-2</v>
      </c>
      <c r="M9" s="33">
        <v>337.78539999999998</v>
      </c>
      <c r="N9" s="33">
        <v>337.78539999999998</v>
      </c>
      <c r="O9" s="35">
        <v>2529</v>
      </c>
      <c r="P9" s="56">
        <v>4.6699999999999998E-2</v>
      </c>
      <c r="Q9" s="56">
        <v>0.34970000000000001</v>
      </c>
      <c r="R9" s="61">
        <f t="shared" si="2"/>
        <v>5.2138734585536063E-2</v>
      </c>
      <c r="S9" s="61">
        <f t="shared" si="3"/>
        <v>4.6723764848207672E-2</v>
      </c>
      <c r="T9" s="61">
        <f t="shared" si="4"/>
        <v>7.971303308090873E-3</v>
      </c>
      <c r="U9" s="62">
        <f t="shared" si="5"/>
        <v>2.5699999999999997E-2</v>
      </c>
      <c r="V9" s="63">
        <f t="shared" si="6"/>
        <v>6.0200000000000031E-2</v>
      </c>
    </row>
    <row r="10" spans="1:26">
      <c r="A10" s="183">
        <v>5</v>
      </c>
      <c r="B10" s="148" t="s">
        <v>26</v>
      </c>
      <c r="C10" s="147" t="s">
        <v>27</v>
      </c>
      <c r="D10" s="33">
        <v>7060077309.3400002</v>
      </c>
      <c r="E10" s="34">
        <f t="shared" si="0"/>
        <v>3.8401838800785279E-2</v>
      </c>
      <c r="F10" s="33">
        <v>2.5211999999999999</v>
      </c>
      <c r="G10" s="33">
        <v>2.5543</v>
      </c>
      <c r="H10" s="35">
        <v>1927</v>
      </c>
      <c r="I10" s="56">
        <v>0.03</v>
      </c>
      <c r="J10" s="56">
        <v>0.3634</v>
      </c>
      <c r="K10" s="33">
        <v>8119389018.21</v>
      </c>
      <c r="L10" s="34">
        <f>(K10/$K$26)</f>
        <v>4.0985848748973937E-2</v>
      </c>
      <c r="M10" s="33">
        <v>2.7484000000000002</v>
      </c>
      <c r="N10" s="33">
        <v>2.7854999999999999</v>
      </c>
      <c r="O10" s="35">
        <v>2007</v>
      </c>
      <c r="P10" s="56">
        <v>9.0300000000000005E-2</v>
      </c>
      <c r="Q10" s="56">
        <v>0.48649999999999999</v>
      </c>
      <c r="R10" s="61">
        <f t="shared" si="2"/>
        <v>0.15004250838281938</v>
      </c>
      <c r="S10" s="61">
        <f t="shared" si="3"/>
        <v>9.0514035156402869E-2</v>
      </c>
      <c r="T10" s="61">
        <f t="shared" si="4"/>
        <v>4.1515308770108977E-2</v>
      </c>
      <c r="U10" s="62">
        <f t="shared" si="5"/>
        <v>6.0300000000000006E-2</v>
      </c>
      <c r="V10" s="63">
        <f t="shared" si="6"/>
        <v>0.12309999999999999</v>
      </c>
    </row>
    <row r="11" spans="1:26">
      <c r="A11" s="183">
        <v>6</v>
      </c>
      <c r="B11" s="148" t="s">
        <v>28</v>
      </c>
      <c r="C11" s="147" t="s">
        <v>29</v>
      </c>
      <c r="D11" s="37">
        <v>590258688.89999998</v>
      </c>
      <c r="E11" s="34">
        <f t="shared" si="0"/>
        <v>3.2105907667489345E-3</v>
      </c>
      <c r="F11" s="33">
        <v>294.61970000000002</v>
      </c>
      <c r="G11" s="33">
        <v>297.09339999999997</v>
      </c>
      <c r="H11" s="36">
        <v>173</v>
      </c>
      <c r="I11" s="57">
        <v>5.9030000000000003E-3</v>
      </c>
      <c r="J11" s="57">
        <v>0.376</v>
      </c>
      <c r="K11" s="37">
        <v>631530281.70000005</v>
      </c>
      <c r="L11" s="34">
        <f t="shared" si="1"/>
        <v>3.187900536370586E-3</v>
      </c>
      <c r="M11" s="33">
        <v>308.46319999999997</v>
      </c>
      <c r="N11" s="33">
        <v>311.02710000000002</v>
      </c>
      <c r="O11" s="36">
        <v>176</v>
      </c>
      <c r="P11" s="57">
        <v>1.1270000000000001E-2</v>
      </c>
      <c r="Q11" s="57">
        <v>0.44069999999999998</v>
      </c>
      <c r="R11" s="61">
        <f t="shared" si="2"/>
        <v>6.9921194852571145E-2</v>
      </c>
      <c r="S11" s="61">
        <f t="shared" si="3"/>
        <v>4.6900065770562542E-2</v>
      </c>
      <c r="T11" s="61">
        <f t="shared" si="4"/>
        <v>1.7341040462427744E-2</v>
      </c>
      <c r="U11" s="62">
        <f t="shared" si="5"/>
        <v>5.3670000000000002E-3</v>
      </c>
      <c r="V11" s="63">
        <f t="shared" si="6"/>
        <v>6.469999999999998E-2</v>
      </c>
    </row>
    <row r="12" spans="1:26">
      <c r="A12" s="183">
        <v>7</v>
      </c>
      <c r="B12" s="148" t="s">
        <v>30</v>
      </c>
      <c r="C12" s="147" t="s">
        <v>82</v>
      </c>
      <c r="D12" s="33">
        <v>5308402755.8500004</v>
      </c>
      <c r="E12" s="34">
        <f t="shared" si="0"/>
        <v>2.8873965253909218E-2</v>
      </c>
      <c r="F12" s="33">
        <v>567.26</v>
      </c>
      <c r="G12" s="33">
        <v>575.84</v>
      </c>
      <c r="H12" s="36">
        <v>2035</v>
      </c>
      <c r="I12" s="57">
        <v>2.1299999999999999E-2</v>
      </c>
      <c r="J12" s="57">
        <v>0.25130000000000002</v>
      </c>
      <c r="K12" s="33">
        <v>5741991965.8999996</v>
      </c>
      <c r="L12" s="34">
        <f t="shared" si="1"/>
        <v>2.8984990582959409E-2</v>
      </c>
      <c r="M12" s="33">
        <v>599.4</v>
      </c>
      <c r="N12" s="33">
        <v>608.35</v>
      </c>
      <c r="O12" s="36">
        <v>2046</v>
      </c>
      <c r="P12" s="57">
        <v>5.6599999999999998E-2</v>
      </c>
      <c r="Q12" s="57">
        <v>0.32219999999999999</v>
      </c>
      <c r="R12" s="61">
        <f t="shared" si="2"/>
        <v>8.1679787686074201E-2</v>
      </c>
      <c r="S12" s="61">
        <f t="shared" si="3"/>
        <v>5.645665462628506E-2</v>
      </c>
      <c r="T12" s="61">
        <f t="shared" si="4"/>
        <v>5.4054054054054057E-3</v>
      </c>
      <c r="U12" s="62">
        <f t="shared" si="5"/>
        <v>3.5299999999999998E-2</v>
      </c>
      <c r="V12" s="63">
        <f t="shared" si="6"/>
        <v>7.0899999999999963E-2</v>
      </c>
      <c r="W12" s="134"/>
      <c r="X12" s="134"/>
    </row>
    <row r="13" spans="1:26">
      <c r="A13" s="183">
        <v>8</v>
      </c>
      <c r="B13" s="148" t="s">
        <v>31</v>
      </c>
      <c r="C13" s="147" t="s">
        <v>32</v>
      </c>
      <c r="D13" s="38">
        <v>613362440.66999996</v>
      </c>
      <c r="E13" s="34">
        <f t="shared" si="0"/>
        <v>3.3362588738093425E-3</v>
      </c>
      <c r="F13" s="33">
        <v>306.38</v>
      </c>
      <c r="G13" s="33">
        <v>320.02</v>
      </c>
      <c r="H13" s="35">
        <v>2469</v>
      </c>
      <c r="I13" s="56">
        <v>0.11070000000000001</v>
      </c>
      <c r="J13" s="56">
        <v>0.21240000000000001</v>
      </c>
      <c r="K13" s="38">
        <v>619293130.48000002</v>
      </c>
      <c r="L13" s="34">
        <f t="shared" si="1"/>
        <v>3.1261286434490399E-3</v>
      </c>
      <c r="M13" s="33">
        <v>309.33999999999997</v>
      </c>
      <c r="N13" s="33">
        <v>323.17</v>
      </c>
      <c r="O13" s="35">
        <v>2469</v>
      </c>
      <c r="P13" s="56">
        <v>9.6600000000000002E-3</v>
      </c>
      <c r="Q13" s="56">
        <v>0.22409999999999999</v>
      </c>
      <c r="R13" s="61">
        <f t="shared" si="2"/>
        <v>9.6691440765784998E-3</v>
      </c>
      <c r="S13" s="61">
        <f t="shared" si="3"/>
        <v>9.8431348040748518E-3</v>
      </c>
      <c r="T13" s="61">
        <f t="shared" si="4"/>
        <v>0</v>
      </c>
      <c r="U13" s="62">
        <f t="shared" si="5"/>
        <v>-0.10104</v>
      </c>
      <c r="V13" s="63">
        <f t="shared" si="6"/>
        <v>1.1699999999999988E-2</v>
      </c>
    </row>
    <row r="14" spans="1:26">
      <c r="A14" s="183">
        <v>9</v>
      </c>
      <c r="B14" s="148" t="s">
        <v>33</v>
      </c>
      <c r="C14" s="147" t="s">
        <v>34</v>
      </c>
      <c r="D14" s="37">
        <v>125792078.0914</v>
      </c>
      <c r="E14" s="34">
        <f t="shared" si="0"/>
        <v>6.8422014287168218E-4</v>
      </c>
      <c r="F14" s="33">
        <v>436.54250000000002</v>
      </c>
      <c r="G14" s="33">
        <v>451.09280000000001</v>
      </c>
      <c r="H14" s="35">
        <v>40</v>
      </c>
      <c r="I14" s="56">
        <v>2.07E-2</v>
      </c>
      <c r="J14" s="56">
        <v>0.37840000000000001</v>
      </c>
      <c r="K14" s="37">
        <v>132091543.40989999</v>
      </c>
      <c r="L14" s="34">
        <f t="shared" si="1"/>
        <v>6.6678465671179661E-4</v>
      </c>
      <c r="M14" s="33">
        <v>456.6884</v>
      </c>
      <c r="N14" s="33">
        <v>472.00920000000002</v>
      </c>
      <c r="O14" s="35">
        <v>40</v>
      </c>
      <c r="P14" s="56">
        <v>4.6300000000000001E-2</v>
      </c>
      <c r="Q14" s="56">
        <v>0.44219999999999998</v>
      </c>
      <c r="R14" s="61">
        <f t="shared" si="2"/>
        <v>5.0078394554566717E-2</v>
      </c>
      <c r="S14" s="61">
        <f t="shared" si="3"/>
        <v>4.6368286082154292E-2</v>
      </c>
      <c r="T14" s="61">
        <f t="shared" si="4"/>
        <v>0</v>
      </c>
      <c r="U14" s="62">
        <f t="shared" si="5"/>
        <v>2.5600000000000001E-2</v>
      </c>
      <c r="V14" s="63">
        <f t="shared" si="6"/>
        <v>6.3799999999999968E-2</v>
      </c>
    </row>
    <row r="15" spans="1:26" ht="14.25" customHeight="1">
      <c r="A15" s="183">
        <v>10</v>
      </c>
      <c r="B15" s="148" t="s">
        <v>35</v>
      </c>
      <c r="C15" s="147" t="s">
        <v>36</v>
      </c>
      <c r="D15" s="38">
        <v>15715983578.65</v>
      </c>
      <c r="E15" s="34">
        <f t="shared" si="0"/>
        <v>8.5483861088133772E-2</v>
      </c>
      <c r="F15" s="33">
        <v>5.4220410000000001</v>
      </c>
      <c r="G15" s="33">
        <v>5.4745010000000001</v>
      </c>
      <c r="H15" s="35">
        <v>8477</v>
      </c>
      <c r="I15" s="56">
        <v>-3.5000000000000001E-3</v>
      </c>
      <c r="J15" s="56">
        <v>0.3629</v>
      </c>
      <c r="K15" s="38">
        <v>17431825909.990002</v>
      </c>
      <c r="L15" s="34">
        <f t="shared" si="1"/>
        <v>8.7994081643695474E-2</v>
      </c>
      <c r="M15" s="33">
        <v>5.694979</v>
      </c>
      <c r="N15" s="33">
        <v>5.7469000000000001</v>
      </c>
      <c r="O15" s="35">
        <v>8934</v>
      </c>
      <c r="P15" s="56">
        <v>5.0299999999999997E-2</v>
      </c>
      <c r="Q15" s="56">
        <v>0.43149999999999999</v>
      </c>
      <c r="R15" s="61">
        <f t="shared" si="2"/>
        <v>0.10917817028461115</v>
      </c>
      <c r="S15" s="61">
        <f t="shared" si="3"/>
        <v>4.9757777010178653E-2</v>
      </c>
      <c r="T15" s="61">
        <f t="shared" si="4"/>
        <v>5.391058157366993E-2</v>
      </c>
      <c r="U15" s="62">
        <f t="shared" si="5"/>
        <v>5.3800000000000001E-2</v>
      </c>
      <c r="V15" s="63">
        <f t="shared" si="6"/>
        <v>6.8599999999999994E-2</v>
      </c>
    </row>
    <row r="16" spans="1:26" ht="14.25" customHeight="1">
      <c r="A16" s="186">
        <v>11</v>
      </c>
      <c r="B16" s="148" t="s">
        <v>37</v>
      </c>
      <c r="C16" s="147" t="s">
        <v>38</v>
      </c>
      <c r="D16" s="38">
        <v>387961424.69999999</v>
      </c>
      <c r="E16" s="34">
        <f t="shared" si="0"/>
        <v>2.1102363953639414E-3</v>
      </c>
      <c r="F16" s="33">
        <v>38.74</v>
      </c>
      <c r="G16" s="33">
        <v>39.04</v>
      </c>
      <c r="H16" s="35">
        <v>109</v>
      </c>
      <c r="I16" s="56">
        <v>0.02</v>
      </c>
      <c r="J16" s="56">
        <v>0.48</v>
      </c>
      <c r="K16" s="38">
        <v>387961424.69999999</v>
      </c>
      <c r="L16" s="34">
        <f t="shared" si="1"/>
        <v>1.958389755377943E-3</v>
      </c>
      <c r="M16" s="33">
        <v>41.58</v>
      </c>
      <c r="N16" s="33">
        <v>41.89</v>
      </c>
      <c r="O16" s="35">
        <v>112</v>
      </c>
      <c r="P16" s="56">
        <v>0.1</v>
      </c>
      <c r="Q16" s="56">
        <v>0.59</v>
      </c>
      <c r="R16" s="61">
        <f t="shared" ref="R16" si="7">((K16-D16)/D16)</f>
        <v>0</v>
      </c>
      <c r="S16" s="61">
        <f t="shared" ref="S16" si="8">((N16-G16)/G16)</f>
        <v>7.3002049180327905E-2</v>
      </c>
      <c r="T16" s="61">
        <f t="shared" ref="T16" si="9">((O16-H16)/H16)</f>
        <v>2.7522935779816515E-2</v>
      </c>
      <c r="U16" s="62">
        <f t="shared" ref="U16" si="10">P16-I16</f>
        <v>0.08</v>
      </c>
      <c r="V16" s="63">
        <f t="shared" ref="V16" si="11">Q16-J16</f>
        <v>0.10999999999999999</v>
      </c>
    </row>
    <row r="17" spans="1:25">
      <c r="A17" s="183">
        <v>12</v>
      </c>
      <c r="B17" s="148" t="s">
        <v>39</v>
      </c>
      <c r="C17" s="147" t="s">
        <v>40</v>
      </c>
      <c r="D17" s="39">
        <v>3832339871.3600001</v>
      </c>
      <c r="E17" s="34">
        <f t="shared" si="0"/>
        <v>2.0845224708105466E-2</v>
      </c>
      <c r="F17" s="33">
        <v>7.35</v>
      </c>
      <c r="G17" s="33">
        <v>7.5</v>
      </c>
      <c r="H17" s="35">
        <v>3791</v>
      </c>
      <c r="I17" s="56">
        <v>0.22450000000000001</v>
      </c>
      <c r="J17" s="56">
        <v>0.32819999999999999</v>
      </c>
      <c r="K17" s="39">
        <v>3968646807.3299999</v>
      </c>
      <c r="L17" s="34">
        <f t="shared" si="1"/>
        <v>2.0033324849753946E-2</v>
      </c>
      <c r="M17" s="33">
        <v>7.6</v>
      </c>
      <c r="N17" s="33">
        <v>7.76</v>
      </c>
      <c r="O17" s="35">
        <v>3794</v>
      </c>
      <c r="P17" s="56">
        <v>0.26629999999999998</v>
      </c>
      <c r="Q17" s="56">
        <v>0.3735</v>
      </c>
      <c r="R17" s="61">
        <f t="shared" si="2"/>
        <v>3.556754895061745E-2</v>
      </c>
      <c r="S17" s="61">
        <f t="shared" si="3"/>
        <v>3.4666666666666637E-2</v>
      </c>
      <c r="T17" s="61">
        <f t="shared" si="4"/>
        <v>7.9134792930625161E-4</v>
      </c>
      <c r="U17" s="62">
        <f t="shared" si="5"/>
        <v>4.1799999999999976E-2</v>
      </c>
      <c r="V17" s="63">
        <f t="shared" si="6"/>
        <v>4.5300000000000007E-2</v>
      </c>
    </row>
    <row r="18" spans="1:25">
      <c r="A18" s="183">
        <v>13</v>
      </c>
      <c r="B18" s="148" t="s">
        <v>41</v>
      </c>
      <c r="C18" s="147" t="s">
        <v>42</v>
      </c>
      <c r="D18" s="33">
        <v>7629626498.4799995</v>
      </c>
      <c r="E18" s="34">
        <f t="shared" si="0"/>
        <v>4.1499784501965835E-2</v>
      </c>
      <c r="F18" s="33">
        <v>43.382522000000002</v>
      </c>
      <c r="G18" s="33">
        <v>43.6</v>
      </c>
      <c r="H18" s="35">
        <v>1647</v>
      </c>
      <c r="I18" s="56">
        <v>2.4299999999999999E-2</v>
      </c>
      <c r="J18" s="56">
        <v>0.3337</v>
      </c>
      <c r="K18" s="33">
        <v>8254682842.8999996</v>
      </c>
      <c r="L18" s="34">
        <f>(K18/$K$26)</f>
        <v>4.166879819541356E-2</v>
      </c>
      <c r="M18" s="33">
        <v>46.620384000000001</v>
      </c>
      <c r="N18" s="33">
        <v>46.841726999999999</v>
      </c>
      <c r="O18" s="35">
        <v>1941</v>
      </c>
      <c r="P18" s="56">
        <v>7.46E-2</v>
      </c>
      <c r="Q18" s="56">
        <v>0.43319999999999997</v>
      </c>
      <c r="R18" s="61">
        <f t="shared" si="2"/>
        <v>8.192489429784354E-2</v>
      </c>
      <c r="S18" s="61">
        <f t="shared" si="3"/>
        <v>7.4351536697247644E-2</v>
      </c>
      <c r="T18" s="61">
        <f t="shared" si="4"/>
        <v>0.1785063752276867</v>
      </c>
      <c r="U18" s="62">
        <f t="shared" si="5"/>
        <v>5.0299999999999997E-2</v>
      </c>
      <c r="V18" s="63">
        <f t="shared" si="6"/>
        <v>9.9499999999999977E-2</v>
      </c>
    </row>
    <row r="19" spans="1:25">
      <c r="A19" s="183">
        <v>14</v>
      </c>
      <c r="B19" s="148" t="s">
        <v>43</v>
      </c>
      <c r="C19" s="147" t="s">
        <v>44</v>
      </c>
      <c r="D19" s="33">
        <v>268273527.03</v>
      </c>
      <c r="E19" s="34">
        <f t="shared" si="0"/>
        <v>1.4592186867267117E-3</v>
      </c>
      <c r="F19" s="33">
        <v>2.7</v>
      </c>
      <c r="G19" s="33">
        <v>2.78</v>
      </c>
      <c r="H19" s="35">
        <v>34</v>
      </c>
      <c r="I19" s="56">
        <v>-4.3099999999999999E-2</v>
      </c>
      <c r="J19" s="56">
        <v>0.3332</v>
      </c>
      <c r="K19" s="33">
        <v>301985656.69</v>
      </c>
      <c r="L19" s="34">
        <f t="shared" si="1"/>
        <v>1.5243928356797186E-3</v>
      </c>
      <c r="M19" s="33">
        <v>2.94</v>
      </c>
      <c r="N19" s="33">
        <v>3.01</v>
      </c>
      <c r="O19" s="35">
        <v>36</v>
      </c>
      <c r="P19" s="56">
        <v>0.16120000000000001</v>
      </c>
      <c r="Q19" s="56">
        <v>0.49440000000000001</v>
      </c>
      <c r="R19" s="61">
        <f t="shared" si="2"/>
        <v>0.12566327372372488</v>
      </c>
      <c r="S19" s="61">
        <f t="shared" si="3"/>
        <v>8.2733812949640287E-2</v>
      </c>
      <c r="T19" s="61">
        <f t="shared" si="4"/>
        <v>5.8823529411764705E-2</v>
      </c>
      <c r="U19" s="62">
        <f t="shared" si="5"/>
        <v>0.20430000000000001</v>
      </c>
      <c r="V19" s="63">
        <f t="shared" si="6"/>
        <v>0.16120000000000001</v>
      </c>
    </row>
    <row r="20" spans="1:25">
      <c r="A20" s="183">
        <v>15</v>
      </c>
      <c r="B20" s="148" t="s">
        <v>45</v>
      </c>
      <c r="C20" s="147" t="s">
        <v>46</v>
      </c>
      <c r="D20" s="140">
        <v>17509465710.34</v>
      </c>
      <c r="E20" s="34">
        <f t="shared" si="0"/>
        <v>9.5239138359975245E-2</v>
      </c>
      <c r="F20" s="33">
        <v>68.569999999999993</v>
      </c>
      <c r="G20" s="33">
        <v>68.599999999999994</v>
      </c>
      <c r="H20" s="35">
        <v>17240</v>
      </c>
      <c r="I20" s="56">
        <v>4.7500000000000001E-2</v>
      </c>
      <c r="J20" s="56">
        <v>0.4446</v>
      </c>
      <c r="K20" s="140">
        <v>19801962224.98</v>
      </c>
      <c r="L20" s="34">
        <f t="shared" si="1"/>
        <v>9.9958288347274063E-2</v>
      </c>
      <c r="M20" s="33">
        <v>74.489999999999995</v>
      </c>
      <c r="N20" s="33">
        <v>74.55</v>
      </c>
      <c r="O20" s="35">
        <v>17512</v>
      </c>
      <c r="P20" s="56">
        <v>0.12479999999999999</v>
      </c>
      <c r="Q20" s="56">
        <v>0.56940000000000002</v>
      </c>
      <c r="R20" s="61">
        <f t="shared" si="2"/>
        <v>0.13092898164712094</v>
      </c>
      <c r="S20" s="61">
        <f t="shared" si="3"/>
        <v>8.6734693877551075E-2</v>
      </c>
      <c r="T20" s="61">
        <f t="shared" si="4"/>
        <v>1.5777262180974479E-2</v>
      </c>
      <c r="U20" s="62">
        <f t="shared" si="5"/>
        <v>7.7299999999999994E-2</v>
      </c>
      <c r="V20" s="63">
        <f t="shared" si="6"/>
        <v>0.12480000000000002</v>
      </c>
    </row>
    <row r="21" spans="1:25" ht="12.75" customHeight="1">
      <c r="A21" s="183">
        <v>16</v>
      </c>
      <c r="B21" s="148" t="s">
        <v>47</v>
      </c>
      <c r="C21" s="147" t="s">
        <v>48</v>
      </c>
      <c r="D21" s="33">
        <v>4151283381.5300002</v>
      </c>
      <c r="E21" s="34">
        <f t="shared" si="0"/>
        <v>2.2580052349143002E-2</v>
      </c>
      <c r="F21" s="33">
        <v>16238.84</v>
      </c>
      <c r="G21" s="33">
        <v>16445.330000000002</v>
      </c>
      <c r="H21" s="35">
        <v>68</v>
      </c>
      <c r="I21" s="56">
        <v>1.55E-2</v>
      </c>
      <c r="J21" s="56">
        <v>0.2787</v>
      </c>
      <c r="K21" s="33">
        <v>4357821025.6099997</v>
      </c>
      <c r="L21" s="34">
        <f t="shared" si="1"/>
        <v>2.1997836663592459E-2</v>
      </c>
      <c r="M21" s="33">
        <v>16611.91</v>
      </c>
      <c r="N21" s="33">
        <v>16824.53</v>
      </c>
      <c r="O21" s="35">
        <v>70</v>
      </c>
      <c r="P21" s="56">
        <v>2.3099999999999999E-2</v>
      </c>
      <c r="Q21" s="56">
        <v>0.30809999999999998</v>
      </c>
      <c r="R21" s="61">
        <f t="shared" si="2"/>
        <v>4.9752721049816109E-2</v>
      </c>
      <c r="S21" s="61">
        <f t="shared" si="3"/>
        <v>2.3058217743274052E-2</v>
      </c>
      <c r="T21" s="61">
        <f t="shared" si="4"/>
        <v>2.9411764705882353E-2</v>
      </c>
      <c r="U21" s="62">
        <f t="shared" si="5"/>
        <v>7.5999999999999991E-3</v>
      </c>
      <c r="V21" s="63">
        <f t="shared" si="6"/>
        <v>2.9399999999999982E-2</v>
      </c>
      <c r="X21" s="134"/>
    </row>
    <row r="22" spans="1:25">
      <c r="A22" s="183">
        <v>17</v>
      </c>
      <c r="B22" s="148" t="s">
        <v>49</v>
      </c>
      <c r="C22" s="147" t="s">
        <v>48</v>
      </c>
      <c r="D22" s="33">
        <v>56806489763.120003</v>
      </c>
      <c r="E22" s="34">
        <f t="shared" si="0"/>
        <v>0.30898722027248238</v>
      </c>
      <c r="F22" s="33">
        <v>56250.37</v>
      </c>
      <c r="G22" s="33">
        <v>56951.62</v>
      </c>
      <c r="H22" s="35">
        <v>27614</v>
      </c>
      <c r="I22" s="56">
        <v>1.1599999999999999E-2</v>
      </c>
      <c r="J22" s="56">
        <v>0.316</v>
      </c>
      <c r="K22" s="33">
        <v>58687001676.720001</v>
      </c>
      <c r="L22" s="34">
        <f t="shared" si="1"/>
        <v>0.29624600679413016</v>
      </c>
      <c r="M22" s="33">
        <v>57539.05</v>
      </c>
      <c r="N22" s="33">
        <v>58274.76</v>
      </c>
      <c r="O22" s="35">
        <v>28012</v>
      </c>
      <c r="P22" s="56">
        <v>2.3199999999999998E-2</v>
      </c>
      <c r="Q22" s="56">
        <v>0.34649999999999997</v>
      </c>
      <c r="R22" s="61">
        <f t="shared" si="2"/>
        <v>3.3103821789405255E-2</v>
      </c>
      <c r="S22" s="61">
        <f t="shared" si="3"/>
        <v>2.3232701721215294E-2</v>
      </c>
      <c r="T22" s="61">
        <f t="shared" si="4"/>
        <v>1.4412978923734337E-2</v>
      </c>
      <c r="U22" s="62">
        <f t="shared" si="5"/>
        <v>1.1599999999999999E-2</v>
      </c>
      <c r="V22" s="63">
        <f t="shared" si="6"/>
        <v>3.0499999999999972E-2</v>
      </c>
    </row>
    <row r="23" spans="1:25">
      <c r="A23" s="186">
        <v>18</v>
      </c>
      <c r="B23" s="147" t="s">
        <v>50</v>
      </c>
      <c r="C23" s="147" t="s">
        <v>51</v>
      </c>
      <c r="D23" s="33">
        <v>13564460563.66</v>
      </c>
      <c r="E23" s="34">
        <f t="shared" si="0"/>
        <v>7.3781094053483653E-2</v>
      </c>
      <c r="F23" s="33">
        <v>2.4845199999999998</v>
      </c>
      <c r="G23" s="40">
        <v>2.5078900000000002</v>
      </c>
      <c r="H23" s="35">
        <v>7933</v>
      </c>
      <c r="I23" s="56">
        <v>8.9999999999999993E-3</v>
      </c>
      <c r="J23" s="56">
        <v>0.29249999999999998</v>
      </c>
      <c r="K23" s="33">
        <v>14112639729.530001</v>
      </c>
      <c r="L23" s="34">
        <f t="shared" si="1"/>
        <v>7.1239167886402749E-2</v>
      </c>
      <c r="M23" s="33">
        <v>2.5674000000000001</v>
      </c>
      <c r="N23" s="40">
        <v>2.5914999999999999</v>
      </c>
      <c r="O23" s="35">
        <v>8032</v>
      </c>
      <c r="P23" s="56">
        <v>3.3300000000000003E-2</v>
      </c>
      <c r="Q23" s="56">
        <v>0.33560000000000001</v>
      </c>
      <c r="R23" s="61">
        <f t="shared" ref="R23:R24" si="12">((K23-D23)/D23)</f>
        <v>4.0412898345445862E-2</v>
      </c>
      <c r="S23" s="61">
        <f t="shared" ref="S23:S24" si="13">((N23-G23)/G23)</f>
        <v>3.333878280147843E-2</v>
      </c>
      <c r="T23" s="61">
        <f t="shared" ref="T23:T24" si="14">((O23-H23)/H23)</f>
        <v>1.2479515946048153E-2</v>
      </c>
      <c r="U23" s="62">
        <f t="shared" ref="U23:U24" si="15">P23-I23</f>
        <v>2.4300000000000002E-2</v>
      </c>
      <c r="V23" s="63">
        <f t="shared" ref="V23:V24" si="16">Q23-J23</f>
        <v>4.3100000000000027E-2</v>
      </c>
    </row>
    <row r="24" spans="1:25">
      <c r="A24" s="186">
        <v>19</v>
      </c>
      <c r="B24" s="148" t="s">
        <v>325</v>
      </c>
      <c r="C24" s="147" t="s">
        <v>123</v>
      </c>
      <c r="D24" s="33">
        <v>4508025965</v>
      </c>
      <c r="E24" s="34">
        <f t="shared" si="0"/>
        <v>2.4520480276988357E-2</v>
      </c>
      <c r="F24" s="33">
        <v>1.62</v>
      </c>
      <c r="G24" s="40">
        <v>1.64</v>
      </c>
      <c r="H24" s="35">
        <v>1173</v>
      </c>
      <c r="I24" s="56">
        <v>5.3400000000000003E-2</v>
      </c>
      <c r="J24" s="56">
        <v>0.59030000000000005</v>
      </c>
      <c r="K24" s="33">
        <v>5702538886.3999996</v>
      </c>
      <c r="L24" s="34">
        <f t="shared" si="1"/>
        <v>2.8785835456207675E-2</v>
      </c>
      <c r="M24" s="33">
        <v>1.73</v>
      </c>
      <c r="N24" s="40">
        <v>1.73</v>
      </c>
      <c r="O24" s="35">
        <v>1383</v>
      </c>
      <c r="P24" s="56">
        <v>7.2499999999999995E-2</v>
      </c>
      <c r="Q24" s="56">
        <v>0.70530000000000004</v>
      </c>
      <c r="R24" s="61">
        <f t="shared" si="12"/>
        <v>0.26497472079223033</v>
      </c>
      <c r="S24" s="61">
        <f t="shared" si="13"/>
        <v>5.4878048780487854E-2</v>
      </c>
      <c r="T24" s="61">
        <f t="shared" si="14"/>
        <v>0.17902813299232737</v>
      </c>
      <c r="U24" s="62">
        <f t="shared" si="15"/>
        <v>1.9099999999999992E-2</v>
      </c>
      <c r="V24" s="63">
        <f t="shared" si="16"/>
        <v>0.11499999999999999</v>
      </c>
    </row>
    <row r="25" spans="1:25">
      <c r="A25" s="183">
        <v>20</v>
      </c>
      <c r="B25" s="147" t="s">
        <v>52</v>
      </c>
      <c r="C25" s="147" t="s">
        <v>53</v>
      </c>
      <c r="D25" s="33">
        <v>17053766871.190001</v>
      </c>
      <c r="E25" s="34">
        <f>(D25/$D$26)</f>
        <v>9.2760458227168135E-2</v>
      </c>
      <c r="F25" s="33">
        <v>308.14</v>
      </c>
      <c r="G25" s="40">
        <v>312.92</v>
      </c>
      <c r="H25" s="35">
        <v>127</v>
      </c>
      <c r="I25" s="56">
        <v>3.5000000000000003E-2</v>
      </c>
      <c r="J25" s="56">
        <v>0.4577</v>
      </c>
      <c r="K25" s="33">
        <v>19054421144.360001</v>
      </c>
      <c r="L25" s="34">
        <f t="shared" si="1"/>
        <v>9.6184777114443593E-2</v>
      </c>
      <c r="M25" s="33">
        <v>328.33</v>
      </c>
      <c r="N25" s="40">
        <v>333.45</v>
      </c>
      <c r="O25" s="35">
        <v>128</v>
      </c>
      <c r="P25" s="56">
        <v>6.5600000000000006E-2</v>
      </c>
      <c r="Q25" s="56">
        <v>0.55330000000000001</v>
      </c>
      <c r="R25" s="61">
        <f t="shared" si="2"/>
        <v>0.11731450818351639</v>
      </c>
      <c r="S25" s="61">
        <f t="shared" si="3"/>
        <v>6.5607823085772635E-2</v>
      </c>
      <c r="T25" s="61">
        <f t="shared" si="4"/>
        <v>7.874015748031496E-3</v>
      </c>
      <c r="U25" s="62">
        <f t="shared" si="5"/>
        <v>3.0600000000000002E-2</v>
      </c>
      <c r="V25" s="63">
        <f t="shared" si="6"/>
        <v>9.5600000000000018E-2</v>
      </c>
      <c r="X25" s="134"/>
      <c r="Y25" s="134"/>
    </row>
    <row r="26" spans="1:25">
      <c r="A26" s="41"/>
      <c r="B26" s="42"/>
      <c r="C26" s="43" t="s">
        <v>54</v>
      </c>
      <c r="D26" s="44">
        <f>SUM(D6:D25)</f>
        <v>183847376318.7514</v>
      </c>
      <c r="E26" s="45">
        <f>(D26/$D$238)</f>
        <v>2.1319475016826846E-2</v>
      </c>
      <c r="F26" s="46"/>
      <c r="G26" s="47"/>
      <c r="H26" s="48">
        <f>SUM(H6:H25)</f>
        <v>90228</v>
      </c>
      <c r="I26" s="58"/>
      <c r="J26" s="35">
        <v>0</v>
      </c>
      <c r="K26" s="44">
        <f>SUM(K6:K25)</f>
        <v>198102253974.0199</v>
      </c>
      <c r="L26" s="45">
        <f>(K26/$K$238)</f>
        <v>2.2817229260283598E-2</v>
      </c>
      <c r="M26" s="46"/>
      <c r="N26" s="47"/>
      <c r="O26" s="48">
        <f>SUM(O6:O25)</f>
        <v>92318</v>
      </c>
      <c r="P26" s="58"/>
      <c r="Q26" s="48"/>
      <c r="R26" s="61">
        <f t="shared" si="2"/>
        <v>7.7536475856765194E-2</v>
      </c>
      <c r="S26" s="61" t="e">
        <f t="shared" si="3"/>
        <v>#DIV/0!</v>
      </c>
      <c r="T26" s="61">
        <f t="shared" si="4"/>
        <v>2.316354125105289E-2</v>
      </c>
      <c r="U26" s="62">
        <f t="shared" si="5"/>
        <v>0</v>
      </c>
      <c r="V26" s="63">
        <f t="shared" si="6"/>
        <v>0</v>
      </c>
    </row>
    <row r="27" spans="1:25" ht="4.5" customHeight="1">
      <c r="A27" s="41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</row>
    <row r="28" spans="1:25" ht="15" customHeight="1">
      <c r="A28" s="194" t="s">
        <v>55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</row>
    <row r="29" spans="1:25">
      <c r="A29" s="181">
        <v>21</v>
      </c>
      <c r="B29" s="148" t="s">
        <v>56</v>
      </c>
      <c r="C29" s="147" t="s">
        <v>19</v>
      </c>
      <c r="D29" s="50">
        <v>6257630005.2299995</v>
      </c>
      <c r="E29" s="34">
        <f t="shared" ref="E29:E36" si="17">(D29/$K$76)</f>
        <v>1.1048765440060092E-3</v>
      </c>
      <c r="F29" s="40">
        <v>100</v>
      </c>
      <c r="G29" s="40">
        <v>100</v>
      </c>
      <c r="H29" s="35">
        <v>928</v>
      </c>
      <c r="I29" s="56">
        <v>0.14649999999999999</v>
      </c>
      <c r="J29" s="56">
        <v>0.14649999999999999</v>
      </c>
      <c r="K29" s="50">
        <v>6234279366.7399998</v>
      </c>
      <c r="L29" s="34">
        <f t="shared" ref="L29:L36" si="18">(K29/$K$76)</f>
        <v>1.1007536456030032E-3</v>
      </c>
      <c r="M29" s="40">
        <v>100</v>
      </c>
      <c r="N29" s="40">
        <v>100</v>
      </c>
      <c r="O29" s="35">
        <v>928</v>
      </c>
      <c r="P29" s="56">
        <v>0.13950000000000001</v>
      </c>
      <c r="Q29" s="56">
        <v>0.13950000000000001</v>
      </c>
      <c r="R29" s="61">
        <f>((K29-D29)/D29)</f>
        <v>-3.7315466830866932E-3</v>
      </c>
      <c r="S29" s="61">
        <f>((N29-G29)/G29)</f>
        <v>0</v>
      </c>
      <c r="T29" s="61">
        <f>((O29-H29)/H29)</f>
        <v>0</v>
      </c>
      <c r="U29" s="61">
        <f>P29-I29</f>
        <v>-6.9999999999999785E-3</v>
      </c>
      <c r="V29" s="108">
        <f>Q29-J29</f>
        <v>-6.9999999999999785E-3</v>
      </c>
    </row>
    <row r="30" spans="1:25">
      <c r="A30" s="181">
        <v>22</v>
      </c>
      <c r="B30" s="148" t="s">
        <v>57</v>
      </c>
      <c r="C30" s="147" t="s">
        <v>58</v>
      </c>
      <c r="D30" s="50">
        <v>39852604151.809998</v>
      </c>
      <c r="E30" s="34">
        <f t="shared" si="17"/>
        <v>7.0365629652264731E-3</v>
      </c>
      <c r="F30" s="40">
        <v>100</v>
      </c>
      <c r="G30" s="40">
        <v>100</v>
      </c>
      <c r="H30" s="35">
        <v>4692</v>
      </c>
      <c r="I30" s="56">
        <v>0.16945299999999999</v>
      </c>
      <c r="J30" s="56">
        <v>0.16945299999999999</v>
      </c>
      <c r="K30" s="50">
        <v>40593620378.239998</v>
      </c>
      <c r="L30" s="34">
        <f t="shared" si="18"/>
        <v>7.167400270504362E-3</v>
      </c>
      <c r="M30" s="40">
        <v>100</v>
      </c>
      <c r="N30" s="40">
        <v>100</v>
      </c>
      <c r="O30" s="35">
        <v>4742</v>
      </c>
      <c r="P30" s="56">
        <v>0.17113</v>
      </c>
      <c r="Q30" s="56">
        <v>0.17113</v>
      </c>
      <c r="R30" s="61">
        <f t="shared" ref="R30:R76" si="19">((K30-D30)/D30)</f>
        <v>1.8593922334592165E-2</v>
      </c>
      <c r="S30" s="61">
        <f t="shared" ref="S30:S76" si="20">((N30-G30)/G30)</f>
        <v>0</v>
      </c>
      <c r="T30" s="61">
        <f t="shared" ref="T30:T76" si="21">((O30-H30)/H30)</f>
        <v>1.0656436487638534E-2</v>
      </c>
      <c r="U30" s="62">
        <f t="shared" ref="U30:U76" si="22">P30-I30</f>
        <v>1.6770000000000118E-3</v>
      </c>
      <c r="V30" s="63">
        <f t="shared" ref="V30:V76" si="23">Q30-J30</f>
        <v>1.6770000000000118E-3</v>
      </c>
    </row>
    <row r="31" spans="1:25">
      <c r="A31" s="181">
        <v>23</v>
      </c>
      <c r="B31" s="148" t="s">
        <v>334</v>
      </c>
      <c r="C31" s="147" t="s">
        <v>333</v>
      </c>
      <c r="D31" s="50">
        <v>1943768633.1199999</v>
      </c>
      <c r="E31" s="34">
        <f t="shared" si="17"/>
        <v>3.432009191840951E-4</v>
      </c>
      <c r="F31" s="40">
        <v>1</v>
      </c>
      <c r="G31" s="40">
        <v>1</v>
      </c>
      <c r="H31" s="35">
        <v>157</v>
      </c>
      <c r="I31" s="56">
        <v>0.1711</v>
      </c>
      <c r="J31" s="56">
        <v>0.1711</v>
      </c>
      <c r="K31" s="50">
        <v>1934563734.5899999</v>
      </c>
      <c r="L31" s="34">
        <f t="shared" si="18"/>
        <v>3.4157565906688581E-4</v>
      </c>
      <c r="M31" s="40">
        <v>1</v>
      </c>
      <c r="N31" s="40">
        <v>1</v>
      </c>
      <c r="O31" s="35">
        <v>167</v>
      </c>
      <c r="P31" s="56">
        <v>0.1946</v>
      </c>
      <c r="Q31" s="56">
        <v>0.1946</v>
      </c>
      <c r="R31" s="61">
        <f t="shared" ref="R31" si="24">((K31-D31)/D31)</f>
        <v>-4.7355937189010608E-3</v>
      </c>
      <c r="S31" s="61">
        <f t="shared" ref="S31" si="25">((N31-G31)/G31)</f>
        <v>0</v>
      </c>
      <c r="T31" s="61">
        <f t="shared" ref="T31" si="26">((O31-H31)/H31)</f>
        <v>6.3694267515923567E-2</v>
      </c>
      <c r="U31" s="62">
        <f t="shared" ref="U31" si="27">P31-I31</f>
        <v>2.3499999999999993E-2</v>
      </c>
      <c r="V31" s="63">
        <f t="shared" ref="V31" si="28">Q31-J31</f>
        <v>2.3499999999999993E-2</v>
      </c>
    </row>
    <row r="32" spans="1:25">
      <c r="A32" s="181">
        <v>24</v>
      </c>
      <c r="B32" s="148" t="s">
        <v>59</v>
      </c>
      <c r="C32" s="147" t="s">
        <v>21</v>
      </c>
      <c r="D32" s="50">
        <v>3245857513.5799999</v>
      </c>
      <c r="E32" s="34">
        <f t="shared" si="17"/>
        <v>5.7310384745388825E-4</v>
      </c>
      <c r="F32" s="40">
        <v>100</v>
      </c>
      <c r="G32" s="40">
        <v>100</v>
      </c>
      <c r="H32" s="35">
        <v>2499</v>
      </c>
      <c r="I32" s="56">
        <v>0.15859999999999999</v>
      </c>
      <c r="J32" s="56">
        <v>0.15859999999999999</v>
      </c>
      <c r="K32" s="50">
        <v>3203307190.6700001</v>
      </c>
      <c r="L32" s="34">
        <f t="shared" si="18"/>
        <v>5.655909625943092E-4</v>
      </c>
      <c r="M32" s="40">
        <v>100</v>
      </c>
      <c r="N32" s="40">
        <v>100</v>
      </c>
      <c r="O32" s="35">
        <v>2510</v>
      </c>
      <c r="P32" s="56">
        <v>0.16120000000000001</v>
      </c>
      <c r="Q32" s="56">
        <v>0.16120000000000001</v>
      </c>
      <c r="R32" s="61">
        <f t="shared" si="19"/>
        <v>-1.3109116075483306E-2</v>
      </c>
      <c r="S32" s="61">
        <f t="shared" si="20"/>
        <v>0</v>
      </c>
      <c r="T32" s="61">
        <f t="shared" si="21"/>
        <v>4.401760704281713E-3</v>
      </c>
      <c r="U32" s="62">
        <f t="shared" si="22"/>
        <v>2.600000000000019E-3</v>
      </c>
      <c r="V32" s="63">
        <f t="shared" si="23"/>
        <v>2.600000000000019E-3</v>
      </c>
    </row>
    <row r="33" spans="1:22">
      <c r="A33" s="181">
        <v>25</v>
      </c>
      <c r="B33" s="148" t="s">
        <v>330</v>
      </c>
      <c r="C33" s="147" t="s">
        <v>331</v>
      </c>
      <c r="D33" s="50">
        <v>859480656.88999999</v>
      </c>
      <c r="E33" s="34">
        <v>0</v>
      </c>
      <c r="F33" s="40">
        <v>100</v>
      </c>
      <c r="G33" s="40">
        <v>100</v>
      </c>
      <c r="H33" s="35">
        <v>125</v>
      </c>
      <c r="I33" s="56">
        <v>0.14743700000000001</v>
      </c>
      <c r="J33" s="56">
        <v>0.14743700000000001</v>
      </c>
      <c r="K33" s="50">
        <v>884367856.88999999</v>
      </c>
      <c r="L33" s="34">
        <f t="shared" si="18"/>
        <v>1.561481424331527E-4</v>
      </c>
      <c r="M33" s="40">
        <v>100</v>
      </c>
      <c r="N33" s="40">
        <v>100</v>
      </c>
      <c r="O33" s="35">
        <v>127</v>
      </c>
      <c r="P33" s="56">
        <v>0.14647499999999999</v>
      </c>
      <c r="Q33" s="56">
        <v>0.14647499999999999</v>
      </c>
      <c r="R33" s="61">
        <f t="shared" ref="R33" si="29">((K33-D33)/D33)</f>
        <v>2.895609086777292E-2</v>
      </c>
      <c r="S33" s="61">
        <f t="shared" ref="S33" si="30">((N33-G33)/G33)</f>
        <v>0</v>
      </c>
      <c r="T33" s="61">
        <f t="shared" ref="T33" si="31">((O33-H33)/H33)</f>
        <v>1.6E-2</v>
      </c>
      <c r="U33" s="62">
        <f t="shared" ref="U33" si="32">P33-I33</f>
        <v>-9.620000000000184E-4</v>
      </c>
      <c r="V33" s="63">
        <f t="shared" ref="V33" si="33">Q33-J33</f>
        <v>-9.620000000000184E-4</v>
      </c>
    </row>
    <row r="34" spans="1:22">
      <c r="A34" s="181">
        <v>26</v>
      </c>
      <c r="B34" s="148" t="s">
        <v>60</v>
      </c>
      <c r="C34" s="147" t="s">
        <v>23</v>
      </c>
      <c r="D34" s="50">
        <v>404254192651.29999</v>
      </c>
      <c r="E34" s="34">
        <f t="shared" si="17"/>
        <v>7.1377018919815641E-2</v>
      </c>
      <c r="F34" s="40">
        <v>1</v>
      </c>
      <c r="G34" s="40">
        <v>1</v>
      </c>
      <c r="H34" s="35">
        <v>83260</v>
      </c>
      <c r="I34" s="56">
        <v>0.17050000000000001</v>
      </c>
      <c r="J34" s="56">
        <v>0.17050000000000001</v>
      </c>
      <c r="K34" s="50">
        <v>405885053799.39001</v>
      </c>
      <c r="L34" s="34">
        <f t="shared" si="18"/>
        <v>7.1664971423806664E-2</v>
      </c>
      <c r="M34" s="40">
        <v>1</v>
      </c>
      <c r="N34" s="40">
        <v>1</v>
      </c>
      <c r="O34" s="35">
        <v>83568</v>
      </c>
      <c r="P34" s="56">
        <v>0.17019999999999999</v>
      </c>
      <c r="Q34" s="56">
        <v>0.17019999999999999</v>
      </c>
      <c r="R34" s="61">
        <f t="shared" si="19"/>
        <v>4.0342467134206542E-3</v>
      </c>
      <c r="S34" s="61">
        <f t="shared" si="20"/>
        <v>0</v>
      </c>
      <c r="T34" s="61">
        <f t="shared" si="21"/>
        <v>3.699255344703339E-3</v>
      </c>
      <c r="U34" s="62">
        <f t="shared" si="22"/>
        <v>-3.0000000000002247E-4</v>
      </c>
      <c r="V34" s="63">
        <f t="shared" si="23"/>
        <v>-3.0000000000002247E-4</v>
      </c>
    </row>
    <row r="35" spans="1:22">
      <c r="A35" s="181">
        <v>27</v>
      </c>
      <c r="B35" s="148" t="s">
        <v>61</v>
      </c>
      <c r="C35" s="147" t="s">
        <v>62</v>
      </c>
      <c r="D35" s="50">
        <v>2376439720.98</v>
      </c>
      <c r="E35" s="34">
        <f t="shared" si="17"/>
        <v>4.195953585879164E-4</v>
      </c>
      <c r="F35" s="40">
        <v>1</v>
      </c>
      <c r="G35" s="40">
        <v>1</v>
      </c>
      <c r="H35" s="35">
        <v>597</v>
      </c>
      <c r="I35" s="56">
        <v>0.17</v>
      </c>
      <c r="J35" s="56">
        <v>0.17</v>
      </c>
      <c r="K35" s="50">
        <v>2357152480.77</v>
      </c>
      <c r="L35" s="34">
        <f t="shared" si="18"/>
        <v>4.1618991286983655E-4</v>
      </c>
      <c r="M35" s="40">
        <v>1</v>
      </c>
      <c r="N35" s="40">
        <v>1</v>
      </c>
      <c r="O35" s="35">
        <v>597</v>
      </c>
      <c r="P35" s="56">
        <v>0.16800000000000001</v>
      </c>
      <c r="Q35" s="56">
        <v>0.16800000000000001</v>
      </c>
      <c r="R35" s="61">
        <f t="shared" si="19"/>
        <v>-8.1160233267125893E-3</v>
      </c>
      <c r="S35" s="61">
        <f t="shared" si="20"/>
        <v>0</v>
      </c>
      <c r="T35" s="61">
        <f t="shared" si="21"/>
        <v>0</v>
      </c>
      <c r="U35" s="62">
        <f t="shared" si="22"/>
        <v>-2.0000000000000018E-3</v>
      </c>
      <c r="V35" s="63">
        <f t="shared" si="23"/>
        <v>-2.0000000000000018E-3</v>
      </c>
    </row>
    <row r="36" spans="1:22">
      <c r="A36" s="181">
        <v>28</v>
      </c>
      <c r="B36" s="148" t="s">
        <v>63</v>
      </c>
      <c r="C36" s="147" t="s">
        <v>25</v>
      </c>
      <c r="D36" s="50">
        <v>174693857938.63</v>
      </c>
      <c r="E36" s="34">
        <f t="shared" si="17"/>
        <v>3.0844768044290267E-2</v>
      </c>
      <c r="F36" s="40">
        <v>1</v>
      </c>
      <c r="G36" s="40">
        <v>1</v>
      </c>
      <c r="H36" s="35">
        <v>39872</v>
      </c>
      <c r="I36" s="56">
        <v>0.153</v>
      </c>
      <c r="J36" s="56">
        <v>0.153</v>
      </c>
      <c r="K36" s="50">
        <v>174762187758.48001</v>
      </c>
      <c r="L36" s="34">
        <f t="shared" si="18"/>
        <v>3.0856832678208431E-2</v>
      </c>
      <c r="M36" s="40">
        <v>1</v>
      </c>
      <c r="N36" s="40">
        <v>1</v>
      </c>
      <c r="O36" s="35">
        <v>39956</v>
      </c>
      <c r="P36" s="56">
        <v>0.1595</v>
      </c>
      <c r="Q36" s="56">
        <v>0.1595</v>
      </c>
      <c r="R36" s="61">
        <f t="shared" si="19"/>
        <v>3.9114036781997446E-4</v>
      </c>
      <c r="S36" s="61">
        <f t="shared" si="20"/>
        <v>0</v>
      </c>
      <c r="T36" s="61">
        <f t="shared" si="21"/>
        <v>2.1067415730337078E-3</v>
      </c>
      <c r="U36" s="62">
        <f t="shared" si="22"/>
        <v>6.5000000000000058E-3</v>
      </c>
      <c r="V36" s="63">
        <f t="shared" si="23"/>
        <v>6.5000000000000058E-3</v>
      </c>
    </row>
    <row r="37" spans="1:22">
      <c r="A37" s="181">
        <v>29</v>
      </c>
      <c r="B37" s="148" t="s">
        <v>64</v>
      </c>
      <c r="C37" s="147" t="s">
        <v>27</v>
      </c>
      <c r="D37" s="33">
        <v>22877878873.360001</v>
      </c>
      <c r="E37" s="34">
        <f t="shared" ref="E37" si="34">(D37/$D$26)</f>
        <v>0.12443951788408843</v>
      </c>
      <c r="F37" s="33">
        <v>1</v>
      </c>
      <c r="G37" s="33">
        <v>1</v>
      </c>
      <c r="H37" s="35">
        <v>1803</v>
      </c>
      <c r="I37" s="56">
        <v>0.17499999999999999</v>
      </c>
      <c r="J37" s="56">
        <v>0.17499999999999999</v>
      </c>
      <c r="K37" s="33">
        <v>24809733100.360001</v>
      </c>
      <c r="L37" s="34">
        <f t="shared" ref="L37" si="35">(K37/$K$26)</f>
        <v>0.12523700565069629</v>
      </c>
      <c r="M37" s="33">
        <v>1</v>
      </c>
      <c r="N37" s="33">
        <v>1</v>
      </c>
      <c r="O37" s="35">
        <v>1822</v>
      </c>
      <c r="P37" s="56">
        <v>0.16470000000000001</v>
      </c>
      <c r="Q37" s="56">
        <v>0.16470000000000001</v>
      </c>
      <c r="R37" s="61">
        <f t="shared" si="19"/>
        <v>8.4442016573902545E-2</v>
      </c>
      <c r="S37" s="61">
        <f t="shared" si="20"/>
        <v>0</v>
      </c>
      <c r="T37" s="61">
        <f t="shared" si="21"/>
        <v>1.0537992235163616E-2</v>
      </c>
      <c r="U37" s="62">
        <f t="shared" si="22"/>
        <v>-1.0299999999999976E-2</v>
      </c>
      <c r="V37" s="63">
        <f t="shared" si="23"/>
        <v>-1.0299999999999976E-2</v>
      </c>
    </row>
    <row r="38" spans="1:22" ht="15" customHeight="1">
      <c r="A38" s="181">
        <v>30</v>
      </c>
      <c r="B38" s="148" t="s">
        <v>65</v>
      </c>
      <c r="C38" s="147" t="s">
        <v>46</v>
      </c>
      <c r="D38" s="50">
        <v>39719219993.540001</v>
      </c>
      <c r="E38" s="34">
        <f>(D38/$K$76)</f>
        <v>7.0130120317754173E-3</v>
      </c>
      <c r="F38" s="40">
        <v>100</v>
      </c>
      <c r="G38" s="40">
        <v>100</v>
      </c>
      <c r="H38" s="35">
        <v>14499</v>
      </c>
      <c r="I38" s="56">
        <v>0.17680000000000001</v>
      </c>
      <c r="J38" s="56">
        <v>0.17680000000000001</v>
      </c>
      <c r="K38" s="50">
        <v>39586271303.550003</v>
      </c>
      <c r="L38" s="34">
        <f t="shared" ref="L38:L52" si="36">(K38/$K$76)</f>
        <v>6.9895379866491466E-3</v>
      </c>
      <c r="M38" s="40">
        <v>100</v>
      </c>
      <c r="N38" s="40">
        <v>100</v>
      </c>
      <c r="O38" s="35">
        <v>14721</v>
      </c>
      <c r="P38" s="56">
        <v>0.1769</v>
      </c>
      <c r="Q38" s="56">
        <v>0.1769</v>
      </c>
      <c r="R38" s="61">
        <f t="shared" si="19"/>
        <v>-3.347213012028455E-3</v>
      </c>
      <c r="S38" s="61">
        <f t="shared" si="20"/>
        <v>0</v>
      </c>
      <c r="T38" s="61">
        <f t="shared" si="21"/>
        <v>1.5311400786261121E-2</v>
      </c>
      <c r="U38" s="62">
        <f t="shared" si="22"/>
        <v>9.9999999999988987E-5</v>
      </c>
      <c r="V38" s="63">
        <f t="shared" si="23"/>
        <v>9.9999999999988987E-5</v>
      </c>
    </row>
    <row r="39" spans="1:22" ht="15" customHeight="1">
      <c r="A39" s="181">
        <v>31</v>
      </c>
      <c r="B39" s="148" t="s">
        <v>66</v>
      </c>
      <c r="C39" s="147" t="s">
        <v>67</v>
      </c>
      <c r="D39" s="50">
        <v>3792926456.8899999</v>
      </c>
      <c r="E39" s="34">
        <f>(D39/$K$76)</f>
        <v>6.6969690950968101E-4</v>
      </c>
      <c r="F39" s="40">
        <v>1</v>
      </c>
      <c r="G39" s="40">
        <v>1</v>
      </c>
      <c r="H39" s="35">
        <v>708</v>
      </c>
      <c r="I39" s="56">
        <v>0.15</v>
      </c>
      <c r="J39" s="56">
        <v>0.15</v>
      </c>
      <c r="K39" s="50">
        <v>3748533664.46</v>
      </c>
      <c r="L39" s="34">
        <f t="shared" si="36"/>
        <v>6.6185870957810307E-4</v>
      </c>
      <c r="M39" s="40">
        <v>1</v>
      </c>
      <c r="N39" s="40">
        <v>1</v>
      </c>
      <c r="O39" s="35">
        <v>713</v>
      </c>
      <c r="P39" s="56">
        <v>0.15</v>
      </c>
      <c r="Q39" s="56">
        <v>0.15</v>
      </c>
      <c r="R39" s="61">
        <f t="shared" si="19"/>
        <v>-1.17041004972186E-2</v>
      </c>
      <c r="S39" s="61">
        <f t="shared" si="20"/>
        <v>0</v>
      </c>
      <c r="T39" s="61">
        <f t="shared" si="21"/>
        <v>7.0621468926553672E-3</v>
      </c>
      <c r="U39" s="62">
        <f t="shared" si="22"/>
        <v>0</v>
      </c>
      <c r="V39" s="63">
        <f t="shared" si="23"/>
        <v>0</v>
      </c>
    </row>
    <row r="40" spans="1:22">
      <c r="A40" s="181">
        <v>32</v>
      </c>
      <c r="B40" s="148" t="s">
        <v>68</v>
      </c>
      <c r="C40" s="147" t="s">
        <v>69</v>
      </c>
      <c r="D40" s="50">
        <v>98629483286.360001</v>
      </c>
      <c r="E40" s="34">
        <f>(D40/$K$76)</f>
        <v>1.7414484803264834E-2</v>
      </c>
      <c r="F40" s="40">
        <v>100</v>
      </c>
      <c r="G40" s="40">
        <v>100</v>
      </c>
      <c r="H40" s="35">
        <v>6073</v>
      </c>
      <c r="I40" s="56">
        <v>0.15989999999999999</v>
      </c>
      <c r="J40" s="56">
        <v>0.15989999999999999</v>
      </c>
      <c r="K40" s="50">
        <v>98274321309.029999</v>
      </c>
      <c r="L40" s="34">
        <f t="shared" si="36"/>
        <v>1.7351775736454116E-2</v>
      </c>
      <c r="M40" s="40">
        <v>100</v>
      </c>
      <c r="N40" s="40">
        <v>100</v>
      </c>
      <c r="O40" s="35">
        <v>6098</v>
      </c>
      <c r="P40" s="56">
        <v>0.1595</v>
      </c>
      <c r="Q40" s="56">
        <v>0.1595</v>
      </c>
      <c r="R40" s="61">
        <f t="shared" si="19"/>
        <v>-3.6009716921949959E-3</v>
      </c>
      <c r="S40" s="61">
        <f t="shared" si="20"/>
        <v>0</v>
      </c>
      <c r="T40" s="61">
        <f t="shared" si="21"/>
        <v>4.1165815906471269E-3</v>
      </c>
      <c r="U40" s="62">
        <f t="shared" si="22"/>
        <v>-3.999999999999837E-4</v>
      </c>
      <c r="V40" s="63">
        <f t="shared" si="23"/>
        <v>-3.999999999999837E-4</v>
      </c>
    </row>
    <row r="41" spans="1:22">
      <c r="A41" s="181">
        <v>33</v>
      </c>
      <c r="B41" s="148" t="s">
        <v>70</v>
      </c>
      <c r="C41" s="147" t="s">
        <v>71</v>
      </c>
      <c r="D41" s="50">
        <v>43526502454.5</v>
      </c>
      <c r="E41" s="34">
        <f>(D41/$K$76)</f>
        <v>7.6852437047897062E-3</v>
      </c>
      <c r="F41" s="40">
        <v>100</v>
      </c>
      <c r="G41" s="40">
        <v>100</v>
      </c>
      <c r="H41" s="35">
        <v>5849</v>
      </c>
      <c r="I41" s="56">
        <v>0.1527</v>
      </c>
      <c r="J41" s="56">
        <v>0.1527</v>
      </c>
      <c r="K41" s="50">
        <v>43751769138.889999</v>
      </c>
      <c r="L41" s="34">
        <f>(K41/$K$76)</f>
        <v>7.7250178485982245E-3</v>
      </c>
      <c r="M41" s="40">
        <v>100</v>
      </c>
      <c r="N41" s="40">
        <v>100</v>
      </c>
      <c r="O41" s="35">
        <v>5856</v>
      </c>
      <c r="P41" s="56">
        <v>0.1583</v>
      </c>
      <c r="Q41" s="56">
        <v>0.1583</v>
      </c>
      <c r="R41" s="61">
        <f t="shared" si="19"/>
        <v>5.1753913520958799E-3</v>
      </c>
      <c r="S41" s="61">
        <f t="shared" si="20"/>
        <v>0</v>
      </c>
      <c r="T41" s="61">
        <f t="shared" si="21"/>
        <v>1.1967857753462129E-3</v>
      </c>
      <c r="U41" s="62">
        <f t="shared" si="22"/>
        <v>5.5999999999999939E-3</v>
      </c>
      <c r="V41" s="63">
        <f t="shared" si="23"/>
        <v>5.5999999999999939E-3</v>
      </c>
    </row>
    <row r="42" spans="1:22">
      <c r="A42" s="181">
        <v>34</v>
      </c>
      <c r="B42" s="148" t="s">
        <v>72</v>
      </c>
      <c r="C42" s="147" t="s">
        <v>73</v>
      </c>
      <c r="D42" s="50">
        <v>68362002045.480003</v>
      </c>
      <c r="E42" s="34">
        <f>(D42/$K$76)</f>
        <v>1.2070316157748848E-2</v>
      </c>
      <c r="F42" s="40">
        <v>1</v>
      </c>
      <c r="G42" s="40">
        <v>1</v>
      </c>
      <c r="H42" s="35">
        <v>16466</v>
      </c>
      <c r="I42" s="56">
        <v>0.16800000000000001</v>
      </c>
      <c r="J42" s="56">
        <v>0.16800000000000001</v>
      </c>
      <c r="K42" s="50">
        <v>66909233003.529999</v>
      </c>
      <c r="L42" s="34">
        <f t="shared" si="36"/>
        <v>1.1813808432465137E-2</v>
      </c>
      <c r="M42" s="40">
        <v>1</v>
      </c>
      <c r="N42" s="40">
        <v>1</v>
      </c>
      <c r="O42" s="35">
        <v>16683</v>
      </c>
      <c r="P42" s="56">
        <v>0.1681</v>
      </c>
      <c r="Q42" s="56">
        <v>0.1681</v>
      </c>
      <c r="R42" s="61">
        <f t="shared" si="19"/>
        <v>-2.1251119020526982E-2</v>
      </c>
      <c r="S42" s="61">
        <f t="shared" si="20"/>
        <v>0</v>
      </c>
      <c r="T42" s="61">
        <f t="shared" si="21"/>
        <v>1.3178671201263209E-2</v>
      </c>
      <c r="U42" s="62">
        <f t="shared" si="22"/>
        <v>9.9999999999988987E-5</v>
      </c>
      <c r="V42" s="63">
        <f t="shared" si="23"/>
        <v>9.9999999999988987E-5</v>
      </c>
    </row>
    <row r="43" spans="1:22">
      <c r="A43" s="181">
        <v>35</v>
      </c>
      <c r="B43" s="148" t="s">
        <v>74</v>
      </c>
      <c r="C43" s="147" t="s">
        <v>75</v>
      </c>
      <c r="D43" s="50">
        <v>1463218275.8499999</v>
      </c>
      <c r="E43" s="34">
        <v>0</v>
      </c>
      <c r="F43" s="40">
        <v>1000</v>
      </c>
      <c r="G43" s="40">
        <v>1000</v>
      </c>
      <c r="H43" s="35">
        <v>110</v>
      </c>
      <c r="I43" s="56">
        <v>0.19600000000000001</v>
      </c>
      <c r="J43" s="56">
        <v>0.19600000000000001</v>
      </c>
      <c r="K43" s="50">
        <v>1509111312.79</v>
      </c>
      <c r="L43" s="34">
        <f t="shared" si="36"/>
        <v>2.664557812466098E-4</v>
      </c>
      <c r="M43" s="40">
        <v>1000</v>
      </c>
      <c r="N43" s="40">
        <v>1000</v>
      </c>
      <c r="O43" s="35">
        <v>120</v>
      </c>
      <c r="P43" s="56">
        <v>0.2029</v>
      </c>
      <c r="Q43" s="56">
        <v>0.2029</v>
      </c>
      <c r="R43" s="61">
        <f t="shared" si="19"/>
        <v>3.1364450333522712E-2</v>
      </c>
      <c r="S43" s="61">
        <f t="shared" si="20"/>
        <v>0</v>
      </c>
      <c r="T43" s="61">
        <f t="shared" si="21"/>
        <v>9.0909090909090912E-2</v>
      </c>
      <c r="U43" s="62">
        <f t="shared" si="22"/>
        <v>6.8999999999999895E-3</v>
      </c>
      <c r="V43" s="63">
        <f t="shared" si="23"/>
        <v>6.8999999999999895E-3</v>
      </c>
    </row>
    <row r="44" spans="1:22">
      <c r="A44" s="181">
        <v>36</v>
      </c>
      <c r="B44" s="148" t="s">
        <v>76</v>
      </c>
      <c r="C44" s="147" t="s">
        <v>77</v>
      </c>
      <c r="D44" s="50">
        <v>87017607390.690002</v>
      </c>
      <c r="E44" s="34">
        <f t="shared" ref="E44:E52" si="37">(D44/$K$76)</f>
        <v>1.5364237457494668E-2</v>
      </c>
      <c r="F44" s="51">
        <v>100</v>
      </c>
      <c r="G44" s="51">
        <v>100</v>
      </c>
      <c r="H44" s="35">
        <v>4863</v>
      </c>
      <c r="I44" s="56">
        <v>0.1515</v>
      </c>
      <c r="J44" s="56">
        <v>0.1515</v>
      </c>
      <c r="K44" s="50">
        <v>87417036033.5</v>
      </c>
      <c r="L44" s="34">
        <f t="shared" si="36"/>
        <v>1.5434762454670289E-2</v>
      </c>
      <c r="M44" s="51">
        <v>100</v>
      </c>
      <c r="N44" s="51">
        <v>100</v>
      </c>
      <c r="O44" s="35">
        <v>4863</v>
      </c>
      <c r="P44" s="56">
        <v>0.15379999999999999</v>
      </c>
      <c r="Q44" s="56">
        <v>0.15379999999999999</v>
      </c>
      <c r="R44" s="61">
        <f t="shared" si="19"/>
        <v>4.590204842298759E-3</v>
      </c>
      <c r="S44" s="61">
        <f t="shared" si="20"/>
        <v>0</v>
      </c>
      <c r="T44" s="61">
        <f t="shared" si="21"/>
        <v>0</v>
      </c>
      <c r="U44" s="62">
        <f t="shared" si="22"/>
        <v>2.2999999999999965E-3</v>
      </c>
      <c r="V44" s="63">
        <f t="shared" si="23"/>
        <v>2.2999999999999965E-3</v>
      </c>
    </row>
    <row r="45" spans="1:22">
      <c r="A45" s="181">
        <v>37</v>
      </c>
      <c r="B45" s="148" t="s">
        <v>78</v>
      </c>
      <c r="C45" s="147" t="s">
        <v>77</v>
      </c>
      <c r="D45" s="50">
        <v>10435065566.530001</v>
      </c>
      <c r="E45" s="34">
        <f t="shared" si="37"/>
        <v>1.8424641869186397E-3</v>
      </c>
      <c r="F45" s="51">
        <v>1000000</v>
      </c>
      <c r="G45" s="51">
        <v>1000000</v>
      </c>
      <c r="H45" s="35">
        <v>46</v>
      </c>
      <c r="I45" s="56">
        <v>0.15579999999999999</v>
      </c>
      <c r="J45" s="56">
        <v>0.15579999999999999</v>
      </c>
      <c r="K45" s="50">
        <v>9911193130.3500004</v>
      </c>
      <c r="L45" s="34">
        <f t="shared" si="36"/>
        <v>1.7499668091090206E-3</v>
      </c>
      <c r="M45" s="51">
        <v>1000000</v>
      </c>
      <c r="N45" s="51">
        <v>1000000</v>
      </c>
      <c r="O45" s="35">
        <v>46</v>
      </c>
      <c r="P45" s="56">
        <v>0.1552</v>
      </c>
      <c r="Q45" s="56">
        <v>0.1552</v>
      </c>
      <c r="R45" s="61">
        <f t="shared" si="19"/>
        <v>-5.0203080454069918E-2</v>
      </c>
      <c r="S45" s="61">
        <f t="shared" si="20"/>
        <v>0</v>
      </c>
      <c r="T45" s="61">
        <f t="shared" si="21"/>
        <v>0</v>
      </c>
      <c r="U45" s="62">
        <f t="shared" si="22"/>
        <v>-5.9999999999998943E-4</v>
      </c>
      <c r="V45" s="63">
        <f t="shared" si="23"/>
        <v>-5.9999999999998943E-4</v>
      </c>
    </row>
    <row r="46" spans="1:22">
      <c r="A46" s="181">
        <v>38</v>
      </c>
      <c r="B46" s="148" t="s">
        <v>79</v>
      </c>
      <c r="C46" s="147" t="s">
        <v>80</v>
      </c>
      <c r="D46" s="50">
        <v>8174310698.21</v>
      </c>
      <c r="E46" s="34">
        <f t="shared" si="37"/>
        <v>1.4432946892547467E-3</v>
      </c>
      <c r="F46" s="40">
        <v>1</v>
      </c>
      <c r="G46" s="40">
        <v>1</v>
      </c>
      <c r="H46" s="35">
        <v>1230</v>
      </c>
      <c r="I46" s="56">
        <v>0.1749</v>
      </c>
      <c r="J46" s="56">
        <v>0.1749</v>
      </c>
      <c r="K46" s="50">
        <v>8100779954.1499996</v>
      </c>
      <c r="L46" s="34">
        <f t="shared" si="36"/>
        <v>1.4303117557308244E-3</v>
      </c>
      <c r="M46" s="40">
        <v>1</v>
      </c>
      <c r="N46" s="40">
        <v>1</v>
      </c>
      <c r="O46" s="35">
        <v>1228</v>
      </c>
      <c r="P46" s="56">
        <v>0.1749</v>
      </c>
      <c r="Q46" s="56">
        <v>0.1749</v>
      </c>
      <c r="R46" s="61">
        <f t="shared" si="19"/>
        <v>-8.9953449012039732E-3</v>
      </c>
      <c r="S46" s="61">
        <f t="shared" si="20"/>
        <v>0</v>
      </c>
      <c r="T46" s="61">
        <f t="shared" si="21"/>
        <v>-1.6260162601626016E-3</v>
      </c>
      <c r="U46" s="62">
        <f t="shared" si="22"/>
        <v>0</v>
      </c>
      <c r="V46" s="63">
        <f t="shared" si="23"/>
        <v>0</v>
      </c>
    </row>
    <row r="47" spans="1:22">
      <c r="A47" s="181">
        <v>39</v>
      </c>
      <c r="B47" s="148" t="s">
        <v>81</v>
      </c>
      <c r="C47" s="147" t="s">
        <v>82</v>
      </c>
      <c r="D47" s="50">
        <v>749519324502.40002</v>
      </c>
      <c r="E47" s="34">
        <f t="shared" si="37"/>
        <v>0.1323386522101497</v>
      </c>
      <c r="F47" s="40">
        <v>100</v>
      </c>
      <c r="G47" s="40">
        <v>100</v>
      </c>
      <c r="H47" s="35">
        <v>40858</v>
      </c>
      <c r="I47" s="56">
        <v>0.15909999999999999</v>
      </c>
      <c r="J47" s="56">
        <v>0.15909999999999999</v>
      </c>
      <c r="K47" s="50">
        <v>753112965487.08997</v>
      </c>
      <c r="L47" s="34">
        <f t="shared" si="36"/>
        <v>0.13297316234070139</v>
      </c>
      <c r="M47" s="40">
        <v>100</v>
      </c>
      <c r="N47" s="40">
        <v>100</v>
      </c>
      <c r="O47" s="35">
        <v>40951</v>
      </c>
      <c r="P47" s="56">
        <v>0.1588</v>
      </c>
      <c r="Q47" s="56">
        <v>0.1588</v>
      </c>
      <c r="R47" s="61">
        <f t="shared" si="19"/>
        <v>4.7945941715054931E-3</v>
      </c>
      <c r="S47" s="61">
        <f t="shared" si="20"/>
        <v>0</v>
      </c>
      <c r="T47" s="61">
        <f t="shared" si="21"/>
        <v>2.276176024279211E-3</v>
      </c>
      <c r="U47" s="62">
        <f t="shared" si="22"/>
        <v>-2.9999999999999472E-4</v>
      </c>
      <c r="V47" s="63">
        <f t="shared" si="23"/>
        <v>-2.9999999999999472E-4</v>
      </c>
    </row>
    <row r="48" spans="1:22">
      <c r="A48" s="181">
        <v>40</v>
      </c>
      <c r="B48" s="148" t="s">
        <v>83</v>
      </c>
      <c r="C48" s="147" t="s">
        <v>84</v>
      </c>
      <c r="D48" s="50">
        <v>5956675279.9899998</v>
      </c>
      <c r="E48" s="34">
        <f t="shared" si="37"/>
        <v>1.0517385642201257E-3</v>
      </c>
      <c r="F48" s="40">
        <v>1</v>
      </c>
      <c r="G48" s="40">
        <v>1</v>
      </c>
      <c r="H48" s="52">
        <v>2232</v>
      </c>
      <c r="I48" s="59">
        <v>0.1789</v>
      </c>
      <c r="J48" s="59">
        <v>0.1789</v>
      </c>
      <c r="K48" s="54">
        <v>5997513301.1499996</v>
      </c>
      <c r="L48" s="34">
        <f t="shared" si="36"/>
        <v>1.0589491170405374E-3</v>
      </c>
      <c r="M48" s="40">
        <v>1</v>
      </c>
      <c r="N48" s="40">
        <v>1</v>
      </c>
      <c r="O48" s="52">
        <v>2248</v>
      </c>
      <c r="P48" s="59">
        <v>0.1782</v>
      </c>
      <c r="Q48" s="59">
        <v>0.1782</v>
      </c>
      <c r="R48" s="61">
        <f t="shared" si="19"/>
        <v>6.855841428386274E-3</v>
      </c>
      <c r="S48" s="61">
        <f t="shared" si="20"/>
        <v>0</v>
      </c>
      <c r="T48" s="61">
        <f t="shared" si="21"/>
        <v>7.1684587813620072E-3</v>
      </c>
      <c r="U48" s="62">
        <f t="shared" si="22"/>
        <v>-7.0000000000000617E-4</v>
      </c>
      <c r="V48" s="63">
        <f t="shared" si="23"/>
        <v>-7.0000000000000617E-4</v>
      </c>
    </row>
    <row r="49" spans="1:22">
      <c r="A49" s="181">
        <v>41</v>
      </c>
      <c r="B49" s="148" t="s">
        <v>85</v>
      </c>
      <c r="C49" s="147" t="s">
        <v>86</v>
      </c>
      <c r="D49" s="50">
        <v>4715511151.7600002</v>
      </c>
      <c r="E49" s="34">
        <f t="shared" si="37"/>
        <v>8.325927963500438E-4</v>
      </c>
      <c r="F49" s="40">
        <v>1</v>
      </c>
      <c r="G49" s="40">
        <v>1</v>
      </c>
      <c r="H49" s="52">
        <v>775</v>
      </c>
      <c r="I49" s="59">
        <v>0.16</v>
      </c>
      <c r="J49" s="59">
        <v>0.16</v>
      </c>
      <c r="K49" s="50">
        <v>4915036951.29</v>
      </c>
      <c r="L49" s="34">
        <f>(K49/$K$76)</f>
        <v>8.6782200863017109E-4</v>
      </c>
      <c r="M49" s="40">
        <v>1</v>
      </c>
      <c r="N49" s="40">
        <v>1</v>
      </c>
      <c r="O49" s="52">
        <v>791</v>
      </c>
      <c r="P49" s="59">
        <v>0.15</v>
      </c>
      <c r="Q49" s="59">
        <v>0.15</v>
      </c>
      <c r="R49" s="61">
        <f t="shared" si="19"/>
        <v>4.2312655639787734E-2</v>
      </c>
      <c r="S49" s="61">
        <f t="shared" si="20"/>
        <v>0</v>
      </c>
      <c r="T49" s="61">
        <f t="shared" si="21"/>
        <v>2.0645161290322581E-2</v>
      </c>
      <c r="U49" s="62">
        <f t="shared" si="22"/>
        <v>-1.0000000000000009E-2</v>
      </c>
      <c r="V49" s="63">
        <f t="shared" si="23"/>
        <v>-1.0000000000000009E-2</v>
      </c>
    </row>
    <row r="50" spans="1:22">
      <c r="A50" s="181">
        <v>42</v>
      </c>
      <c r="B50" s="148" t="s">
        <v>87</v>
      </c>
      <c r="C50" s="147" t="s">
        <v>88</v>
      </c>
      <c r="D50" s="50">
        <v>8498998.5899999999</v>
      </c>
      <c r="E50" s="34">
        <f t="shared" si="37"/>
        <v>1.5006231083945336E-6</v>
      </c>
      <c r="F50" s="40">
        <v>1</v>
      </c>
      <c r="G50" s="40">
        <v>1</v>
      </c>
      <c r="H50" s="52">
        <v>24</v>
      </c>
      <c r="I50" s="59">
        <v>0.105</v>
      </c>
      <c r="J50" s="59">
        <v>0.105</v>
      </c>
      <c r="K50" s="50">
        <v>8196760.6200000001</v>
      </c>
      <c r="L50" s="34">
        <f t="shared" si="36"/>
        <v>1.4472585528867943E-6</v>
      </c>
      <c r="M50" s="40">
        <v>1</v>
      </c>
      <c r="N50" s="40">
        <v>1</v>
      </c>
      <c r="O50" s="52">
        <v>36</v>
      </c>
      <c r="P50" s="59">
        <v>0.105</v>
      </c>
      <c r="Q50" s="59">
        <v>0.105</v>
      </c>
      <c r="R50" s="61">
        <f t="shared" si="19"/>
        <v>-3.5561597851729937E-2</v>
      </c>
      <c r="S50" s="61">
        <f t="shared" si="20"/>
        <v>0</v>
      </c>
      <c r="T50" s="61">
        <f t="shared" si="21"/>
        <v>0.5</v>
      </c>
      <c r="U50" s="62">
        <f t="shared" si="22"/>
        <v>0</v>
      </c>
      <c r="V50" s="63">
        <f t="shared" si="23"/>
        <v>0</v>
      </c>
    </row>
    <row r="51" spans="1:22">
      <c r="A51" s="181">
        <v>43</v>
      </c>
      <c r="B51" s="148" t="s">
        <v>89</v>
      </c>
      <c r="C51" s="147" t="s">
        <v>90</v>
      </c>
      <c r="D51" s="50">
        <v>1907646082.23</v>
      </c>
      <c r="E51" s="34">
        <f t="shared" si="37"/>
        <v>3.3682295194175776E-4</v>
      </c>
      <c r="F51" s="40">
        <v>10</v>
      </c>
      <c r="G51" s="40">
        <v>10</v>
      </c>
      <c r="H51" s="35">
        <v>561</v>
      </c>
      <c r="I51" s="56">
        <v>0.161</v>
      </c>
      <c r="J51" s="56">
        <v>0.161</v>
      </c>
      <c r="K51" s="50">
        <v>1932566220.4300001</v>
      </c>
      <c r="L51" s="34">
        <f t="shared" si="36"/>
        <v>3.4122296858504861E-4</v>
      </c>
      <c r="M51" s="40">
        <v>10</v>
      </c>
      <c r="N51" s="40">
        <v>10</v>
      </c>
      <c r="O51" s="35">
        <v>562</v>
      </c>
      <c r="P51" s="56">
        <v>0.16270000000000001</v>
      </c>
      <c r="Q51" s="56">
        <v>0.16270000000000001</v>
      </c>
      <c r="R51" s="61">
        <f t="shared" si="19"/>
        <v>1.3063292207152443E-2</v>
      </c>
      <c r="S51" s="61">
        <f t="shared" si="20"/>
        <v>0</v>
      </c>
      <c r="T51" s="61">
        <f t="shared" si="21"/>
        <v>1.7825311942959001E-3</v>
      </c>
      <c r="U51" s="62">
        <f t="shared" si="22"/>
        <v>1.7000000000000071E-3</v>
      </c>
      <c r="V51" s="63">
        <f t="shared" si="23"/>
        <v>1.7000000000000071E-3</v>
      </c>
    </row>
    <row r="52" spans="1:22">
      <c r="A52" s="181">
        <v>44</v>
      </c>
      <c r="B52" s="148" t="s">
        <v>91</v>
      </c>
      <c r="C52" s="147" t="s">
        <v>92</v>
      </c>
      <c r="D52" s="50">
        <v>12501339817.25</v>
      </c>
      <c r="E52" s="34">
        <f t="shared" si="37"/>
        <v>2.2072952733197294E-3</v>
      </c>
      <c r="F52" s="40">
        <v>100</v>
      </c>
      <c r="G52" s="40">
        <v>100</v>
      </c>
      <c r="H52" s="35">
        <v>1063</v>
      </c>
      <c r="I52" s="56">
        <v>0.18410000000000001</v>
      </c>
      <c r="J52" s="56">
        <v>0.18410000000000001</v>
      </c>
      <c r="K52" s="50">
        <v>13464923469.290001</v>
      </c>
      <c r="L52" s="34">
        <f t="shared" si="36"/>
        <v>2.3774301285982998E-3</v>
      </c>
      <c r="M52" s="40">
        <v>100</v>
      </c>
      <c r="N52" s="40">
        <v>100</v>
      </c>
      <c r="O52" s="35">
        <v>1067</v>
      </c>
      <c r="P52" s="56">
        <v>0.18360000000000001</v>
      </c>
      <c r="Q52" s="56">
        <v>0.18360000000000001</v>
      </c>
      <c r="R52" s="61">
        <f t="shared" si="19"/>
        <v>7.7078430482339019E-2</v>
      </c>
      <c r="S52" s="61">
        <f t="shared" si="20"/>
        <v>0</v>
      </c>
      <c r="T52" s="61">
        <f t="shared" si="21"/>
        <v>3.7629350893697085E-3</v>
      </c>
      <c r="U52" s="62">
        <f t="shared" si="22"/>
        <v>-5.0000000000000044E-4</v>
      </c>
      <c r="V52" s="63">
        <f t="shared" si="23"/>
        <v>-5.0000000000000044E-4</v>
      </c>
    </row>
    <row r="53" spans="1:22">
      <c r="A53" s="181">
        <v>45</v>
      </c>
      <c r="B53" s="148" t="s">
        <v>93</v>
      </c>
      <c r="C53" s="148" t="s">
        <v>94</v>
      </c>
      <c r="D53" s="53">
        <v>129497746.48</v>
      </c>
      <c r="E53" s="34">
        <v>0</v>
      </c>
      <c r="F53" s="33">
        <v>1</v>
      </c>
      <c r="G53" s="33">
        <v>1</v>
      </c>
      <c r="H53" s="35">
        <v>147</v>
      </c>
      <c r="I53" s="56">
        <v>0.1477</v>
      </c>
      <c r="J53" s="56">
        <v>0.1477</v>
      </c>
      <c r="K53" s="53">
        <v>141888468.38817301</v>
      </c>
      <c r="L53" s="60">
        <f>(K53/$K$203)</f>
        <v>1.0837497886408984E-3</v>
      </c>
      <c r="M53" s="33">
        <v>1</v>
      </c>
      <c r="N53" s="33">
        <v>1</v>
      </c>
      <c r="O53" s="35">
        <v>147</v>
      </c>
      <c r="P53" s="56">
        <v>0.14929999999999999</v>
      </c>
      <c r="Q53" s="56">
        <v>0.14929999999999999</v>
      </c>
      <c r="R53" s="62">
        <f t="shared" si="19"/>
        <v>9.5682915301438604E-2</v>
      </c>
      <c r="S53" s="62">
        <f t="shared" si="20"/>
        <v>0</v>
      </c>
      <c r="T53" s="62">
        <f t="shared" si="21"/>
        <v>0</v>
      </c>
      <c r="U53" s="62">
        <f t="shared" si="22"/>
        <v>1.5999999999999903E-3</v>
      </c>
      <c r="V53" s="63">
        <f t="shared" si="23"/>
        <v>1.5999999999999903E-3</v>
      </c>
    </row>
    <row r="54" spans="1:22">
      <c r="A54" s="181">
        <v>46</v>
      </c>
      <c r="B54" s="148" t="s">
        <v>95</v>
      </c>
      <c r="C54" s="147" t="s">
        <v>36</v>
      </c>
      <c r="D54" s="50">
        <v>2393289812.6300001</v>
      </c>
      <c r="E54" s="34">
        <f t="shared" ref="E54:E75" si="38">(D54/$K$76)</f>
        <v>4.2257048990965911E-4</v>
      </c>
      <c r="F54" s="40">
        <v>100</v>
      </c>
      <c r="G54" s="40">
        <v>100</v>
      </c>
      <c r="H54" s="35">
        <v>8936</v>
      </c>
      <c r="I54" s="56">
        <v>0.14910000000000001</v>
      </c>
      <c r="J54" s="56">
        <v>0.14910000000000001</v>
      </c>
      <c r="K54" s="50">
        <v>2397427817.1399999</v>
      </c>
      <c r="L54" s="34">
        <f t="shared" ref="L54:L67" si="39">(K54/$K$76)</f>
        <v>4.233011154209579E-4</v>
      </c>
      <c r="M54" s="40">
        <v>100</v>
      </c>
      <c r="N54" s="40">
        <v>100</v>
      </c>
      <c r="O54" s="35">
        <v>9274</v>
      </c>
      <c r="P54" s="56">
        <v>0.1542</v>
      </c>
      <c r="Q54" s="56">
        <v>0.1542</v>
      </c>
      <c r="R54" s="61">
        <f t="shared" ref="R54" si="40">((K54-D54)/D54)</f>
        <v>1.7290026841556955E-3</v>
      </c>
      <c r="S54" s="61">
        <f t="shared" ref="S54" si="41">((N54-G54)/G54)</f>
        <v>0</v>
      </c>
      <c r="T54" s="61">
        <f t="shared" ref="T54" si="42">((O54-H54)/H54)</f>
        <v>3.7824529991047448E-2</v>
      </c>
      <c r="U54" s="62">
        <f t="shared" ref="U54" si="43">P54-I54</f>
        <v>5.0999999999999934E-3</v>
      </c>
      <c r="V54" s="63">
        <f t="shared" ref="V54" si="44">Q54-J54</f>
        <v>5.0999999999999934E-3</v>
      </c>
    </row>
    <row r="55" spans="1:22">
      <c r="A55" s="181">
        <v>47</v>
      </c>
      <c r="B55" s="148" t="s">
        <v>96</v>
      </c>
      <c r="C55" s="147" t="s">
        <v>36</v>
      </c>
      <c r="D55" s="50">
        <v>433316480562.26001</v>
      </c>
      <c r="E55" s="34">
        <f t="shared" si="38"/>
        <v>7.6508392970555616E-2</v>
      </c>
      <c r="F55" s="40">
        <v>100</v>
      </c>
      <c r="G55" s="40">
        <v>100</v>
      </c>
      <c r="H55" s="35">
        <v>39179</v>
      </c>
      <c r="I55" s="56">
        <v>0.1767</v>
      </c>
      <c r="J55" s="56">
        <v>0.1767</v>
      </c>
      <c r="K55" s="50">
        <v>438424415670.59003</v>
      </c>
      <c r="L55" s="34">
        <f t="shared" si="39"/>
        <v>7.7410273983779768E-2</v>
      </c>
      <c r="M55" s="40">
        <v>100</v>
      </c>
      <c r="N55" s="40">
        <v>100</v>
      </c>
      <c r="O55" s="35">
        <v>40373</v>
      </c>
      <c r="P55" s="56">
        <v>0.17419999999999999</v>
      </c>
      <c r="Q55" s="56">
        <v>0.17419999999999999</v>
      </c>
      <c r="R55" s="61">
        <f t="shared" si="19"/>
        <v>1.1788001004951613E-2</v>
      </c>
      <c r="S55" s="61">
        <f t="shared" si="20"/>
        <v>0</v>
      </c>
      <c r="T55" s="61">
        <f t="shared" si="21"/>
        <v>3.0475509839454809E-2</v>
      </c>
      <c r="U55" s="62">
        <f t="shared" si="22"/>
        <v>-2.5000000000000022E-3</v>
      </c>
      <c r="V55" s="63">
        <f t="shared" si="23"/>
        <v>-2.5000000000000022E-3</v>
      </c>
    </row>
    <row r="56" spans="1:22">
      <c r="A56" s="181">
        <v>48</v>
      </c>
      <c r="B56" s="148" t="s">
        <v>97</v>
      </c>
      <c r="C56" s="147" t="s">
        <v>40</v>
      </c>
      <c r="D56" s="50">
        <v>62458622850.330002</v>
      </c>
      <c r="E56" s="34">
        <f t="shared" si="38"/>
        <v>1.1027987800584404E-2</v>
      </c>
      <c r="F56" s="40">
        <v>1</v>
      </c>
      <c r="G56" s="40">
        <v>1</v>
      </c>
      <c r="H56" s="35">
        <v>3557</v>
      </c>
      <c r="I56" s="56">
        <v>0.1613</v>
      </c>
      <c r="J56" s="56">
        <v>0.1613</v>
      </c>
      <c r="K56" s="50">
        <v>63451701444.419998</v>
      </c>
      <c r="L56" s="34">
        <f t="shared" si="39"/>
        <v>1.1203330421360555E-2</v>
      </c>
      <c r="M56" s="40">
        <v>1</v>
      </c>
      <c r="N56" s="40">
        <v>1</v>
      </c>
      <c r="O56" s="35">
        <v>3606</v>
      </c>
      <c r="P56" s="56">
        <v>0.1615</v>
      </c>
      <c r="Q56" s="56">
        <v>0.1615</v>
      </c>
      <c r="R56" s="61">
        <f t="shared" si="19"/>
        <v>1.5899783709123989E-2</v>
      </c>
      <c r="S56" s="61">
        <f t="shared" si="20"/>
        <v>0</v>
      </c>
      <c r="T56" s="61">
        <f t="shared" si="21"/>
        <v>1.3775653640708463E-2</v>
      </c>
      <c r="U56" s="62">
        <f t="shared" si="22"/>
        <v>2.0000000000000573E-4</v>
      </c>
      <c r="V56" s="63">
        <f t="shared" si="23"/>
        <v>2.0000000000000573E-4</v>
      </c>
    </row>
    <row r="57" spans="1:22">
      <c r="A57" s="181">
        <v>49</v>
      </c>
      <c r="B57" s="148" t="s">
        <v>98</v>
      </c>
      <c r="C57" s="147" t="s">
        <v>99</v>
      </c>
      <c r="D57" s="50">
        <v>6068990839.658</v>
      </c>
      <c r="E57" s="34">
        <f t="shared" si="38"/>
        <v>1.0715695269488848E-3</v>
      </c>
      <c r="F57" s="40">
        <v>100</v>
      </c>
      <c r="G57" s="40">
        <v>100</v>
      </c>
      <c r="H57" s="35">
        <v>988</v>
      </c>
      <c r="I57" s="56">
        <v>0.16470000000000001</v>
      </c>
      <c r="J57" s="56">
        <v>0.16470000000000001</v>
      </c>
      <c r="K57" s="50">
        <v>6226383418.0089998</v>
      </c>
      <c r="L57" s="34">
        <f t="shared" si="39"/>
        <v>1.0993594998100649E-3</v>
      </c>
      <c r="M57" s="40">
        <v>100</v>
      </c>
      <c r="N57" s="40">
        <v>100</v>
      </c>
      <c r="O57" s="35">
        <v>996</v>
      </c>
      <c r="P57" s="56">
        <v>0.1641</v>
      </c>
      <c r="Q57" s="56">
        <v>0.1641</v>
      </c>
      <c r="R57" s="61">
        <f t="shared" si="19"/>
        <v>2.5933896179660278E-2</v>
      </c>
      <c r="S57" s="61">
        <f t="shared" si="20"/>
        <v>0</v>
      </c>
      <c r="T57" s="61">
        <f t="shared" si="21"/>
        <v>8.0971659919028341E-3</v>
      </c>
      <c r="U57" s="62">
        <f t="shared" si="22"/>
        <v>-6.0000000000001719E-4</v>
      </c>
      <c r="V57" s="63">
        <f t="shared" si="23"/>
        <v>-6.0000000000001719E-4</v>
      </c>
    </row>
    <row r="58" spans="1:22">
      <c r="A58" s="181">
        <v>50</v>
      </c>
      <c r="B58" s="148" t="s">
        <v>100</v>
      </c>
      <c r="C58" s="147" t="s">
        <v>42</v>
      </c>
      <c r="D58" s="54">
        <v>112751632856.88</v>
      </c>
      <c r="E58" s="34">
        <f t="shared" si="38"/>
        <v>1.9907957859097668E-2</v>
      </c>
      <c r="F58" s="40">
        <v>10</v>
      </c>
      <c r="G58" s="40">
        <v>10</v>
      </c>
      <c r="H58" s="35">
        <v>7015</v>
      </c>
      <c r="I58" s="56">
        <v>0.17069999999999999</v>
      </c>
      <c r="J58" s="56">
        <v>0.17069999999999999</v>
      </c>
      <c r="K58" s="54">
        <v>115231319733.03</v>
      </c>
      <c r="L58" s="34">
        <f t="shared" si="39"/>
        <v>2.0345783020324498E-2</v>
      </c>
      <c r="M58" s="40">
        <v>10</v>
      </c>
      <c r="N58" s="40">
        <v>10</v>
      </c>
      <c r="O58" s="35">
        <v>10723</v>
      </c>
      <c r="P58" s="56">
        <v>0.17530000000000001</v>
      </c>
      <c r="Q58" s="56">
        <v>0.17530000000000001</v>
      </c>
      <c r="R58" s="61">
        <f t="shared" si="19"/>
        <v>2.1992469761369718E-2</v>
      </c>
      <c r="S58" s="61">
        <f t="shared" si="20"/>
        <v>0</v>
      </c>
      <c r="T58" s="61">
        <f t="shared" si="21"/>
        <v>0.5285816108339273</v>
      </c>
      <c r="U58" s="62">
        <f t="shared" si="22"/>
        <v>4.6000000000000207E-3</v>
      </c>
      <c r="V58" s="63">
        <f t="shared" si="23"/>
        <v>4.6000000000000207E-3</v>
      </c>
    </row>
    <row r="59" spans="1:22">
      <c r="A59" s="181">
        <v>51</v>
      </c>
      <c r="B59" s="148" t="s">
        <v>336</v>
      </c>
      <c r="C59" s="147" t="s">
        <v>335</v>
      </c>
      <c r="D59" s="54">
        <v>442957513.99000001</v>
      </c>
      <c r="E59" s="34">
        <f t="shared" si="38"/>
        <v>7.8210659113709654E-5</v>
      </c>
      <c r="F59" s="40">
        <v>1</v>
      </c>
      <c r="G59" s="40">
        <v>1</v>
      </c>
      <c r="H59" s="35">
        <v>236</v>
      </c>
      <c r="I59" s="56">
        <v>0.19783700000000001</v>
      </c>
      <c r="J59" s="56">
        <v>0.19783700000000001</v>
      </c>
      <c r="K59" s="54">
        <v>401650657.63</v>
      </c>
      <c r="L59" s="34">
        <f t="shared" si="39"/>
        <v>7.0917326548402128E-5</v>
      </c>
      <c r="M59" s="40">
        <v>1</v>
      </c>
      <c r="N59" s="40">
        <v>1</v>
      </c>
      <c r="O59" s="35">
        <v>236</v>
      </c>
      <c r="P59" s="56">
        <v>0.18992700000000001</v>
      </c>
      <c r="Q59" s="56">
        <v>0.18992700000000001</v>
      </c>
      <c r="R59" s="61">
        <f t="shared" ref="R59" si="45">((K59-D59)/D59)</f>
        <v>-9.3252411473784227E-2</v>
      </c>
      <c r="S59" s="61">
        <f t="shared" ref="S59" si="46">((N59-G59)/G59)</f>
        <v>0</v>
      </c>
      <c r="T59" s="61">
        <f t="shared" ref="T59" si="47">((O59-H59)/H59)</f>
        <v>0</v>
      </c>
      <c r="U59" s="62">
        <f t="shared" ref="U59" si="48">P59-I59</f>
        <v>-7.9100000000000004E-3</v>
      </c>
      <c r="V59" s="63">
        <f t="shared" ref="V59" si="49">Q59-J59</f>
        <v>-7.9100000000000004E-3</v>
      </c>
    </row>
    <row r="60" spans="1:22">
      <c r="A60" s="181">
        <v>52</v>
      </c>
      <c r="B60" s="148" t="s">
        <v>101</v>
      </c>
      <c r="C60" s="147" t="s">
        <v>102</v>
      </c>
      <c r="D60" s="50">
        <v>43569494082</v>
      </c>
      <c r="E60" s="34">
        <f t="shared" si="38"/>
        <v>7.6928345084603762E-3</v>
      </c>
      <c r="F60" s="40">
        <v>100</v>
      </c>
      <c r="G60" s="40">
        <v>100</v>
      </c>
      <c r="H60" s="35">
        <v>6230</v>
      </c>
      <c r="I60" s="56">
        <v>0.1663</v>
      </c>
      <c r="J60" s="56">
        <v>0.1663</v>
      </c>
      <c r="K60" s="50">
        <v>43697005581</v>
      </c>
      <c r="L60" s="34">
        <f t="shared" si="39"/>
        <v>7.7153485376085353E-3</v>
      </c>
      <c r="M60" s="40">
        <v>100</v>
      </c>
      <c r="N60" s="40">
        <v>100</v>
      </c>
      <c r="O60" s="35">
        <v>6285</v>
      </c>
      <c r="P60" s="56">
        <v>0.17219999999999999</v>
      </c>
      <c r="Q60" s="56">
        <v>0.17219999999999999</v>
      </c>
      <c r="R60" s="61">
        <f t="shared" si="19"/>
        <v>2.9266233562413391E-3</v>
      </c>
      <c r="S60" s="61">
        <f t="shared" si="20"/>
        <v>0</v>
      </c>
      <c r="T60" s="61">
        <f t="shared" si="21"/>
        <v>8.8282504012841094E-3</v>
      </c>
      <c r="U60" s="62">
        <f t="shared" si="22"/>
        <v>5.8999999999999886E-3</v>
      </c>
      <c r="V60" s="63">
        <f t="shared" si="23"/>
        <v>5.8999999999999886E-3</v>
      </c>
    </row>
    <row r="61" spans="1:22">
      <c r="A61" s="181">
        <v>53</v>
      </c>
      <c r="B61" s="148" t="s">
        <v>103</v>
      </c>
      <c r="C61" s="147" t="s">
        <v>104</v>
      </c>
      <c r="D61" s="50">
        <v>195425421.25</v>
      </c>
      <c r="E61" s="34">
        <f t="shared" si="38"/>
        <v>3.450523023271688E-5</v>
      </c>
      <c r="F61" s="40">
        <v>1.01</v>
      </c>
      <c r="G61" s="40">
        <v>1.01</v>
      </c>
      <c r="H61" s="35">
        <v>100</v>
      </c>
      <c r="I61" s="56">
        <v>0.11360000000000001</v>
      </c>
      <c r="J61" s="56">
        <v>0.11360000000000001</v>
      </c>
      <c r="K61" s="50">
        <v>179833716.43000001</v>
      </c>
      <c r="L61" s="34">
        <f t="shared" si="39"/>
        <v>3.1752285599958868E-5</v>
      </c>
      <c r="M61" s="40">
        <v>1.01</v>
      </c>
      <c r="N61" s="40">
        <v>1.01</v>
      </c>
      <c r="O61" s="35">
        <v>101</v>
      </c>
      <c r="P61" s="56">
        <v>0.18229999999999999</v>
      </c>
      <c r="Q61" s="56">
        <v>0.18229999999999999</v>
      </c>
      <c r="R61" s="61">
        <f t="shared" si="19"/>
        <v>-7.9783401362375175E-2</v>
      </c>
      <c r="S61" s="61">
        <f t="shared" si="20"/>
        <v>0</v>
      </c>
      <c r="T61" s="61">
        <f t="shared" si="21"/>
        <v>0.01</v>
      </c>
      <c r="U61" s="62">
        <f t="shared" si="22"/>
        <v>6.8699999999999983E-2</v>
      </c>
      <c r="V61" s="63">
        <f t="shared" si="23"/>
        <v>6.8699999999999983E-2</v>
      </c>
    </row>
    <row r="62" spans="1:22">
      <c r="A62" s="181">
        <v>54</v>
      </c>
      <c r="B62" s="148" t="s">
        <v>105</v>
      </c>
      <c r="C62" s="147" t="s">
        <v>44</v>
      </c>
      <c r="D62" s="54">
        <v>2852500181.5500002</v>
      </c>
      <c r="E62" s="34">
        <f t="shared" si="38"/>
        <v>5.0365082942477964E-4</v>
      </c>
      <c r="F62" s="40">
        <v>10</v>
      </c>
      <c r="G62" s="40">
        <v>10</v>
      </c>
      <c r="H62" s="35">
        <v>992</v>
      </c>
      <c r="I62" s="56">
        <v>0.15939999999999999</v>
      </c>
      <c r="J62" s="56">
        <v>0.15939999999999999</v>
      </c>
      <c r="K62" s="54">
        <v>2795616654.96</v>
      </c>
      <c r="L62" s="34">
        <f t="shared" si="39"/>
        <v>4.9360720680453765E-4</v>
      </c>
      <c r="M62" s="40">
        <v>10</v>
      </c>
      <c r="N62" s="40">
        <v>10</v>
      </c>
      <c r="O62" s="35">
        <v>992</v>
      </c>
      <c r="P62" s="56">
        <v>0.14599999999999999</v>
      </c>
      <c r="Q62" s="56">
        <v>0.14599999999999999</v>
      </c>
      <c r="R62" s="61">
        <f t="shared" si="19"/>
        <v>-1.9941638201435841E-2</v>
      </c>
      <c r="S62" s="61">
        <f t="shared" si="20"/>
        <v>0</v>
      </c>
      <c r="T62" s="61">
        <f t="shared" si="21"/>
        <v>0</v>
      </c>
      <c r="U62" s="62">
        <f t="shared" si="22"/>
        <v>-1.3399999999999995E-2</v>
      </c>
      <c r="V62" s="63">
        <f t="shared" si="23"/>
        <v>-1.3399999999999995E-2</v>
      </c>
    </row>
    <row r="63" spans="1:22">
      <c r="A63" s="181">
        <v>55</v>
      </c>
      <c r="B63" s="148" t="s">
        <v>106</v>
      </c>
      <c r="C63" s="147" t="s">
        <v>107</v>
      </c>
      <c r="D63" s="54">
        <v>1593826559.3599999</v>
      </c>
      <c r="E63" s="34">
        <f t="shared" si="38"/>
        <v>2.8141350306407894E-4</v>
      </c>
      <c r="F63" s="40">
        <v>1</v>
      </c>
      <c r="G63" s="40">
        <v>1</v>
      </c>
      <c r="H63" s="35">
        <v>231</v>
      </c>
      <c r="I63" s="56">
        <v>0.19520000000000001</v>
      </c>
      <c r="J63" s="56">
        <v>0.19520000000000001</v>
      </c>
      <c r="K63" s="54">
        <v>1598195055</v>
      </c>
      <c r="L63" s="34">
        <f t="shared" si="39"/>
        <v>2.8218482517184095E-4</v>
      </c>
      <c r="M63" s="40">
        <v>1</v>
      </c>
      <c r="N63" s="40">
        <v>1</v>
      </c>
      <c r="O63" s="35">
        <v>237</v>
      </c>
      <c r="P63" s="56">
        <v>0.18990000000000001</v>
      </c>
      <c r="Q63" s="56">
        <v>0.18990000000000001</v>
      </c>
      <c r="R63" s="61">
        <f t="shared" si="19"/>
        <v>2.7408852075813516E-3</v>
      </c>
      <c r="S63" s="61">
        <f t="shared" si="20"/>
        <v>0</v>
      </c>
      <c r="T63" s="61">
        <f t="shared" si="21"/>
        <v>2.5974025974025976E-2</v>
      </c>
      <c r="U63" s="62">
        <f t="shared" si="22"/>
        <v>-5.2999999999999992E-3</v>
      </c>
      <c r="V63" s="63">
        <f t="shared" si="23"/>
        <v>-5.2999999999999992E-3</v>
      </c>
    </row>
    <row r="64" spans="1:22">
      <c r="A64" s="181">
        <v>56</v>
      </c>
      <c r="B64" s="148" t="s">
        <v>108</v>
      </c>
      <c r="C64" s="147" t="s">
        <v>109</v>
      </c>
      <c r="D64" s="54">
        <v>2457603753.3899999</v>
      </c>
      <c r="E64" s="34">
        <f t="shared" si="38"/>
        <v>4.339260613542677E-4</v>
      </c>
      <c r="F64" s="40">
        <v>1</v>
      </c>
      <c r="G64" s="40">
        <v>1</v>
      </c>
      <c r="H64" s="35">
        <v>2673</v>
      </c>
      <c r="I64" s="56">
        <v>0.16289999999999999</v>
      </c>
      <c r="J64" s="56">
        <v>0.16289999999999999</v>
      </c>
      <c r="K64" s="54">
        <v>2503448919.5999999</v>
      </c>
      <c r="L64" s="34">
        <f t="shared" si="39"/>
        <v>4.4202069922182313E-4</v>
      </c>
      <c r="M64" s="40">
        <v>1</v>
      </c>
      <c r="N64" s="40">
        <v>1</v>
      </c>
      <c r="O64" s="35">
        <v>2669</v>
      </c>
      <c r="P64" s="56">
        <v>0.16289999999999999</v>
      </c>
      <c r="Q64" s="56">
        <v>0.16289999999999999</v>
      </c>
      <c r="R64" s="61">
        <f t="shared" si="19"/>
        <v>1.865441739611667E-2</v>
      </c>
      <c r="S64" s="61">
        <f t="shared" si="20"/>
        <v>0</v>
      </c>
      <c r="T64" s="61">
        <f t="shared" si="21"/>
        <v>-1.4964459408903852E-3</v>
      </c>
      <c r="U64" s="62">
        <f t="shared" si="22"/>
        <v>0</v>
      </c>
      <c r="V64" s="63">
        <f t="shared" si="23"/>
        <v>0</v>
      </c>
    </row>
    <row r="65" spans="1:22">
      <c r="A65" s="181">
        <v>57</v>
      </c>
      <c r="B65" s="148" t="s">
        <v>110</v>
      </c>
      <c r="C65" s="147" t="s">
        <v>111</v>
      </c>
      <c r="D65" s="54">
        <v>15220911765.259501</v>
      </c>
      <c r="E65" s="34">
        <f t="shared" si="38"/>
        <v>2.6874756695050399E-3</v>
      </c>
      <c r="F65" s="40">
        <v>100</v>
      </c>
      <c r="G65" s="40">
        <v>100</v>
      </c>
      <c r="H65" s="35">
        <v>164</v>
      </c>
      <c r="I65" s="56">
        <v>0.1552</v>
      </c>
      <c r="J65" s="56">
        <v>0.1552</v>
      </c>
      <c r="K65" s="54">
        <v>15170932807.693701</v>
      </c>
      <c r="L65" s="34">
        <f t="shared" si="39"/>
        <v>2.6786511500204793E-3</v>
      </c>
      <c r="M65" s="40">
        <v>100</v>
      </c>
      <c r="N65" s="40">
        <v>100</v>
      </c>
      <c r="O65" s="35">
        <v>163</v>
      </c>
      <c r="P65" s="56">
        <v>0.15670000000000001</v>
      </c>
      <c r="Q65" s="56">
        <v>0.15670000000000001</v>
      </c>
      <c r="R65" s="61">
        <f t="shared" si="19"/>
        <v>-3.2835718606471814E-3</v>
      </c>
      <c r="S65" s="61">
        <f t="shared" si="20"/>
        <v>0</v>
      </c>
      <c r="T65" s="61">
        <f t="shared" si="21"/>
        <v>-6.0975609756097563E-3</v>
      </c>
      <c r="U65" s="62">
        <f t="shared" si="22"/>
        <v>1.5000000000000013E-3</v>
      </c>
      <c r="V65" s="63">
        <f t="shared" si="23"/>
        <v>1.5000000000000013E-3</v>
      </c>
    </row>
    <row r="66" spans="1:22">
      <c r="A66" s="181">
        <v>58</v>
      </c>
      <c r="B66" s="148" t="s">
        <v>327</v>
      </c>
      <c r="C66" s="147" t="s">
        <v>75</v>
      </c>
      <c r="D66" s="54">
        <v>122526333.09</v>
      </c>
      <c r="E66" s="34">
        <f t="shared" si="38"/>
        <v>2.1633824841204004E-5</v>
      </c>
      <c r="F66" s="40">
        <v>1000</v>
      </c>
      <c r="G66" s="40">
        <v>1000</v>
      </c>
      <c r="H66" s="35">
        <v>29</v>
      </c>
      <c r="I66" s="56">
        <v>0.22170000000000001</v>
      </c>
      <c r="J66" s="56">
        <v>0.22170000000000001</v>
      </c>
      <c r="K66" s="54">
        <v>122954761.37</v>
      </c>
      <c r="L66" s="34">
        <f t="shared" si="39"/>
        <v>2.170947015052482E-5</v>
      </c>
      <c r="M66" s="40">
        <v>1000</v>
      </c>
      <c r="N66" s="40">
        <v>1000</v>
      </c>
      <c r="O66" s="35">
        <v>29</v>
      </c>
      <c r="P66" s="56">
        <v>0.22170000000000001</v>
      </c>
      <c r="Q66" s="56">
        <v>0.22170000000000001</v>
      </c>
      <c r="R66" s="61">
        <f t="shared" si="19"/>
        <v>3.496622066419838E-3</v>
      </c>
      <c r="S66" s="61">
        <f t="shared" si="20"/>
        <v>0</v>
      </c>
      <c r="T66" s="61">
        <f t="shared" si="21"/>
        <v>0</v>
      </c>
      <c r="U66" s="62">
        <f t="shared" si="22"/>
        <v>0</v>
      </c>
      <c r="V66" s="63">
        <f t="shared" si="23"/>
        <v>0</v>
      </c>
    </row>
    <row r="67" spans="1:22">
      <c r="A67" s="181">
        <v>59</v>
      </c>
      <c r="B67" s="148" t="s">
        <v>329</v>
      </c>
      <c r="C67" s="147" t="s">
        <v>32</v>
      </c>
      <c r="D67" s="38">
        <v>2080052968</v>
      </c>
      <c r="E67" s="34">
        <f t="shared" si="38"/>
        <v>3.6726392143870626E-4</v>
      </c>
      <c r="F67" s="33">
        <v>1</v>
      </c>
      <c r="G67" s="33">
        <v>1</v>
      </c>
      <c r="H67" s="35">
        <v>345</v>
      </c>
      <c r="I67" s="56">
        <v>0.1772</v>
      </c>
      <c r="J67" s="56">
        <v>0.1772</v>
      </c>
      <c r="K67" s="38">
        <v>2163386968</v>
      </c>
      <c r="L67" s="34">
        <f t="shared" si="39"/>
        <v>3.8197776387445965E-4</v>
      </c>
      <c r="M67" s="33">
        <v>1</v>
      </c>
      <c r="N67" s="33">
        <v>1</v>
      </c>
      <c r="O67" s="35">
        <v>345</v>
      </c>
      <c r="P67" s="56">
        <v>0.1772</v>
      </c>
      <c r="Q67" s="56">
        <v>0.1772</v>
      </c>
      <c r="R67" s="61">
        <f t="shared" si="19"/>
        <v>4.0063402846960576E-2</v>
      </c>
      <c r="S67" s="61">
        <f t="shared" si="20"/>
        <v>0</v>
      </c>
      <c r="T67" s="61">
        <f t="shared" si="21"/>
        <v>0</v>
      </c>
      <c r="U67" s="62">
        <f t="shared" si="22"/>
        <v>0</v>
      </c>
      <c r="V67" s="63">
        <f t="shared" si="23"/>
        <v>0</v>
      </c>
    </row>
    <row r="68" spans="1:22">
      <c r="A68" s="181">
        <v>60</v>
      </c>
      <c r="B68" s="148" t="s">
        <v>112</v>
      </c>
      <c r="C68" s="147" t="s">
        <v>48</v>
      </c>
      <c r="D68" s="50">
        <v>2715814130857.0898</v>
      </c>
      <c r="E68" s="34">
        <f t="shared" si="38"/>
        <v>0.47951689833949779</v>
      </c>
      <c r="F68" s="40">
        <v>100</v>
      </c>
      <c r="G68" s="40">
        <v>100</v>
      </c>
      <c r="H68" s="35">
        <v>312981</v>
      </c>
      <c r="I68" s="56">
        <v>0.15290000000000001</v>
      </c>
      <c r="J68" s="56">
        <v>0.15290000000000001</v>
      </c>
      <c r="K68" s="50">
        <v>2739695942558.96</v>
      </c>
      <c r="L68" s="34">
        <f>(K68/$K$76)</f>
        <v>0.48373358317955883</v>
      </c>
      <c r="M68" s="40">
        <v>100</v>
      </c>
      <c r="N68" s="40">
        <v>100</v>
      </c>
      <c r="O68" s="35">
        <v>316009</v>
      </c>
      <c r="P68" s="56">
        <v>0.1542</v>
      </c>
      <c r="Q68" s="56">
        <v>0.1542</v>
      </c>
      <c r="R68" s="61">
        <f t="shared" si="19"/>
        <v>8.7936105164653534E-3</v>
      </c>
      <c r="S68" s="61">
        <f t="shared" si="20"/>
        <v>0</v>
      </c>
      <c r="T68" s="61">
        <f t="shared" si="21"/>
        <v>9.6747086883868343E-3</v>
      </c>
      <c r="U68" s="62">
        <f t="shared" si="22"/>
        <v>1.2999999999999956E-3</v>
      </c>
      <c r="V68" s="63">
        <f t="shared" si="23"/>
        <v>1.2999999999999956E-3</v>
      </c>
    </row>
    <row r="69" spans="1:22">
      <c r="A69" s="181">
        <v>61</v>
      </c>
      <c r="B69" s="148" t="s">
        <v>113</v>
      </c>
      <c r="C69" s="148" t="s">
        <v>114</v>
      </c>
      <c r="D69" s="50">
        <v>12509560685.540001</v>
      </c>
      <c r="E69" s="34">
        <f t="shared" si="38"/>
        <v>2.2087467884360583E-3</v>
      </c>
      <c r="F69" s="40">
        <v>100</v>
      </c>
      <c r="G69" s="40">
        <v>100</v>
      </c>
      <c r="H69" s="35">
        <v>1394</v>
      </c>
      <c r="I69" s="56">
        <v>0.19259999999999999</v>
      </c>
      <c r="J69" s="56">
        <v>0.19259999999999999</v>
      </c>
      <c r="K69" s="50">
        <v>13279902985.08</v>
      </c>
      <c r="L69" s="34">
        <f t="shared" ref="L69:L75" si="50">(K69/$K$76)</f>
        <v>2.3447620429183523E-3</v>
      </c>
      <c r="M69" s="40">
        <v>100</v>
      </c>
      <c r="N69" s="40">
        <v>100</v>
      </c>
      <c r="O69" s="35">
        <v>1449</v>
      </c>
      <c r="P69" s="56">
        <v>0.19539999999999999</v>
      </c>
      <c r="Q69" s="56">
        <v>0.19539999999999999</v>
      </c>
      <c r="R69" s="61">
        <f t="shared" si="19"/>
        <v>6.1580283984748553E-2</v>
      </c>
      <c r="S69" s="61">
        <f t="shared" si="20"/>
        <v>0</v>
      </c>
      <c r="T69" s="61">
        <f t="shared" si="21"/>
        <v>3.9454806312769007E-2</v>
      </c>
      <c r="U69" s="62">
        <f t="shared" si="22"/>
        <v>2.7999999999999969E-3</v>
      </c>
      <c r="V69" s="63">
        <f t="shared" si="23"/>
        <v>2.7999999999999969E-3</v>
      </c>
    </row>
    <row r="70" spans="1:22">
      <c r="A70" s="181">
        <v>62</v>
      </c>
      <c r="B70" s="182" t="s">
        <v>115</v>
      </c>
      <c r="C70" s="147" t="s">
        <v>116</v>
      </c>
      <c r="D70" s="50">
        <v>15832099466.030001</v>
      </c>
      <c r="E70" s="34">
        <f t="shared" si="38"/>
        <v>2.7953898405253621E-3</v>
      </c>
      <c r="F70" s="40">
        <v>1</v>
      </c>
      <c r="G70" s="40">
        <v>1</v>
      </c>
      <c r="H70" s="35">
        <v>857</v>
      </c>
      <c r="I70" s="56">
        <v>0.189328</v>
      </c>
      <c r="J70" s="56">
        <v>0.189328</v>
      </c>
      <c r="K70" s="50">
        <v>15913117812.6</v>
      </c>
      <c r="L70" s="34">
        <f t="shared" si="50"/>
        <v>2.8096948203155583E-3</v>
      </c>
      <c r="M70" s="40">
        <v>1</v>
      </c>
      <c r="N70" s="40">
        <v>1</v>
      </c>
      <c r="O70" s="35">
        <v>872</v>
      </c>
      <c r="P70" s="56">
        <v>0.18922900000000001</v>
      </c>
      <c r="Q70" s="56">
        <v>0.18922900000000001</v>
      </c>
      <c r="R70" s="61">
        <f t="shared" si="19"/>
        <v>5.1173469913978224E-3</v>
      </c>
      <c r="S70" s="61">
        <f t="shared" si="20"/>
        <v>0</v>
      </c>
      <c r="T70" s="61">
        <f t="shared" si="21"/>
        <v>1.7502917152858809E-2</v>
      </c>
      <c r="U70" s="62">
        <f t="shared" si="22"/>
        <v>-9.8999999999987986E-5</v>
      </c>
      <c r="V70" s="63">
        <f t="shared" si="23"/>
        <v>-9.8999999999987986E-5</v>
      </c>
    </row>
    <row r="71" spans="1:22">
      <c r="A71" s="181">
        <v>63</v>
      </c>
      <c r="B71" s="148" t="s">
        <v>117</v>
      </c>
      <c r="C71" s="147" t="s">
        <v>51</v>
      </c>
      <c r="D71" s="50">
        <v>222753721566.10999</v>
      </c>
      <c r="E71" s="34">
        <f t="shared" si="38"/>
        <v>3.9330443289670725E-2</v>
      </c>
      <c r="F71" s="40">
        <v>1</v>
      </c>
      <c r="G71" s="40">
        <v>1</v>
      </c>
      <c r="H71" s="35">
        <v>86020</v>
      </c>
      <c r="I71" s="56">
        <v>0.1507</v>
      </c>
      <c r="J71" s="56">
        <v>0.1507</v>
      </c>
      <c r="K71" s="50">
        <v>223398851204.60999</v>
      </c>
      <c r="L71" s="34">
        <f t="shared" si="50"/>
        <v>3.9444350408632055E-2</v>
      </c>
      <c r="M71" s="40">
        <v>1</v>
      </c>
      <c r="N71" s="40">
        <v>1</v>
      </c>
      <c r="O71" s="35">
        <v>86498</v>
      </c>
      <c r="P71" s="56">
        <v>0.15060000000000001</v>
      </c>
      <c r="Q71" s="56">
        <v>0.15060000000000001</v>
      </c>
      <c r="R71" s="61">
        <f t="shared" si="19"/>
        <v>2.8961564994932536E-3</v>
      </c>
      <c r="S71" s="61">
        <f t="shared" si="20"/>
        <v>0</v>
      </c>
      <c r="T71" s="61">
        <f t="shared" si="21"/>
        <v>5.5568472448267849E-3</v>
      </c>
      <c r="U71" s="62">
        <f t="shared" si="22"/>
        <v>-9.9999999999988987E-5</v>
      </c>
      <c r="V71" s="63">
        <f t="shared" si="23"/>
        <v>-9.9999999999988987E-5</v>
      </c>
    </row>
    <row r="72" spans="1:22">
      <c r="A72" s="181">
        <v>64</v>
      </c>
      <c r="B72" s="148" t="s">
        <v>118</v>
      </c>
      <c r="C72" s="147" t="s">
        <v>119</v>
      </c>
      <c r="D72" s="54">
        <v>2847516842.8699999</v>
      </c>
      <c r="E72" s="34">
        <f t="shared" si="38"/>
        <v>5.0277094774213492E-4</v>
      </c>
      <c r="F72" s="40">
        <v>1</v>
      </c>
      <c r="G72" s="40">
        <v>1</v>
      </c>
      <c r="H72" s="35">
        <v>166</v>
      </c>
      <c r="I72" s="56">
        <v>0.14979999999999999</v>
      </c>
      <c r="J72" s="56">
        <v>0.14979999999999999</v>
      </c>
      <c r="K72" s="54">
        <v>2775731382.7800002</v>
      </c>
      <c r="L72" s="34">
        <f t="shared" si="50"/>
        <v>4.90096169753051E-4</v>
      </c>
      <c r="M72" s="40">
        <v>1</v>
      </c>
      <c r="N72" s="40">
        <v>1</v>
      </c>
      <c r="O72" s="35">
        <v>166</v>
      </c>
      <c r="P72" s="56">
        <v>0.15079999999999999</v>
      </c>
      <c r="Q72" s="56">
        <v>0.15079999999999999</v>
      </c>
      <c r="R72" s="61">
        <f t="shared" si="19"/>
        <v>-2.520984564840973E-2</v>
      </c>
      <c r="S72" s="61">
        <f t="shared" si="20"/>
        <v>0</v>
      </c>
      <c r="T72" s="61">
        <f t="shared" si="21"/>
        <v>0</v>
      </c>
      <c r="U72" s="62">
        <f t="shared" si="22"/>
        <v>1.0000000000000009E-3</v>
      </c>
      <c r="V72" s="63">
        <f t="shared" si="23"/>
        <v>1.0000000000000009E-3</v>
      </c>
    </row>
    <row r="73" spans="1:22">
      <c r="A73" s="181">
        <v>65</v>
      </c>
      <c r="B73" s="148" t="s">
        <v>120</v>
      </c>
      <c r="C73" s="147" t="s">
        <v>121</v>
      </c>
      <c r="D73" s="50">
        <v>9423842700.25</v>
      </c>
      <c r="E73" s="34">
        <f t="shared" si="38"/>
        <v>1.6639179282262112E-3</v>
      </c>
      <c r="F73" s="40">
        <v>1</v>
      </c>
      <c r="G73" s="40">
        <v>1</v>
      </c>
      <c r="H73" s="35">
        <v>586</v>
      </c>
      <c r="I73" s="56">
        <v>0.1618</v>
      </c>
      <c r="J73" s="56">
        <v>0.1618</v>
      </c>
      <c r="K73" s="50">
        <v>9650283656.4500008</v>
      </c>
      <c r="L73" s="34">
        <f>(K73/$K$76)</f>
        <v>1.7038994069807189E-3</v>
      </c>
      <c r="M73" s="40">
        <v>1</v>
      </c>
      <c r="N73" s="40">
        <v>1</v>
      </c>
      <c r="O73" s="35">
        <v>655</v>
      </c>
      <c r="P73" s="56">
        <v>0.1542</v>
      </c>
      <c r="Q73" s="56">
        <v>0.1542</v>
      </c>
      <c r="R73" s="61">
        <f t="shared" si="19"/>
        <v>2.402851611625411E-2</v>
      </c>
      <c r="S73" s="61">
        <f t="shared" si="20"/>
        <v>0</v>
      </c>
      <c r="T73" s="61">
        <f t="shared" si="21"/>
        <v>0.11774744027303755</v>
      </c>
      <c r="U73" s="62">
        <f t="shared" si="22"/>
        <v>-7.5999999999999956E-3</v>
      </c>
      <c r="V73" s="63">
        <f t="shared" si="23"/>
        <v>-7.5999999999999956E-3</v>
      </c>
    </row>
    <row r="74" spans="1:22">
      <c r="A74" s="181">
        <v>66</v>
      </c>
      <c r="B74" s="148" t="s">
        <v>122</v>
      </c>
      <c r="C74" s="147" t="s">
        <v>123</v>
      </c>
      <c r="D74" s="50">
        <v>16195622170.959999</v>
      </c>
      <c r="E74" s="34">
        <f t="shared" si="38"/>
        <v>2.859575116669059E-3</v>
      </c>
      <c r="F74" s="40">
        <v>1</v>
      </c>
      <c r="G74" s="40">
        <v>1</v>
      </c>
      <c r="H74" s="35">
        <v>6875</v>
      </c>
      <c r="I74" s="56">
        <v>0.22140000000000001</v>
      </c>
      <c r="J74" s="56">
        <v>0.22140000000000001</v>
      </c>
      <c r="K74" s="50">
        <v>15718804508.16</v>
      </c>
      <c r="L74" s="34">
        <f t="shared" si="50"/>
        <v>2.7753859506501068E-3</v>
      </c>
      <c r="M74" s="40">
        <v>1</v>
      </c>
      <c r="N74" s="40">
        <v>1</v>
      </c>
      <c r="O74" s="35">
        <v>6984</v>
      </c>
      <c r="P74" s="56">
        <v>0.1754</v>
      </c>
      <c r="Q74" s="56">
        <v>0.1754</v>
      </c>
      <c r="R74" s="61">
        <f t="shared" si="19"/>
        <v>-2.9441145129636952E-2</v>
      </c>
      <c r="S74" s="61">
        <f t="shared" si="20"/>
        <v>0</v>
      </c>
      <c r="T74" s="61">
        <f t="shared" si="21"/>
        <v>1.5854545454545454E-2</v>
      </c>
      <c r="U74" s="62">
        <f t="shared" si="22"/>
        <v>-4.6000000000000013E-2</v>
      </c>
      <c r="V74" s="63">
        <f t="shared" si="23"/>
        <v>-4.6000000000000013E-2</v>
      </c>
    </row>
    <row r="75" spans="1:22">
      <c r="A75" s="181">
        <v>67</v>
      </c>
      <c r="B75" s="148" t="s">
        <v>124</v>
      </c>
      <c r="C75" s="147" t="s">
        <v>125</v>
      </c>
      <c r="D75" s="50">
        <v>145880116763.53</v>
      </c>
      <c r="E75" s="34">
        <f t="shared" si="38"/>
        <v>2.5757278572586032E-2</v>
      </c>
      <c r="F75" s="40">
        <v>1</v>
      </c>
      <c r="G75" s="40">
        <v>1</v>
      </c>
      <c r="H75" s="35">
        <v>8245</v>
      </c>
      <c r="I75" s="56">
        <v>0.1613</v>
      </c>
      <c r="J75" s="56">
        <v>0.1613</v>
      </c>
      <c r="K75" s="50">
        <v>149403837122.44</v>
      </c>
      <c r="L75" s="34">
        <f t="shared" si="50"/>
        <v>2.6379443189052998E-2</v>
      </c>
      <c r="M75" s="40">
        <v>1</v>
      </c>
      <c r="N75" s="40">
        <v>1</v>
      </c>
      <c r="O75" s="35">
        <v>8285</v>
      </c>
      <c r="P75" s="56">
        <v>0.1618</v>
      </c>
      <c r="Q75" s="56">
        <v>0.1618</v>
      </c>
      <c r="R75" s="61">
        <f t="shared" si="19"/>
        <v>2.4154904980107153E-2</v>
      </c>
      <c r="S75" s="61">
        <f t="shared" si="20"/>
        <v>0</v>
      </c>
      <c r="T75" s="61">
        <f t="shared" si="21"/>
        <v>4.8514251061249243E-3</v>
      </c>
      <c r="U75" s="62">
        <f t="shared" si="22"/>
        <v>5.0000000000000044E-4</v>
      </c>
      <c r="V75" s="63">
        <f t="shared" si="23"/>
        <v>5.0000000000000044E-4</v>
      </c>
    </row>
    <row r="76" spans="1:22">
      <c r="A76" s="41"/>
      <c r="B76" s="42"/>
      <c r="C76" s="43" t="s">
        <v>54</v>
      </c>
      <c r="D76" s="65">
        <f>SUM(D29:D75)</f>
        <v>5619001466443.6777</v>
      </c>
      <c r="E76" s="45">
        <f>(D76/$D$238)</f>
        <v>0.65159570825564761</v>
      </c>
      <c r="F76" s="46"/>
      <c r="G76" s="51"/>
      <c r="H76" s="48">
        <f>SUM(H29:H75)</f>
        <v>717236</v>
      </c>
      <c r="I76" s="69"/>
      <c r="J76" s="69"/>
      <c r="K76" s="65">
        <f>SUM(K29:K75)</f>
        <v>5663646349610.5918</v>
      </c>
      <c r="L76" s="45">
        <f>(K76/$K$238)</f>
        <v>0.65233340164408671</v>
      </c>
      <c r="M76" s="46"/>
      <c r="N76" s="51"/>
      <c r="O76" s="48">
        <f>SUM(O29:O75)</f>
        <v>727494</v>
      </c>
      <c r="P76" s="69"/>
      <c r="Q76" s="69"/>
      <c r="R76" s="61">
        <f t="shared" si="19"/>
        <v>7.9453410776862202E-3</v>
      </c>
      <c r="S76" s="61" t="e">
        <f t="shared" si="20"/>
        <v>#DIV/0!</v>
      </c>
      <c r="T76" s="61">
        <f t="shared" si="21"/>
        <v>1.4302126496717957E-2</v>
      </c>
      <c r="U76" s="62">
        <f t="shared" si="22"/>
        <v>0</v>
      </c>
      <c r="V76" s="63">
        <f t="shared" si="23"/>
        <v>0</v>
      </c>
    </row>
    <row r="77" spans="1:22" ht="3" customHeight="1">
      <c r="A77" s="41"/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</row>
    <row r="78" spans="1:22" ht="15" customHeight="1">
      <c r="A78" s="194" t="s">
        <v>126</v>
      </c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</row>
    <row r="79" spans="1:22">
      <c r="A79" s="181">
        <v>68</v>
      </c>
      <c r="B79" s="148" t="s">
        <v>127</v>
      </c>
      <c r="C79" s="147" t="s">
        <v>21</v>
      </c>
      <c r="D79" s="38">
        <v>1142826083.3199999</v>
      </c>
      <c r="E79" s="34">
        <f>(D79/$D$117)</f>
        <v>4.8215319568540374E-3</v>
      </c>
      <c r="F79" s="66">
        <v>1.7788999999999999</v>
      </c>
      <c r="G79" s="66">
        <v>1.7788999999999999</v>
      </c>
      <c r="H79" s="35">
        <v>554</v>
      </c>
      <c r="I79" s="56">
        <v>3.3700000000000001E-4</v>
      </c>
      <c r="J79" s="56">
        <v>6.5699999999999995E-2</v>
      </c>
      <c r="K79" s="38">
        <v>1145096646.3399999</v>
      </c>
      <c r="L79" s="34">
        <f t="shared" ref="L79:L116" si="51">(K79/$K$117)</f>
        <v>4.828493046516222E-3</v>
      </c>
      <c r="M79" s="66">
        <v>1.7823</v>
      </c>
      <c r="N79" s="66">
        <v>1.7823</v>
      </c>
      <c r="O79" s="35">
        <v>555</v>
      </c>
      <c r="P79" s="56">
        <v>-1E-3</v>
      </c>
      <c r="Q79" s="56">
        <v>6.7699999999999996E-2</v>
      </c>
      <c r="R79" s="61">
        <f>((K79-D79)/D79)</f>
        <v>1.9867966378609562E-3</v>
      </c>
      <c r="S79" s="61">
        <f>((N79-G79)/G79)</f>
        <v>1.9112934959807015E-3</v>
      </c>
      <c r="T79" s="61">
        <f>((O79-H79)/H79)</f>
        <v>1.8050541516245488E-3</v>
      </c>
      <c r="U79" s="62">
        <f>P79-I79</f>
        <v>-1.3370000000000001E-3</v>
      </c>
      <c r="V79" s="63">
        <f>Q79-J79</f>
        <v>2.0000000000000018E-3</v>
      </c>
    </row>
    <row r="80" spans="1:22">
      <c r="A80" s="181">
        <v>69</v>
      </c>
      <c r="B80" s="148" t="s">
        <v>128</v>
      </c>
      <c r="C80" s="147" t="s">
        <v>23</v>
      </c>
      <c r="D80" s="38">
        <v>1249505870.3099999</v>
      </c>
      <c r="E80" s="34">
        <f>(D80/$D$117)</f>
        <v>5.2716091905031072E-3</v>
      </c>
      <c r="F80" s="66">
        <v>1.3721000000000001</v>
      </c>
      <c r="G80" s="66">
        <v>1.3721000000000001</v>
      </c>
      <c r="H80" s="35">
        <v>1523</v>
      </c>
      <c r="I80" s="56">
        <v>0.1295</v>
      </c>
      <c r="J80" s="56">
        <v>0.1178</v>
      </c>
      <c r="K80" s="38">
        <v>1219416772.47</v>
      </c>
      <c r="L80" s="34">
        <f t="shared" si="51"/>
        <v>5.1418763870245514E-3</v>
      </c>
      <c r="M80" s="66">
        <v>1.3752</v>
      </c>
      <c r="N80" s="66">
        <v>1.3752</v>
      </c>
      <c r="O80" s="35">
        <v>1531</v>
      </c>
      <c r="P80" s="56">
        <v>0.1178</v>
      </c>
      <c r="Q80" s="56">
        <v>0.1181</v>
      </c>
      <c r="R80" s="61">
        <f t="shared" ref="R80:R117" si="52">((K80-D80)/D80)</f>
        <v>-2.4080797501603468E-2</v>
      </c>
      <c r="S80" s="61">
        <f t="shared" ref="S80:S117" si="53">((N80-G80)/G80)</f>
        <v>2.2593105458784931E-3</v>
      </c>
      <c r="T80" s="61">
        <f t="shared" ref="T80:T117" si="54">((O80-H80)/H80)</f>
        <v>5.2527905449770186E-3</v>
      </c>
      <c r="U80" s="62">
        <f t="shared" ref="U80:U117" si="55">P80-I80</f>
        <v>-1.1700000000000002E-2</v>
      </c>
      <c r="V80" s="63">
        <f t="shared" ref="V80:V117" si="56">Q80-J80</f>
        <v>2.9999999999999472E-4</v>
      </c>
    </row>
    <row r="81" spans="1:22">
      <c r="A81" s="181">
        <v>70</v>
      </c>
      <c r="B81" s="148" t="s">
        <v>129</v>
      </c>
      <c r="C81" s="147" t="s">
        <v>23</v>
      </c>
      <c r="D81" s="38">
        <v>660523887.52999997</v>
      </c>
      <c r="E81" s="34">
        <f>(D81/$D$117)</f>
        <v>2.7867206379639537E-3</v>
      </c>
      <c r="F81" s="66">
        <v>1.2228000000000001</v>
      </c>
      <c r="G81" s="66">
        <v>1.2228000000000001</v>
      </c>
      <c r="H81" s="35">
        <v>755</v>
      </c>
      <c r="I81" s="56">
        <v>0.13250000000000001</v>
      </c>
      <c r="J81" s="56">
        <v>0.12570000000000001</v>
      </c>
      <c r="K81" s="38">
        <v>663620276.42999995</v>
      </c>
      <c r="L81" s="34">
        <f t="shared" si="51"/>
        <v>2.7982667668367419E-3</v>
      </c>
      <c r="M81" s="66">
        <v>1.2258</v>
      </c>
      <c r="N81" s="66">
        <v>1.2258</v>
      </c>
      <c r="O81" s="35">
        <v>768</v>
      </c>
      <c r="P81" s="56">
        <v>0.12790000000000001</v>
      </c>
      <c r="Q81" s="56">
        <v>0.12609999999999999</v>
      </c>
      <c r="R81" s="61">
        <f t="shared" si="52"/>
        <v>4.6877773210879416E-3</v>
      </c>
      <c r="S81" s="61">
        <f t="shared" si="53"/>
        <v>2.4533856722275854E-3</v>
      </c>
      <c r="T81" s="61">
        <f t="shared" si="54"/>
        <v>1.7218543046357615E-2</v>
      </c>
      <c r="U81" s="62">
        <f t="shared" si="55"/>
        <v>-4.599999999999993E-3</v>
      </c>
      <c r="V81" s="63">
        <f t="shared" si="56"/>
        <v>3.999999999999837E-4</v>
      </c>
    </row>
    <row r="82" spans="1:22">
      <c r="A82" s="181">
        <v>71</v>
      </c>
      <c r="B82" s="148" t="s">
        <v>130</v>
      </c>
      <c r="C82" s="147" t="s">
        <v>62</v>
      </c>
      <c r="D82" s="38">
        <v>327394870.92000002</v>
      </c>
      <c r="E82" s="34">
        <f>(D82/$D$117)</f>
        <v>1.3812642673197355E-3</v>
      </c>
      <c r="F82" s="37">
        <v>1250.6199999999999</v>
      </c>
      <c r="G82" s="37">
        <v>1250.6199999999999</v>
      </c>
      <c r="H82" s="35">
        <v>287</v>
      </c>
      <c r="I82" s="56">
        <v>1.1000000000000001E-3</v>
      </c>
      <c r="J82" s="56">
        <v>7.3099999999999998E-2</v>
      </c>
      <c r="K82" s="38">
        <v>328248861.91000003</v>
      </c>
      <c r="L82" s="34">
        <f t="shared" si="51"/>
        <v>1.3841166615282349E-3</v>
      </c>
      <c r="M82" s="37">
        <v>1253.8800000000001</v>
      </c>
      <c r="N82" s="37">
        <v>1253.8800000000001</v>
      </c>
      <c r="O82" s="35">
        <v>287</v>
      </c>
      <c r="P82" s="56">
        <v>1.1000000000000001E-3</v>
      </c>
      <c r="Q82" s="56">
        <v>7.7399999999999997E-2</v>
      </c>
      <c r="R82" s="61">
        <f t="shared" si="52"/>
        <v>2.6084433992513124E-3</v>
      </c>
      <c r="S82" s="61">
        <f t="shared" si="53"/>
        <v>2.606707073291822E-3</v>
      </c>
      <c r="T82" s="61">
        <f t="shared" si="54"/>
        <v>0</v>
      </c>
      <c r="U82" s="62">
        <f t="shared" si="55"/>
        <v>0</v>
      </c>
      <c r="V82" s="63">
        <f t="shared" si="56"/>
        <v>4.2999999999999983E-3</v>
      </c>
    </row>
    <row r="83" spans="1:22" ht="15" customHeight="1">
      <c r="A83" s="181">
        <v>72</v>
      </c>
      <c r="B83" s="148" t="s">
        <v>131</v>
      </c>
      <c r="C83" s="147" t="s">
        <v>27</v>
      </c>
      <c r="D83" s="38">
        <v>1853132607.23</v>
      </c>
      <c r="E83" s="34">
        <f>(D83/$K$117)</f>
        <v>7.814046034351721E-3</v>
      </c>
      <c r="F83" s="37">
        <v>1.159</v>
      </c>
      <c r="G83" s="37">
        <v>1.159</v>
      </c>
      <c r="H83" s="35">
        <v>1081</v>
      </c>
      <c r="I83" s="56">
        <v>3.3999999999999998E-3</v>
      </c>
      <c r="J83" s="56">
        <v>6.8400000000000002E-2</v>
      </c>
      <c r="K83" s="38">
        <v>1858950233.5599999</v>
      </c>
      <c r="L83" s="34">
        <f t="shared" si="51"/>
        <v>7.8385770364915123E-3</v>
      </c>
      <c r="M83" s="37">
        <v>1.1615</v>
      </c>
      <c r="N83" s="37">
        <v>1.1615</v>
      </c>
      <c r="O83" s="35">
        <v>1081</v>
      </c>
      <c r="P83" s="56">
        <v>2.2000000000000001E-3</v>
      </c>
      <c r="Q83" s="56">
        <v>7.0599999999999996E-2</v>
      </c>
      <c r="R83" s="61">
        <f t="shared" si="52"/>
        <v>3.1393470209862178E-3</v>
      </c>
      <c r="S83" s="61">
        <f t="shared" si="53"/>
        <v>2.1570319240724303E-3</v>
      </c>
      <c r="T83" s="61">
        <f t="shared" si="54"/>
        <v>0</v>
      </c>
      <c r="U83" s="62">
        <f t="shared" si="55"/>
        <v>-1.1999999999999997E-3</v>
      </c>
      <c r="V83" s="63">
        <f t="shared" si="56"/>
        <v>2.1999999999999936E-3</v>
      </c>
    </row>
    <row r="84" spans="1:22">
      <c r="A84" s="181">
        <v>73</v>
      </c>
      <c r="B84" s="148" t="s">
        <v>132</v>
      </c>
      <c r="C84" s="147" t="s">
        <v>133</v>
      </c>
      <c r="D84" s="38">
        <v>499126656.04000002</v>
      </c>
      <c r="E84" s="34">
        <f t="shared" ref="E84:E102" si="57">(D84/$D$117)</f>
        <v>2.1057929616231028E-3</v>
      </c>
      <c r="F84" s="37">
        <v>2.8424</v>
      </c>
      <c r="G84" s="37">
        <v>2.8424</v>
      </c>
      <c r="H84" s="35">
        <v>1390</v>
      </c>
      <c r="I84" s="56">
        <v>0.1336</v>
      </c>
      <c r="J84" s="56">
        <v>0.13639999999999999</v>
      </c>
      <c r="K84" s="38">
        <v>500411316.10000002</v>
      </c>
      <c r="L84" s="34">
        <f t="shared" si="51"/>
        <v>2.1100686722904417E-3</v>
      </c>
      <c r="M84" s="37">
        <v>2.8496999999999999</v>
      </c>
      <c r="N84" s="37">
        <v>2.8496999999999999</v>
      </c>
      <c r="O84" s="35">
        <v>1390</v>
      </c>
      <c r="P84" s="56">
        <v>0.13389999999999999</v>
      </c>
      <c r="Q84" s="56">
        <v>0.1366</v>
      </c>
      <c r="R84" s="61">
        <f t="shared" si="52"/>
        <v>2.5738157729188675E-3</v>
      </c>
      <c r="S84" s="61">
        <f t="shared" si="53"/>
        <v>2.5682521812552287E-3</v>
      </c>
      <c r="T84" s="61">
        <f t="shared" si="54"/>
        <v>0</v>
      </c>
      <c r="U84" s="62">
        <f t="shared" si="55"/>
        <v>2.9999999999999472E-4</v>
      </c>
      <c r="V84" s="63">
        <f t="shared" si="56"/>
        <v>2.0000000000000573E-4</v>
      </c>
    </row>
    <row r="85" spans="1:22">
      <c r="A85" s="181">
        <v>74</v>
      </c>
      <c r="B85" s="147" t="s">
        <v>134</v>
      </c>
      <c r="C85" s="147" t="s">
        <v>135</v>
      </c>
      <c r="D85" s="38">
        <v>3077327547.2199998</v>
      </c>
      <c r="E85" s="34">
        <f t="shared" si="57"/>
        <v>1.2983106814927226E-2</v>
      </c>
      <c r="F85" s="37">
        <v>1186.17</v>
      </c>
      <c r="G85" s="37">
        <v>1186.17</v>
      </c>
      <c r="H85" s="35">
        <v>313</v>
      </c>
      <c r="I85" s="56">
        <v>2.0100000000000001E-3</v>
      </c>
      <c r="J85" s="56">
        <v>6.0010000000000001E-2</v>
      </c>
      <c r="K85" s="38">
        <v>3311669945.1199999</v>
      </c>
      <c r="L85" s="34">
        <f t="shared" si="51"/>
        <v>1.3964214595752859E-2</v>
      </c>
      <c r="M85" s="37">
        <v>1189.95</v>
      </c>
      <c r="N85" s="37">
        <v>1189.95</v>
      </c>
      <c r="O85" s="35">
        <v>314</v>
      </c>
      <c r="P85" s="56">
        <v>2.4099999999999998E-3</v>
      </c>
      <c r="Q85" s="56">
        <v>6.3390000000000002E-2</v>
      </c>
      <c r="R85" s="61">
        <f t="shared" ref="R85" si="58">((K85-D85)/D85)</f>
        <v>7.6151269016423245E-2</v>
      </c>
      <c r="S85" s="61">
        <f t="shared" si="53"/>
        <v>3.1867270290093092E-3</v>
      </c>
      <c r="T85" s="61">
        <f t="shared" ref="T85" si="59">((O85-H85)/H85)</f>
        <v>3.1948881789137379E-3</v>
      </c>
      <c r="U85" s="62">
        <f t="shared" si="55"/>
        <v>3.9999999999999975E-4</v>
      </c>
      <c r="V85" s="63">
        <f t="shared" si="56"/>
        <v>3.3800000000000011E-3</v>
      </c>
    </row>
    <row r="86" spans="1:22">
      <c r="A86" s="181">
        <v>75</v>
      </c>
      <c r="B86" s="148" t="s">
        <v>136</v>
      </c>
      <c r="C86" s="147" t="s">
        <v>67</v>
      </c>
      <c r="D86" s="38">
        <v>198534660.86000001</v>
      </c>
      <c r="E86" s="34">
        <f t="shared" si="57"/>
        <v>8.3760882416929726E-4</v>
      </c>
      <c r="F86" s="37">
        <v>12.039</v>
      </c>
      <c r="G86" s="37">
        <v>12.103</v>
      </c>
      <c r="H86" s="35">
        <v>47</v>
      </c>
      <c r="I86" s="56">
        <v>4.1999999999999997E-3</v>
      </c>
      <c r="J86" s="56">
        <v>0.1772</v>
      </c>
      <c r="K86" s="38">
        <v>198917079.53999999</v>
      </c>
      <c r="L86" s="34">
        <f t="shared" si="51"/>
        <v>8.3876739877118049E-4</v>
      </c>
      <c r="M86" s="37">
        <v>12.067</v>
      </c>
      <c r="N86" s="37">
        <v>12.112</v>
      </c>
      <c r="O86" s="35">
        <v>47</v>
      </c>
      <c r="P86" s="56">
        <v>1.4300000000000001E-3</v>
      </c>
      <c r="Q86" s="56">
        <v>0.17299999999999999</v>
      </c>
      <c r="R86" s="61">
        <f t="shared" si="52"/>
        <v>1.9262061261416019E-3</v>
      </c>
      <c r="S86" s="61">
        <f t="shared" si="53"/>
        <v>7.4361728497069658E-4</v>
      </c>
      <c r="T86" s="61">
        <f t="shared" si="54"/>
        <v>0</v>
      </c>
      <c r="U86" s="62">
        <f t="shared" si="55"/>
        <v>-2.7699999999999999E-3</v>
      </c>
      <c r="V86" s="63">
        <f t="shared" si="56"/>
        <v>-4.2000000000000093E-3</v>
      </c>
    </row>
    <row r="87" spans="1:22">
      <c r="A87" s="181">
        <v>76</v>
      </c>
      <c r="B87" s="148" t="s">
        <v>137</v>
      </c>
      <c r="C87" s="147" t="s">
        <v>69</v>
      </c>
      <c r="D87" s="38">
        <v>2111209323.4617801</v>
      </c>
      <c r="E87" s="34">
        <f t="shared" si="57"/>
        <v>8.9070973871261342E-3</v>
      </c>
      <c r="F87" s="38">
        <v>4936.1655975206304</v>
      </c>
      <c r="G87" s="38">
        <v>4936.1655975206304</v>
      </c>
      <c r="H87" s="35">
        <v>1218</v>
      </c>
      <c r="I87" s="56">
        <v>9.9599999999999994E-2</v>
      </c>
      <c r="J87" s="56">
        <v>0.1409</v>
      </c>
      <c r="K87" s="38">
        <v>2112524130.76531</v>
      </c>
      <c r="L87" s="34">
        <f t="shared" si="51"/>
        <v>8.9078141208435331E-3</v>
      </c>
      <c r="M87" s="38">
        <v>4947.9986651684303</v>
      </c>
      <c r="N87" s="38">
        <v>4947.9986651684303</v>
      </c>
      <c r="O87" s="35">
        <v>1227</v>
      </c>
      <c r="P87" s="56">
        <v>0.125</v>
      </c>
      <c r="Q87" s="56">
        <v>0.14019999999999999</v>
      </c>
      <c r="R87" s="61">
        <f t="shared" si="52"/>
        <v>6.2277448707647311E-4</v>
      </c>
      <c r="S87" s="61">
        <f t="shared" si="53"/>
        <v>2.3972185320815611E-3</v>
      </c>
      <c r="T87" s="61">
        <f t="shared" si="54"/>
        <v>7.3891625615763543E-3</v>
      </c>
      <c r="U87" s="62">
        <f t="shared" si="55"/>
        <v>2.5400000000000006E-2</v>
      </c>
      <c r="V87" s="63">
        <f t="shared" si="56"/>
        <v>-7.0000000000000617E-4</v>
      </c>
    </row>
    <row r="88" spans="1:22">
      <c r="A88" s="181">
        <v>77</v>
      </c>
      <c r="B88" s="148" t="s">
        <v>138</v>
      </c>
      <c r="C88" s="147" t="s">
        <v>71</v>
      </c>
      <c r="D88" s="38">
        <v>377029726.76999998</v>
      </c>
      <c r="E88" s="34">
        <f t="shared" si="57"/>
        <v>1.5906714965976904E-3</v>
      </c>
      <c r="F88" s="66">
        <v>115.79</v>
      </c>
      <c r="G88" s="66">
        <v>115.79</v>
      </c>
      <c r="H88" s="35">
        <v>97</v>
      </c>
      <c r="I88" s="56">
        <v>2.5000000000000001E-3</v>
      </c>
      <c r="J88" s="56">
        <v>0.1198</v>
      </c>
      <c r="K88" s="38">
        <v>379577115.37</v>
      </c>
      <c r="L88" s="34">
        <f t="shared" si="51"/>
        <v>1.6005508950172435E-3</v>
      </c>
      <c r="M88" s="66">
        <v>116.06</v>
      </c>
      <c r="N88" s="66">
        <v>116.06</v>
      </c>
      <c r="O88" s="35">
        <v>98</v>
      </c>
      <c r="P88" s="56">
        <v>2.3E-3</v>
      </c>
      <c r="Q88" s="56">
        <v>0.1202</v>
      </c>
      <c r="R88" s="61">
        <f t="shared" si="52"/>
        <v>6.7564661858984165E-3</v>
      </c>
      <c r="S88" s="61">
        <f t="shared" si="53"/>
        <v>2.3318075826927716E-3</v>
      </c>
      <c r="T88" s="61">
        <f t="shared" si="54"/>
        <v>1.0309278350515464E-2</v>
      </c>
      <c r="U88" s="62">
        <f t="shared" si="55"/>
        <v>-2.0000000000000009E-4</v>
      </c>
      <c r="V88" s="63">
        <f t="shared" si="56"/>
        <v>3.9999999999999758E-4</v>
      </c>
    </row>
    <row r="89" spans="1:22" ht="13.5" customHeight="1">
      <c r="A89" s="181">
        <v>78</v>
      </c>
      <c r="B89" s="148" t="s">
        <v>139</v>
      </c>
      <c r="C89" s="147" t="s">
        <v>73</v>
      </c>
      <c r="D89" s="38">
        <v>1369870266.45</v>
      </c>
      <c r="E89" s="34">
        <f t="shared" si="57"/>
        <v>5.7794211760070725E-3</v>
      </c>
      <c r="F89" s="66">
        <v>1.5602</v>
      </c>
      <c r="G89" s="66">
        <v>1.5602</v>
      </c>
      <c r="H89" s="35">
        <v>2709</v>
      </c>
      <c r="I89" s="56">
        <v>2E-3</v>
      </c>
      <c r="J89" s="56">
        <v>0.20030000000000001</v>
      </c>
      <c r="K89" s="38">
        <v>1186997774.28</v>
      </c>
      <c r="L89" s="34">
        <f t="shared" si="51"/>
        <v>5.0051762160514199E-3</v>
      </c>
      <c r="M89" s="66">
        <v>1.5637000000000001</v>
      </c>
      <c r="N89" s="66">
        <v>1.5637000000000001</v>
      </c>
      <c r="O89" s="35">
        <v>2730</v>
      </c>
      <c r="P89" s="56">
        <v>2.2000000000000001E-3</v>
      </c>
      <c r="Q89" s="56">
        <v>7.3800000000000004E-2</v>
      </c>
      <c r="R89" s="61">
        <f t="shared" si="52"/>
        <v>-0.13349621248726831</v>
      </c>
      <c r="S89" s="61">
        <f t="shared" si="53"/>
        <v>2.2433021407512231E-3</v>
      </c>
      <c r="T89" s="61">
        <f t="shared" si="54"/>
        <v>7.7519379844961239E-3</v>
      </c>
      <c r="U89" s="62">
        <f t="shared" si="55"/>
        <v>2.0000000000000009E-4</v>
      </c>
      <c r="V89" s="63">
        <f t="shared" si="56"/>
        <v>-0.1265</v>
      </c>
    </row>
    <row r="90" spans="1:22" ht="13.5" customHeight="1">
      <c r="A90" s="181">
        <v>79</v>
      </c>
      <c r="B90" s="148" t="s">
        <v>140</v>
      </c>
      <c r="C90" s="147" t="s">
        <v>73</v>
      </c>
      <c r="D90" s="38">
        <v>148948223.40000001</v>
      </c>
      <c r="E90" s="34">
        <f t="shared" si="57"/>
        <v>6.2840586990579254E-4</v>
      </c>
      <c r="F90" s="66">
        <v>1.0439000000000001</v>
      </c>
      <c r="G90" s="66">
        <v>1.0439000000000001</v>
      </c>
      <c r="H90" s="35">
        <v>100</v>
      </c>
      <c r="I90" s="56">
        <v>5.7999999999999996E-3</v>
      </c>
      <c r="J90" s="56">
        <v>0.26950000000000002</v>
      </c>
      <c r="K90" s="38">
        <v>160536256.37</v>
      </c>
      <c r="L90" s="34">
        <f t="shared" si="51"/>
        <v>6.769281877419236E-4</v>
      </c>
      <c r="M90" s="66">
        <v>1.0458000000000001</v>
      </c>
      <c r="N90" s="66">
        <v>1.0458000000000001</v>
      </c>
      <c r="O90" s="35">
        <v>100</v>
      </c>
      <c r="P90" s="56">
        <v>1.8E-3</v>
      </c>
      <c r="Q90" s="56">
        <v>0.12970000000000001</v>
      </c>
      <c r="R90" s="61">
        <f t="shared" ref="R90" si="60">((K90-D90)/D90)</f>
        <v>7.7799068061928947E-2</v>
      </c>
      <c r="S90" s="61">
        <f t="shared" ref="S90" si="61">((N90-G90)/G90)</f>
        <v>1.8200977105086815E-3</v>
      </c>
      <c r="T90" s="61">
        <f t="shared" ref="T90" si="62">((O90-H90)/H90)</f>
        <v>0</v>
      </c>
      <c r="U90" s="62">
        <f t="shared" ref="U90" si="63">P90-I90</f>
        <v>-4.0000000000000001E-3</v>
      </c>
      <c r="V90" s="63">
        <f t="shared" ref="V90" si="64">Q90-J90</f>
        <v>-0.13980000000000001</v>
      </c>
    </row>
    <row r="91" spans="1:22">
      <c r="A91" s="181">
        <v>80</v>
      </c>
      <c r="B91" s="148" t="s">
        <v>141</v>
      </c>
      <c r="C91" s="147" t="s">
        <v>29</v>
      </c>
      <c r="D91" s="38">
        <v>236174586.12</v>
      </c>
      <c r="E91" s="34">
        <f t="shared" si="57"/>
        <v>9.9640997960623637E-4</v>
      </c>
      <c r="F91" s="66">
        <v>146.2004</v>
      </c>
      <c r="G91" s="66">
        <v>146.2004</v>
      </c>
      <c r="H91" s="35">
        <v>450</v>
      </c>
      <c r="I91" s="56">
        <v>4.3600000000000003E-4</v>
      </c>
      <c r="J91" s="56">
        <v>8.3500000000000005E-2</v>
      </c>
      <c r="K91" s="38">
        <v>236781106.68000001</v>
      </c>
      <c r="L91" s="34">
        <f t="shared" si="51"/>
        <v>9.9842745221989811E-4</v>
      </c>
      <c r="M91" s="66">
        <v>146.04419999999999</v>
      </c>
      <c r="N91" s="66">
        <v>146.04419999999999</v>
      </c>
      <c r="O91" s="35">
        <v>452</v>
      </c>
      <c r="P91" s="56">
        <v>4.2499999999999998E-4</v>
      </c>
      <c r="Q91" s="56">
        <v>8.5500000000000007E-2</v>
      </c>
      <c r="R91" s="61">
        <f t="shared" si="52"/>
        <v>2.5681025632954008E-3</v>
      </c>
      <c r="S91" s="61">
        <f t="shared" si="53"/>
        <v>-1.068396529694943E-3</v>
      </c>
      <c r="T91" s="61">
        <f t="shared" si="54"/>
        <v>4.4444444444444444E-3</v>
      </c>
      <c r="U91" s="62">
        <f t="shared" si="55"/>
        <v>-1.1000000000000051E-5</v>
      </c>
      <c r="V91" s="63">
        <f t="shared" si="56"/>
        <v>2.0000000000000018E-3</v>
      </c>
    </row>
    <row r="92" spans="1:22">
      <c r="A92" s="181">
        <v>81</v>
      </c>
      <c r="B92" s="148" t="s">
        <v>142</v>
      </c>
      <c r="C92" s="147" t="s">
        <v>75</v>
      </c>
      <c r="D92" s="38">
        <v>2752306671.4299998</v>
      </c>
      <c r="E92" s="34">
        <f t="shared" si="57"/>
        <v>1.1611858326518888E-2</v>
      </c>
      <c r="F92" s="37">
        <v>1348.1389730000001</v>
      </c>
      <c r="G92" s="37">
        <v>1348.1389730000001</v>
      </c>
      <c r="H92" s="35">
        <v>318</v>
      </c>
      <c r="I92" s="56">
        <v>3.3999999999999998E-3</v>
      </c>
      <c r="J92" s="56">
        <v>0.1993</v>
      </c>
      <c r="K92" s="38">
        <v>2702781690.5999999</v>
      </c>
      <c r="L92" s="34">
        <f t="shared" si="51"/>
        <v>1.1396734625872417E-2</v>
      </c>
      <c r="M92" s="37">
        <v>1351.7</v>
      </c>
      <c r="N92" s="37">
        <v>1351.7</v>
      </c>
      <c r="O92" s="35">
        <v>321</v>
      </c>
      <c r="P92" s="56">
        <v>3.3999999999999998E-3</v>
      </c>
      <c r="Q92" s="56">
        <v>0.19919999999999999</v>
      </c>
      <c r="R92" s="61">
        <f t="shared" si="52"/>
        <v>-1.7993990765668755E-2</v>
      </c>
      <c r="S92" s="61">
        <f t="shared" si="53"/>
        <v>2.6414391033260094E-3</v>
      </c>
      <c r="T92" s="61">
        <f t="shared" si="54"/>
        <v>9.433962264150943E-3</v>
      </c>
      <c r="U92" s="62">
        <f t="shared" si="55"/>
        <v>0</v>
      </c>
      <c r="V92" s="63">
        <f t="shared" si="56"/>
        <v>-1.0000000000001674E-4</v>
      </c>
    </row>
    <row r="93" spans="1:22">
      <c r="A93" s="181">
        <v>82</v>
      </c>
      <c r="B93" s="148" t="s">
        <v>143</v>
      </c>
      <c r="C93" s="147" t="s">
        <v>77</v>
      </c>
      <c r="D93" s="38">
        <v>149508211.38</v>
      </c>
      <c r="E93" s="34">
        <f t="shared" si="57"/>
        <v>6.3076843406181912E-4</v>
      </c>
      <c r="F93" s="37">
        <v>1003.92</v>
      </c>
      <c r="G93" s="37">
        <v>1015.57</v>
      </c>
      <c r="H93" s="35">
        <v>70</v>
      </c>
      <c r="I93" s="56">
        <v>2.8999999999999998E-3</v>
      </c>
      <c r="J93" s="56">
        <v>3.0800000000000001E-2</v>
      </c>
      <c r="K93" s="38">
        <v>148013096.66</v>
      </c>
      <c r="L93" s="34">
        <f t="shared" si="51"/>
        <v>6.2412217370510223E-4</v>
      </c>
      <c r="M93" s="37">
        <v>1014.22</v>
      </c>
      <c r="N93" s="37">
        <v>1026.95</v>
      </c>
      <c r="O93" s="35">
        <v>70</v>
      </c>
      <c r="P93" s="56">
        <v>1.11E-2</v>
      </c>
      <c r="Q93" s="56">
        <v>4.19E-2</v>
      </c>
      <c r="R93" s="61">
        <f t="shared" si="52"/>
        <v>-1.0000218089693522E-2</v>
      </c>
      <c r="S93" s="61">
        <f t="shared" si="53"/>
        <v>1.120552989946532E-2</v>
      </c>
      <c r="T93" s="61">
        <f t="shared" si="54"/>
        <v>0</v>
      </c>
      <c r="U93" s="62">
        <f t="shared" si="55"/>
        <v>8.2000000000000007E-3</v>
      </c>
      <c r="V93" s="63">
        <f t="shared" si="56"/>
        <v>1.1099999999999999E-2</v>
      </c>
    </row>
    <row r="94" spans="1:22">
      <c r="A94" s="181">
        <v>83</v>
      </c>
      <c r="B94" s="148" t="s">
        <v>144</v>
      </c>
      <c r="C94" s="147" t="s">
        <v>80</v>
      </c>
      <c r="D94" s="38">
        <v>744049440.17999995</v>
      </c>
      <c r="E94" s="34">
        <f t="shared" si="57"/>
        <v>3.1391111960670142E-3</v>
      </c>
      <c r="F94" s="67">
        <v>1.24</v>
      </c>
      <c r="G94" s="67">
        <v>1.24</v>
      </c>
      <c r="H94" s="35">
        <v>60</v>
      </c>
      <c r="I94" s="56">
        <v>0.13557</v>
      </c>
      <c r="J94" s="56">
        <v>0.1535</v>
      </c>
      <c r="K94" s="38">
        <v>743538114.39999998</v>
      </c>
      <c r="L94" s="34">
        <f t="shared" si="51"/>
        <v>3.1352538029652014E-3</v>
      </c>
      <c r="M94" s="67">
        <v>1.24</v>
      </c>
      <c r="N94" s="67">
        <v>1.24</v>
      </c>
      <c r="O94" s="35">
        <v>64</v>
      </c>
      <c r="P94" s="56">
        <v>0.1535</v>
      </c>
      <c r="Q94" s="56">
        <v>0.1535</v>
      </c>
      <c r="R94" s="61">
        <f t="shared" si="52"/>
        <v>-6.8722016627856318E-4</v>
      </c>
      <c r="S94" s="61">
        <f t="shared" si="53"/>
        <v>0</v>
      </c>
      <c r="T94" s="61">
        <f t="shared" si="54"/>
        <v>6.6666666666666666E-2</v>
      </c>
      <c r="U94" s="62">
        <f t="shared" si="55"/>
        <v>1.7930000000000001E-2</v>
      </c>
      <c r="V94" s="63">
        <f t="shared" si="56"/>
        <v>0</v>
      </c>
    </row>
    <row r="95" spans="1:22">
      <c r="A95" s="181">
        <v>84</v>
      </c>
      <c r="B95" s="148" t="s">
        <v>145</v>
      </c>
      <c r="C95" s="147" t="s">
        <v>82</v>
      </c>
      <c r="D95" s="67">
        <v>11670811869.35</v>
      </c>
      <c r="E95" s="34">
        <f t="shared" si="57"/>
        <v>4.9238631504655704E-2</v>
      </c>
      <c r="F95" s="67">
        <v>1706.26</v>
      </c>
      <c r="G95" s="67">
        <v>1706.26</v>
      </c>
      <c r="H95" s="35">
        <v>2036</v>
      </c>
      <c r="I95" s="56">
        <v>2.3E-3</v>
      </c>
      <c r="J95" s="56">
        <v>2.4E-2</v>
      </c>
      <c r="K95" s="67">
        <v>11660573001.9</v>
      </c>
      <c r="L95" s="34">
        <f t="shared" si="51"/>
        <v>4.9168771769637652E-2</v>
      </c>
      <c r="M95" s="67">
        <v>1710.23</v>
      </c>
      <c r="N95" s="67">
        <v>1710.23</v>
      </c>
      <c r="O95" s="35">
        <v>2036</v>
      </c>
      <c r="P95" s="56">
        <v>2.3E-3</v>
      </c>
      <c r="Q95" s="56">
        <v>2.64E-2</v>
      </c>
      <c r="R95" s="61">
        <f t="shared" si="52"/>
        <v>-8.7730550064731797E-4</v>
      </c>
      <c r="S95" s="61">
        <f t="shared" si="53"/>
        <v>2.3267262902488643E-3</v>
      </c>
      <c r="T95" s="61">
        <f t="shared" si="54"/>
        <v>0</v>
      </c>
      <c r="U95" s="62">
        <f t="shared" si="55"/>
        <v>0</v>
      </c>
      <c r="V95" s="63">
        <f t="shared" si="56"/>
        <v>2.3999999999999994E-3</v>
      </c>
    </row>
    <row r="96" spans="1:22">
      <c r="A96" s="181">
        <v>85</v>
      </c>
      <c r="B96" s="148" t="s">
        <v>146</v>
      </c>
      <c r="C96" s="147" t="s">
        <v>90</v>
      </c>
      <c r="D96" s="38">
        <v>23711045.239999998</v>
      </c>
      <c r="E96" s="34">
        <f t="shared" si="57"/>
        <v>1.0003583574409925E-4</v>
      </c>
      <c r="F96" s="66">
        <v>0.72430000000000005</v>
      </c>
      <c r="G96" s="66">
        <v>0.72430000000000005</v>
      </c>
      <c r="H96" s="35">
        <v>744</v>
      </c>
      <c r="I96" s="56">
        <v>2.5999999999999999E-3</v>
      </c>
      <c r="J96" s="56">
        <v>-7.0000000000000001E-3</v>
      </c>
      <c r="K96" s="38">
        <v>23764142.620000001</v>
      </c>
      <c r="L96" s="34">
        <f t="shared" si="51"/>
        <v>1.0020551345062618E-4</v>
      </c>
      <c r="M96" s="66">
        <v>0.72599999999999998</v>
      </c>
      <c r="N96" s="66">
        <v>0.72599999999999998</v>
      </c>
      <c r="O96" s="35">
        <v>744</v>
      </c>
      <c r="P96" s="56">
        <v>2.3E-3</v>
      </c>
      <c r="Q96" s="56">
        <v>-4.7000000000000002E-3</v>
      </c>
      <c r="R96" s="61">
        <f t="shared" si="52"/>
        <v>2.2393521442246925E-3</v>
      </c>
      <c r="S96" s="61">
        <f t="shared" si="53"/>
        <v>2.3470937456853838E-3</v>
      </c>
      <c r="T96" s="61">
        <f t="shared" si="54"/>
        <v>0</v>
      </c>
      <c r="U96" s="62">
        <f t="shared" si="55"/>
        <v>-2.9999999999999992E-4</v>
      </c>
      <c r="V96" s="63">
        <f t="shared" si="56"/>
        <v>2.3E-3</v>
      </c>
    </row>
    <row r="97" spans="1:22">
      <c r="A97" s="181">
        <v>86</v>
      </c>
      <c r="B97" s="148" t="s">
        <v>147</v>
      </c>
      <c r="C97" s="147" t="s">
        <v>36</v>
      </c>
      <c r="D97" s="38">
        <v>12302704920.27</v>
      </c>
      <c r="E97" s="34">
        <f t="shared" si="57"/>
        <v>5.1904559927879908E-2</v>
      </c>
      <c r="F97" s="66">
        <v>1</v>
      </c>
      <c r="G97" s="66">
        <v>1</v>
      </c>
      <c r="H97" s="35">
        <v>5761</v>
      </c>
      <c r="I97" s="56">
        <v>0.06</v>
      </c>
      <c r="J97" s="56">
        <v>0.06</v>
      </c>
      <c r="K97" s="38">
        <v>12325729527.59</v>
      </c>
      <c r="L97" s="34">
        <f t="shared" si="51"/>
        <v>5.1973516390455832E-2</v>
      </c>
      <c r="M97" s="66">
        <v>1</v>
      </c>
      <c r="N97" s="66">
        <v>1</v>
      </c>
      <c r="O97" s="35">
        <v>5837</v>
      </c>
      <c r="P97" s="56">
        <v>0.06</v>
      </c>
      <c r="Q97" s="56">
        <v>0.06</v>
      </c>
      <c r="R97" s="61">
        <f t="shared" si="52"/>
        <v>1.871507726895427E-3</v>
      </c>
      <c r="S97" s="61">
        <f t="shared" si="53"/>
        <v>0</v>
      </c>
      <c r="T97" s="61">
        <f t="shared" si="54"/>
        <v>1.3192154139906266E-2</v>
      </c>
      <c r="U97" s="62">
        <f t="shared" si="55"/>
        <v>0</v>
      </c>
      <c r="V97" s="63">
        <f t="shared" si="56"/>
        <v>0</v>
      </c>
    </row>
    <row r="98" spans="1:22">
      <c r="A98" s="181">
        <v>87</v>
      </c>
      <c r="B98" s="148" t="s">
        <v>148</v>
      </c>
      <c r="C98" s="147" t="s">
        <v>149</v>
      </c>
      <c r="D98" s="38">
        <v>1786403113.4300001</v>
      </c>
      <c r="E98" s="34">
        <f t="shared" si="57"/>
        <v>7.5367545639177819E-3</v>
      </c>
      <c r="F98" s="38">
        <v>280.12</v>
      </c>
      <c r="G98" s="38">
        <v>280.12</v>
      </c>
      <c r="H98" s="35">
        <v>562</v>
      </c>
      <c r="I98" s="56">
        <v>3.0000000000000001E-3</v>
      </c>
      <c r="J98" s="56">
        <v>0.16769999999999999</v>
      </c>
      <c r="K98" s="38">
        <v>1804424984.3399999</v>
      </c>
      <c r="L98" s="34">
        <f t="shared" si="51"/>
        <v>7.6086621314397666E-3</v>
      </c>
      <c r="M98" s="38">
        <v>280.95999999999998</v>
      </c>
      <c r="N98" s="38">
        <v>280.95999999999998</v>
      </c>
      <c r="O98" s="35">
        <v>562</v>
      </c>
      <c r="P98" s="56">
        <v>3.0000000000000001E-3</v>
      </c>
      <c r="Q98" s="56">
        <v>0.16950000000000001</v>
      </c>
      <c r="R98" s="61">
        <f t="shared" si="52"/>
        <v>1.0088356191563496E-2</v>
      </c>
      <c r="S98" s="61">
        <f t="shared" si="53"/>
        <v>2.998714836498554E-3</v>
      </c>
      <c r="T98" s="61">
        <f t="shared" si="54"/>
        <v>0</v>
      </c>
      <c r="U98" s="62">
        <f t="shared" si="55"/>
        <v>0</v>
      </c>
      <c r="V98" s="63">
        <f t="shared" si="56"/>
        <v>1.8000000000000238E-3</v>
      </c>
    </row>
    <row r="99" spans="1:22">
      <c r="A99" s="181">
        <v>88</v>
      </c>
      <c r="B99" s="148" t="s">
        <v>150</v>
      </c>
      <c r="C99" s="147" t="s">
        <v>40</v>
      </c>
      <c r="D99" s="38">
        <v>1149295594.46</v>
      </c>
      <c r="E99" s="34">
        <f t="shared" si="57"/>
        <v>4.8488265340097458E-3</v>
      </c>
      <c r="F99" s="66">
        <v>3.77</v>
      </c>
      <c r="G99" s="66">
        <v>3.8</v>
      </c>
      <c r="H99" s="52">
        <v>809</v>
      </c>
      <c r="I99" s="59">
        <v>4.2299999999999997E-2</v>
      </c>
      <c r="J99" s="59">
        <v>0.16569999999999999</v>
      </c>
      <c r="K99" s="38">
        <v>1153290928.4300001</v>
      </c>
      <c r="L99" s="34">
        <f t="shared" si="51"/>
        <v>4.8630456183181049E-3</v>
      </c>
      <c r="M99" s="66">
        <v>3.78</v>
      </c>
      <c r="N99" s="66">
        <v>3.81</v>
      </c>
      <c r="O99" s="52">
        <v>810</v>
      </c>
      <c r="P99" s="59">
        <v>4.4999999999999998E-2</v>
      </c>
      <c r="Q99" s="59">
        <v>0.1643</v>
      </c>
      <c r="R99" s="61">
        <f t="shared" si="52"/>
        <v>3.4763327983322236E-3</v>
      </c>
      <c r="S99" s="61">
        <f t="shared" si="53"/>
        <v>2.6315789473684821E-3</v>
      </c>
      <c r="T99" s="61">
        <f t="shared" si="54"/>
        <v>1.2360939431396785E-3</v>
      </c>
      <c r="U99" s="62">
        <f t="shared" si="55"/>
        <v>2.700000000000001E-3</v>
      </c>
      <c r="V99" s="63">
        <f t="shared" si="56"/>
        <v>-1.3999999999999846E-3</v>
      </c>
    </row>
    <row r="100" spans="1:22">
      <c r="A100" s="181">
        <v>89</v>
      </c>
      <c r="B100" s="148" t="s">
        <v>151</v>
      </c>
      <c r="C100" s="147" t="s">
        <v>42</v>
      </c>
      <c r="D100" s="38">
        <v>803368423.5</v>
      </c>
      <c r="E100" s="34">
        <f t="shared" si="57"/>
        <v>3.3893753245287962E-3</v>
      </c>
      <c r="F100" s="66">
        <v>113.33765</v>
      </c>
      <c r="G100" s="66">
        <v>113.33765</v>
      </c>
      <c r="H100" s="52">
        <v>251</v>
      </c>
      <c r="I100" s="59">
        <v>0.1474</v>
      </c>
      <c r="J100" s="59">
        <v>0.1694</v>
      </c>
      <c r="K100" s="38">
        <v>787879308.04999995</v>
      </c>
      <c r="L100" s="34">
        <f t="shared" si="51"/>
        <v>3.3222259209061385E-3</v>
      </c>
      <c r="M100" s="66">
        <v>113.60053000000001</v>
      </c>
      <c r="N100" s="66">
        <v>113.60053000000001</v>
      </c>
      <c r="O100" s="52">
        <v>255</v>
      </c>
      <c r="P100" s="59">
        <v>0.1462</v>
      </c>
      <c r="Q100" s="59">
        <v>0.16819999999999999</v>
      </c>
      <c r="R100" s="61">
        <f t="shared" si="52"/>
        <v>-1.9280214403398253E-2</v>
      </c>
      <c r="S100" s="61">
        <f t="shared" si="53"/>
        <v>2.3194410683476303E-3</v>
      </c>
      <c r="T100" s="61">
        <f t="shared" si="54"/>
        <v>1.5936254980079681E-2</v>
      </c>
      <c r="U100" s="62">
        <f t="shared" si="55"/>
        <v>-1.2000000000000066E-3</v>
      </c>
      <c r="V100" s="63">
        <f t="shared" si="56"/>
        <v>-1.2000000000000066E-3</v>
      </c>
    </row>
    <row r="101" spans="1:22">
      <c r="A101" s="181">
        <v>90</v>
      </c>
      <c r="B101" s="147" t="s">
        <v>152</v>
      </c>
      <c r="C101" s="149" t="s">
        <v>46</v>
      </c>
      <c r="D101" s="38">
        <v>1180140485.03</v>
      </c>
      <c r="E101" s="34">
        <f t="shared" si="57"/>
        <v>4.9789597430426359E-3</v>
      </c>
      <c r="F101" s="66">
        <v>115.69</v>
      </c>
      <c r="G101" s="66">
        <v>116.33</v>
      </c>
      <c r="H101" s="35">
        <v>3230</v>
      </c>
      <c r="I101" s="56">
        <v>-1.9E-3</v>
      </c>
      <c r="J101" s="56">
        <v>4.6699999999999998E-2</v>
      </c>
      <c r="K101" s="38">
        <v>1190885377.3199999</v>
      </c>
      <c r="L101" s="34">
        <f t="shared" si="51"/>
        <v>5.0215689496309413E-3</v>
      </c>
      <c r="M101" s="66">
        <v>115.94</v>
      </c>
      <c r="N101" s="66">
        <v>116.12</v>
      </c>
      <c r="O101" s="35">
        <v>3328</v>
      </c>
      <c r="P101" s="56">
        <v>2.3E-3</v>
      </c>
      <c r="Q101" s="56">
        <v>4.8800000000000003E-2</v>
      </c>
      <c r="R101" s="61">
        <f t="shared" si="52"/>
        <v>9.1047569558863322E-3</v>
      </c>
      <c r="S101" s="61">
        <f t="shared" si="53"/>
        <v>-1.8052093183185227E-3</v>
      </c>
      <c r="T101" s="61">
        <f t="shared" si="54"/>
        <v>3.0340557275541795E-2</v>
      </c>
      <c r="U101" s="62">
        <f t="shared" si="55"/>
        <v>4.1999999999999997E-3</v>
      </c>
      <c r="V101" s="63">
        <f t="shared" si="56"/>
        <v>2.1000000000000046E-3</v>
      </c>
    </row>
    <row r="102" spans="1:22">
      <c r="A102" s="181">
        <v>91</v>
      </c>
      <c r="B102" s="148" t="s">
        <v>153</v>
      </c>
      <c r="C102" s="147" t="s">
        <v>19</v>
      </c>
      <c r="D102" s="140">
        <v>1711152258.95</v>
      </c>
      <c r="E102" s="142">
        <f t="shared" si="57"/>
        <v>7.219274586035356E-3</v>
      </c>
      <c r="F102" s="143">
        <v>402.47809999999998</v>
      </c>
      <c r="G102" s="143">
        <v>402.47809999999998</v>
      </c>
      <c r="H102" s="36">
        <v>96</v>
      </c>
      <c r="I102" s="57">
        <v>2E-3</v>
      </c>
      <c r="J102" s="57">
        <v>4.6800000000000001E-2</v>
      </c>
      <c r="K102" s="140">
        <v>1715422189.99</v>
      </c>
      <c r="L102" s="142">
        <f t="shared" si="51"/>
        <v>7.2333668452182337E-3</v>
      </c>
      <c r="M102" s="143">
        <v>403.45409999999998</v>
      </c>
      <c r="N102" s="143">
        <v>403.45409999999998</v>
      </c>
      <c r="O102" s="36">
        <v>96</v>
      </c>
      <c r="P102" s="57">
        <v>2.3999999999999998E-3</v>
      </c>
      <c r="Q102" s="57">
        <v>4.9299999999999997E-2</v>
      </c>
      <c r="R102" s="62">
        <f t="shared" si="52"/>
        <v>2.4953542372787348E-3</v>
      </c>
      <c r="S102" s="62">
        <f t="shared" si="53"/>
        <v>2.424976663326524E-3</v>
      </c>
      <c r="T102" s="62">
        <f t="shared" si="54"/>
        <v>0</v>
      </c>
      <c r="U102" s="62">
        <f t="shared" si="55"/>
        <v>3.9999999999999975E-4</v>
      </c>
      <c r="V102" s="63">
        <f t="shared" si="56"/>
        <v>2.4999999999999953E-3</v>
      </c>
    </row>
    <row r="103" spans="1:22">
      <c r="A103" s="181">
        <v>92</v>
      </c>
      <c r="B103" s="148" t="s">
        <v>154</v>
      </c>
      <c r="C103" s="147" t="s">
        <v>102</v>
      </c>
      <c r="D103" s="50">
        <v>5582685078</v>
      </c>
      <c r="E103" s="34">
        <f>(D103/$K$76)</f>
        <v>9.857050976327011E-4</v>
      </c>
      <c r="F103" s="66">
        <v>103.55</v>
      </c>
      <c r="G103" s="66">
        <v>103.55</v>
      </c>
      <c r="H103" s="35">
        <v>497</v>
      </c>
      <c r="I103" s="56">
        <v>4.0000000000000001E-3</v>
      </c>
      <c r="J103" s="56">
        <v>0.15379999999999999</v>
      </c>
      <c r="K103" s="50">
        <v>5550838056</v>
      </c>
      <c r="L103" s="34">
        <f t="shared" si="51"/>
        <v>2.3406044408041667E-2</v>
      </c>
      <c r="M103" s="66">
        <v>103.83</v>
      </c>
      <c r="N103" s="66">
        <v>103.83</v>
      </c>
      <c r="O103" s="35">
        <v>499</v>
      </c>
      <c r="P103" s="56">
        <v>2.7000000000000001E-3</v>
      </c>
      <c r="Q103" s="56">
        <v>0.1532</v>
      </c>
      <c r="R103" s="61">
        <f t="shared" si="52"/>
        <v>-5.7046065746214746E-3</v>
      </c>
      <c r="S103" s="61">
        <f t="shared" si="53"/>
        <v>2.7040077257363703E-3</v>
      </c>
      <c r="T103" s="61">
        <f t="shared" si="54"/>
        <v>4.0241448692152921E-3</v>
      </c>
      <c r="U103" s="62">
        <f t="shared" si="55"/>
        <v>-1.2999999999999999E-3</v>
      </c>
      <c r="V103" s="63">
        <f t="shared" si="56"/>
        <v>-5.9999999999998943E-4</v>
      </c>
    </row>
    <row r="104" spans="1:22">
      <c r="A104" s="181">
        <v>93</v>
      </c>
      <c r="B104" s="148" t="s">
        <v>155</v>
      </c>
      <c r="C104" s="147" t="s">
        <v>44</v>
      </c>
      <c r="D104" s="38">
        <v>61221591.049999997</v>
      </c>
      <c r="E104" s="34">
        <f t="shared" ref="E104:E116" si="65">(D104/$D$117)</f>
        <v>2.5829114508788383E-4</v>
      </c>
      <c r="F104" s="38">
        <v>12.708285999999999</v>
      </c>
      <c r="G104" s="38">
        <v>13.373875999999999</v>
      </c>
      <c r="H104" s="35">
        <v>54</v>
      </c>
      <c r="I104" s="56">
        <v>-1.12E-2</v>
      </c>
      <c r="J104" s="56">
        <v>-8.43E-2</v>
      </c>
      <c r="K104" s="38">
        <v>61441817.469999999</v>
      </c>
      <c r="L104" s="34">
        <f t="shared" si="51"/>
        <v>2.590797810538053E-4</v>
      </c>
      <c r="M104" s="38">
        <v>12.754</v>
      </c>
      <c r="N104" s="38">
        <v>13.4</v>
      </c>
      <c r="O104" s="35">
        <v>54</v>
      </c>
      <c r="P104" s="56">
        <v>6.7000000000000002E-3</v>
      </c>
      <c r="Q104" s="56">
        <v>-7.7600000000000002E-2</v>
      </c>
      <c r="R104" s="61">
        <f t="shared" si="52"/>
        <v>3.5972018404445208E-3</v>
      </c>
      <c r="S104" s="61">
        <f t="shared" si="53"/>
        <v>1.9533604169801747E-3</v>
      </c>
      <c r="T104" s="61">
        <f t="shared" si="54"/>
        <v>0</v>
      </c>
      <c r="U104" s="62">
        <f t="shared" si="55"/>
        <v>1.7899999999999999E-2</v>
      </c>
      <c r="V104" s="63">
        <f t="shared" si="56"/>
        <v>6.6999999999999976E-3</v>
      </c>
    </row>
    <row r="105" spans="1:22">
      <c r="A105" s="181">
        <v>94</v>
      </c>
      <c r="B105" s="148" t="s">
        <v>156</v>
      </c>
      <c r="C105" s="147" t="s">
        <v>157</v>
      </c>
      <c r="D105" s="38">
        <v>1016529319.65</v>
      </c>
      <c r="E105" s="34">
        <f t="shared" si="65"/>
        <v>4.2886915789785898E-3</v>
      </c>
      <c r="F105" s="38">
        <v>163.1</v>
      </c>
      <c r="G105" s="38">
        <v>163.1</v>
      </c>
      <c r="H105" s="35">
        <v>190</v>
      </c>
      <c r="I105" s="56">
        <v>5.2400000000000002E-2</v>
      </c>
      <c r="J105" s="56">
        <v>0.18110000000000001</v>
      </c>
      <c r="K105" s="38">
        <v>1020495540.52</v>
      </c>
      <c r="L105" s="34">
        <f t="shared" si="51"/>
        <v>4.3030914789166036E-3</v>
      </c>
      <c r="M105" s="38">
        <v>163.66</v>
      </c>
      <c r="N105" s="38">
        <v>163.66</v>
      </c>
      <c r="O105" s="35">
        <v>190</v>
      </c>
      <c r="P105" s="56">
        <v>0.20760000000000001</v>
      </c>
      <c r="Q105" s="56">
        <v>0.18210000000000001</v>
      </c>
      <c r="R105" s="61">
        <f t="shared" si="52"/>
        <v>3.9017279613396787E-3</v>
      </c>
      <c r="S105" s="61">
        <f t="shared" si="53"/>
        <v>3.4334763948497995E-3</v>
      </c>
      <c r="T105" s="61">
        <f t="shared" si="54"/>
        <v>0</v>
      </c>
      <c r="U105" s="62">
        <f t="shared" si="55"/>
        <v>0.1552</v>
      </c>
      <c r="V105" s="63">
        <f t="shared" si="56"/>
        <v>1.0000000000000009E-3</v>
      </c>
    </row>
    <row r="106" spans="1:22">
      <c r="A106" s="181">
        <v>95</v>
      </c>
      <c r="B106" s="148" t="s">
        <v>158</v>
      </c>
      <c r="C106" s="147" t="s">
        <v>159</v>
      </c>
      <c r="D106" s="38">
        <v>11908180239.863001</v>
      </c>
      <c r="E106" s="34">
        <f t="shared" si="65"/>
        <v>5.024007800704039E-2</v>
      </c>
      <c r="F106" s="38">
        <v>1.04</v>
      </c>
      <c r="G106" s="38">
        <v>1.04</v>
      </c>
      <c r="H106" s="35">
        <v>5334</v>
      </c>
      <c r="I106" s="56">
        <v>0.16120000000000001</v>
      </c>
      <c r="J106" s="56">
        <v>0.16120000000000001</v>
      </c>
      <c r="K106" s="38">
        <v>11973996826.9331</v>
      </c>
      <c r="L106" s="34">
        <f t="shared" si="51"/>
        <v>5.0490376164010746E-2</v>
      </c>
      <c r="M106" s="38">
        <v>1.04</v>
      </c>
      <c r="N106" s="38">
        <v>1.04</v>
      </c>
      <c r="O106" s="35">
        <v>5385</v>
      </c>
      <c r="P106" s="56">
        <v>0.1603</v>
      </c>
      <c r="Q106" s="56">
        <v>0.1603</v>
      </c>
      <c r="R106" s="61">
        <f t="shared" si="52"/>
        <v>5.5270062884819147E-3</v>
      </c>
      <c r="S106" s="61">
        <f t="shared" si="53"/>
        <v>0</v>
      </c>
      <c r="T106" s="61">
        <f t="shared" si="54"/>
        <v>9.5613048368953877E-3</v>
      </c>
      <c r="U106" s="62">
        <f t="shared" si="55"/>
        <v>-9.000000000000119E-4</v>
      </c>
      <c r="V106" s="63">
        <f t="shared" si="56"/>
        <v>-9.000000000000119E-4</v>
      </c>
    </row>
    <row r="107" spans="1:22" ht="13.5" customHeight="1">
      <c r="A107" s="181">
        <v>96</v>
      </c>
      <c r="B107" s="148" t="s">
        <v>160</v>
      </c>
      <c r="C107" s="147" t="s">
        <v>48</v>
      </c>
      <c r="D107" s="38">
        <v>15172349670.68</v>
      </c>
      <c r="E107" s="34">
        <f t="shared" si="65"/>
        <v>6.4011462343622219E-2</v>
      </c>
      <c r="F107" s="66">
        <v>259.25</v>
      </c>
      <c r="G107" s="66">
        <v>259.25</v>
      </c>
      <c r="H107" s="35">
        <v>5922</v>
      </c>
      <c r="I107" s="56">
        <v>0</v>
      </c>
      <c r="J107" s="56">
        <v>0</v>
      </c>
      <c r="K107" s="38">
        <v>15167729757.27</v>
      </c>
      <c r="L107" s="34">
        <f t="shared" si="51"/>
        <v>6.3957289455435107E-2</v>
      </c>
      <c r="M107" s="66">
        <v>259.25</v>
      </c>
      <c r="N107" s="66">
        <v>259.25</v>
      </c>
      <c r="O107" s="35">
        <v>5919</v>
      </c>
      <c r="P107" s="56">
        <v>0</v>
      </c>
      <c r="Q107" s="56">
        <v>0</v>
      </c>
      <c r="R107" s="61">
        <f t="shared" si="52"/>
        <v>-3.0449557980644602E-4</v>
      </c>
      <c r="S107" s="61">
        <f t="shared" si="53"/>
        <v>0</v>
      </c>
      <c r="T107" s="61">
        <f t="shared" si="54"/>
        <v>-5.0658561296859173E-4</v>
      </c>
      <c r="U107" s="62">
        <f t="shared" si="55"/>
        <v>0</v>
      </c>
      <c r="V107" s="63">
        <f t="shared" si="56"/>
        <v>0</v>
      </c>
    </row>
    <row r="108" spans="1:22" ht="13.5" customHeight="1">
      <c r="A108" s="181">
        <v>97</v>
      </c>
      <c r="B108" s="148" t="s">
        <v>161</v>
      </c>
      <c r="C108" s="147" t="s">
        <v>48</v>
      </c>
      <c r="D108" s="38">
        <v>1051088595.86</v>
      </c>
      <c r="E108" s="34">
        <f t="shared" si="65"/>
        <v>4.4344956143294381E-3</v>
      </c>
      <c r="F108" s="37">
        <v>10520.41</v>
      </c>
      <c r="G108" s="37">
        <v>10559.68</v>
      </c>
      <c r="H108" s="35">
        <v>29</v>
      </c>
      <c r="I108" s="56">
        <v>8.2000000000000007E-3</v>
      </c>
      <c r="J108" s="56">
        <v>0.1205</v>
      </c>
      <c r="K108" s="38">
        <v>1122243338.02</v>
      </c>
      <c r="L108" s="34">
        <f t="shared" si="51"/>
        <v>4.7321282194374712E-3</v>
      </c>
      <c r="M108" s="37">
        <v>10585.16</v>
      </c>
      <c r="N108" s="37">
        <v>10622.86</v>
      </c>
      <c r="O108" s="35">
        <v>30</v>
      </c>
      <c r="P108" s="56">
        <v>6.0000000000000001E-3</v>
      </c>
      <c r="Q108" s="56">
        <v>0.12720000000000001</v>
      </c>
      <c r="R108" s="61">
        <f t="shared" si="52"/>
        <v>6.76962364925872E-2</v>
      </c>
      <c r="S108" s="61">
        <f t="shared" si="53"/>
        <v>5.9831358526016218E-3</v>
      </c>
      <c r="T108" s="61">
        <f t="shared" si="54"/>
        <v>3.4482758620689655E-2</v>
      </c>
      <c r="U108" s="62">
        <f t="shared" si="55"/>
        <v>-2.2000000000000006E-3</v>
      </c>
      <c r="V108" s="63">
        <f t="shared" si="56"/>
        <v>6.7000000000000115E-3</v>
      </c>
    </row>
    <row r="109" spans="1:22" ht="15" customHeight="1">
      <c r="A109" s="181">
        <v>98</v>
      </c>
      <c r="B109" s="148" t="s">
        <v>162</v>
      </c>
      <c r="C109" s="147" t="s">
        <v>48</v>
      </c>
      <c r="D109" s="38">
        <v>6306182158.9700003</v>
      </c>
      <c r="E109" s="34">
        <f t="shared" si="65"/>
        <v>2.6605499514752398E-2</v>
      </c>
      <c r="F109" s="66">
        <v>170.67</v>
      </c>
      <c r="G109" s="66">
        <v>170.67</v>
      </c>
      <c r="H109" s="35">
        <v>6161</v>
      </c>
      <c r="I109" s="56">
        <v>-5.0000000000000001E-4</v>
      </c>
      <c r="J109" s="56">
        <v>5.7200000000000001E-2</v>
      </c>
      <c r="K109" s="38">
        <v>6193363800.54</v>
      </c>
      <c r="L109" s="34">
        <f t="shared" si="51"/>
        <v>2.6115362525106416E-2</v>
      </c>
      <c r="M109" s="66">
        <v>171.29</v>
      </c>
      <c r="N109" s="66">
        <v>171.29</v>
      </c>
      <c r="O109" s="35">
        <v>6213</v>
      </c>
      <c r="P109" s="56">
        <v>3.5999999999999999E-3</v>
      </c>
      <c r="Q109" s="56">
        <v>0.20269999999999999</v>
      </c>
      <c r="R109" s="61">
        <f t="shared" si="52"/>
        <v>-1.7890120454184141E-2</v>
      </c>
      <c r="S109" s="61">
        <f t="shared" si="53"/>
        <v>3.6327415480166673E-3</v>
      </c>
      <c r="T109" s="61">
        <f t="shared" si="54"/>
        <v>8.4401882811231937E-3</v>
      </c>
      <c r="U109" s="62">
        <f t="shared" si="55"/>
        <v>4.0999999999999995E-3</v>
      </c>
      <c r="V109" s="63">
        <f t="shared" si="56"/>
        <v>0.14549999999999999</v>
      </c>
    </row>
    <row r="110" spans="1:22" ht="15" customHeight="1">
      <c r="A110" s="181">
        <v>99</v>
      </c>
      <c r="B110" s="148" t="s">
        <v>163</v>
      </c>
      <c r="C110" s="147" t="s">
        <v>48</v>
      </c>
      <c r="D110" s="38">
        <v>5710048215.6099997</v>
      </c>
      <c r="E110" s="34">
        <f t="shared" si="65"/>
        <v>2.4090437161497693E-2</v>
      </c>
      <c r="F110" s="66">
        <v>388.1</v>
      </c>
      <c r="G110" s="66">
        <v>388.1</v>
      </c>
      <c r="H110" s="35">
        <v>11803</v>
      </c>
      <c r="I110" s="56">
        <v>1E-4</v>
      </c>
      <c r="J110" s="56">
        <v>7.4999999999999997E-3</v>
      </c>
      <c r="K110" s="38">
        <v>5708544444.4799995</v>
      </c>
      <c r="L110" s="34">
        <f t="shared" si="51"/>
        <v>2.4071039980774107E-2</v>
      </c>
      <c r="M110" s="66">
        <v>388.15</v>
      </c>
      <c r="N110" s="66">
        <v>388.15</v>
      </c>
      <c r="O110" s="35">
        <v>11937</v>
      </c>
      <c r="P110" s="56">
        <v>1E-4</v>
      </c>
      <c r="Q110" s="56">
        <v>7.6E-3</v>
      </c>
      <c r="R110" s="61">
        <f t="shared" si="52"/>
        <v>-2.6335524206067809E-4</v>
      </c>
      <c r="S110" s="61">
        <f t="shared" si="53"/>
        <v>1.2883277505785758E-4</v>
      </c>
      <c r="T110" s="61">
        <f t="shared" si="54"/>
        <v>1.1353045835804456E-2</v>
      </c>
      <c r="U110" s="62">
        <f t="shared" si="55"/>
        <v>0</v>
      </c>
      <c r="V110" s="63">
        <f t="shared" si="56"/>
        <v>1.0000000000000026E-4</v>
      </c>
    </row>
    <row r="111" spans="1:22" ht="15" customHeight="1">
      <c r="A111" s="181">
        <v>100</v>
      </c>
      <c r="B111" s="148" t="s">
        <v>164</v>
      </c>
      <c r="C111" s="147" t="s">
        <v>116</v>
      </c>
      <c r="D111" s="38">
        <v>117796550.72</v>
      </c>
      <c r="E111" s="34">
        <f t="shared" si="65"/>
        <v>4.9697836091882794E-4</v>
      </c>
      <c r="F111" s="66">
        <v>118.508</v>
      </c>
      <c r="G111" s="66">
        <v>118.508</v>
      </c>
      <c r="H111" s="35">
        <v>27</v>
      </c>
      <c r="I111" s="56">
        <v>2.8178000000000001E-3</v>
      </c>
      <c r="J111" s="56">
        <v>0.1706</v>
      </c>
      <c r="K111" s="38">
        <v>118114462.56999999</v>
      </c>
      <c r="L111" s="34">
        <f t="shared" si="51"/>
        <v>4.9804954283562603E-4</v>
      </c>
      <c r="M111" s="66">
        <v>118.7962</v>
      </c>
      <c r="N111" s="66">
        <v>118.7962</v>
      </c>
      <c r="O111" s="35">
        <v>27</v>
      </c>
      <c r="P111" s="56">
        <v>2.8178000000000001E-3</v>
      </c>
      <c r="Q111" s="56">
        <v>0.1681</v>
      </c>
      <c r="R111" s="61">
        <f t="shared" ref="R111" si="66">((K111-D111)/D111)</f>
        <v>2.6988213836215292E-3</v>
      </c>
      <c r="S111" s="61">
        <f t="shared" ref="S111" si="67">((N111-G111)/G111)</f>
        <v>2.4319033314206917E-3</v>
      </c>
      <c r="T111" s="61">
        <f t="shared" ref="T111" si="68">((O111-H111)/H111)</f>
        <v>0</v>
      </c>
      <c r="U111" s="62">
        <f t="shared" ref="U111" si="69">P111-I111</f>
        <v>0</v>
      </c>
      <c r="V111" s="63">
        <f t="shared" ref="V111" si="70">Q111-J111</f>
        <v>-2.5000000000000022E-3</v>
      </c>
    </row>
    <row r="112" spans="1:22">
      <c r="A112" s="181">
        <v>101</v>
      </c>
      <c r="B112" s="148" t="s">
        <v>165</v>
      </c>
      <c r="C112" s="147" t="s">
        <v>51</v>
      </c>
      <c r="D112" s="38">
        <v>77169693688.539993</v>
      </c>
      <c r="E112" s="34">
        <f t="shared" si="65"/>
        <v>0.32557547438803841</v>
      </c>
      <c r="F112" s="38">
        <v>2.0226000000000002</v>
      </c>
      <c r="G112" s="38">
        <v>2.0226000000000002</v>
      </c>
      <c r="H112" s="35">
        <v>7015</v>
      </c>
      <c r="I112" s="56">
        <v>1.6999999999999999E-3</v>
      </c>
      <c r="J112" s="56">
        <v>8.5199999999999998E-2</v>
      </c>
      <c r="K112" s="38">
        <v>77303878768.520004</v>
      </c>
      <c r="L112" s="34">
        <f t="shared" si="51"/>
        <v>0.32596483650141073</v>
      </c>
      <c r="M112" s="38">
        <v>2.0261</v>
      </c>
      <c r="N112" s="38">
        <v>2.0261</v>
      </c>
      <c r="O112" s="35">
        <v>7027</v>
      </c>
      <c r="P112" s="56">
        <v>1.6999999999999999E-3</v>
      </c>
      <c r="Q112" s="56">
        <v>8.5800000000000001E-2</v>
      </c>
      <c r="R112" s="61">
        <f t="shared" si="52"/>
        <v>1.7388313153294012E-3</v>
      </c>
      <c r="S112" s="61">
        <f t="shared" si="53"/>
        <v>1.7304459606446339E-3</v>
      </c>
      <c r="T112" s="61">
        <f t="shared" si="54"/>
        <v>1.7106200997861725E-3</v>
      </c>
      <c r="U112" s="62">
        <f t="shared" si="55"/>
        <v>0</v>
      </c>
      <c r="V112" s="63">
        <f t="shared" si="56"/>
        <v>6.0000000000000331E-4</v>
      </c>
    </row>
    <row r="113" spans="1:28">
      <c r="A113" s="181">
        <v>102</v>
      </c>
      <c r="B113" s="148" t="s">
        <v>166</v>
      </c>
      <c r="C113" s="147" t="s">
        <v>51</v>
      </c>
      <c r="D113" s="38">
        <v>62729379357.910004</v>
      </c>
      <c r="E113" s="34">
        <f t="shared" si="65"/>
        <v>0.26465243629121327</v>
      </c>
      <c r="F113" s="38">
        <v>134.03992</v>
      </c>
      <c r="G113" s="38">
        <v>134.03992</v>
      </c>
      <c r="H113" s="35">
        <v>1489</v>
      </c>
      <c r="I113" s="56">
        <v>1.4E-3</v>
      </c>
      <c r="J113" s="56">
        <v>0.15079999999999999</v>
      </c>
      <c r="K113" s="38">
        <v>62649151944.25</v>
      </c>
      <c r="L113" s="34">
        <f t="shared" si="51"/>
        <v>0.26417071039358486</v>
      </c>
      <c r="M113" s="38">
        <v>134.4221</v>
      </c>
      <c r="N113" s="38">
        <v>134.4221</v>
      </c>
      <c r="O113" s="35">
        <v>1508</v>
      </c>
      <c r="P113" s="56">
        <v>4.2200000000000001E-2</v>
      </c>
      <c r="Q113" s="56">
        <v>0.15140000000000001</v>
      </c>
      <c r="R113" s="61">
        <f t="shared" ref="R113:R115" si="71">((K113-D113)/D113)</f>
        <v>-1.2789448019604422E-3</v>
      </c>
      <c r="S113" s="61">
        <f t="shared" ref="S113:S115" si="72">((N113-G113)/G113)</f>
        <v>2.8512401380126557E-3</v>
      </c>
      <c r="T113" s="61">
        <f t="shared" ref="T113:T115" si="73">((O113-H113)/H113)</f>
        <v>1.2760241773002015E-2</v>
      </c>
      <c r="U113" s="62">
        <f t="shared" ref="U113:U115" si="74">P113-I113</f>
        <v>4.0800000000000003E-2</v>
      </c>
      <c r="V113" s="63">
        <f t="shared" ref="V113:V115" si="75">Q113-J113</f>
        <v>6.0000000000001719E-4</v>
      </c>
    </row>
    <row r="114" spans="1:28">
      <c r="A114" s="181">
        <v>103</v>
      </c>
      <c r="B114" s="148" t="s">
        <v>167</v>
      </c>
      <c r="C114" s="148" t="s">
        <v>168</v>
      </c>
      <c r="D114" s="38">
        <v>117198038.51000001</v>
      </c>
      <c r="E114" s="34">
        <f t="shared" si="65"/>
        <v>4.9445326476535293E-4</v>
      </c>
      <c r="F114" s="38">
        <v>118.18</v>
      </c>
      <c r="G114" s="38">
        <v>118.18</v>
      </c>
      <c r="H114" s="68">
        <v>88</v>
      </c>
      <c r="I114" s="70">
        <v>1.6000000000000001E-3</v>
      </c>
      <c r="J114" s="70">
        <v>1.3100000000000001E-2</v>
      </c>
      <c r="K114" s="38">
        <v>117474763.64</v>
      </c>
      <c r="L114" s="34">
        <f t="shared" si="51"/>
        <v>4.9535214445860579E-4</v>
      </c>
      <c r="M114" s="38">
        <v>118.36</v>
      </c>
      <c r="N114" s="38">
        <v>118.36</v>
      </c>
      <c r="O114" s="68">
        <v>88</v>
      </c>
      <c r="P114" s="70">
        <v>1.5E-3</v>
      </c>
      <c r="Q114" s="70">
        <v>1.46E-2</v>
      </c>
      <c r="R114" s="61">
        <f t="shared" si="71"/>
        <v>2.3611754387543224E-3</v>
      </c>
      <c r="S114" s="61">
        <f t="shared" si="72"/>
        <v>1.5231003553900203E-3</v>
      </c>
      <c r="T114" s="61">
        <f t="shared" si="73"/>
        <v>0</v>
      </c>
      <c r="U114" s="62">
        <f t="shared" si="74"/>
        <v>-1.0000000000000005E-4</v>
      </c>
      <c r="V114" s="63">
        <f t="shared" si="75"/>
        <v>1.4999999999999996E-3</v>
      </c>
    </row>
    <row r="115" spans="1:28">
      <c r="A115" s="181">
        <v>104</v>
      </c>
      <c r="B115" s="148" t="s">
        <v>169</v>
      </c>
      <c r="C115" s="147" t="s">
        <v>123</v>
      </c>
      <c r="D115" s="38">
        <v>529490273.52999997</v>
      </c>
      <c r="E115" s="34">
        <f t="shared" si="65"/>
        <v>2.233895701130435E-3</v>
      </c>
      <c r="F115" s="38">
        <v>1.45</v>
      </c>
      <c r="G115" s="38">
        <v>1.45</v>
      </c>
      <c r="H115" s="35">
        <v>894</v>
      </c>
      <c r="I115" s="56">
        <v>3.8999999999999998E-3</v>
      </c>
      <c r="J115" s="56">
        <v>5.8400000000000001E-2</v>
      </c>
      <c r="K115" s="38">
        <v>527526853.88</v>
      </c>
      <c r="L115" s="34">
        <f t="shared" si="51"/>
        <v>2.2244059084021292E-3</v>
      </c>
      <c r="M115" s="38">
        <v>1.46</v>
      </c>
      <c r="N115" s="38">
        <v>1.46</v>
      </c>
      <c r="O115" s="35">
        <v>899</v>
      </c>
      <c r="P115" s="56">
        <v>2.8E-3</v>
      </c>
      <c r="Q115" s="56">
        <v>8.7300000000000003E-2</v>
      </c>
      <c r="R115" s="61">
        <f t="shared" si="71"/>
        <v>-3.708131665781642E-3</v>
      </c>
      <c r="S115" s="61">
        <f t="shared" si="72"/>
        <v>6.896551724137937E-3</v>
      </c>
      <c r="T115" s="61">
        <f t="shared" si="73"/>
        <v>5.5928411633109623E-3</v>
      </c>
      <c r="U115" s="62">
        <f t="shared" si="74"/>
        <v>-1.0999999999999998E-3</v>
      </c>
      <c r="V115" s="63">
        <f t="shared" si="75"/>
        <v>2.8900000000000002E-2</v>
      </c>
    </row>
    <row r="116" spans="1:28">
      <c r="A116" s="181">
        <v>105</v>
      </c>
      <c r="B116" s="148" t="s">
        <v>170</v>
      </c>
      <c r="C116" s="147" t="s">
        <v>125</v>
      </c>
      <c r="D116" s="38">
        <v>2028613422.1300001</v>
      </c>
      <c r="E116" s="34">
        <f t="shared" si="65"/>
        <v>8.5586289862130006E-3</v>
      </c>
      <c r="F116" s="66">
        <v>31.279299999999999</v>
      </c>
      <c r="G116" s="66">
        <v>31.279299999999999</v>
      </c>
      <c r="H116" s="35">
        <v>1549</v>
      </c>
      <c r="I116" s="56">
        <v>0.14430000000000001</v>
      </c>
      <c r="J116" s="56">
        <v>0.14430000000000001</v>
      </c>
      <c r="K116" s="38">
        <v>2080192492.53</v>
      </c>
      <c r="L116" s="34">
        <f t="shared" si="51"/>
        <v>8.7714823178462516E-3</v>
      </c>
      <c r="M116" s="66">
        <v>31.721299999999999</v>
      </c>
      <c r="N116" s="66">
        <v>31.721299999999999</v>
      </c>
      <c r="O116" s="35">
        <v>1549</v>
      </c>
      <c r="P116" s="56">
        <v>0.14549999999999999</v>
      </c>
      <c r="Q116" s="56">
        <v>0.14549999999999999</v>
      </c>
      <c r="R116" s="61">
        <f t="shared" si="52"/>
        <v>2.5425775969599447E-2</v>
      </c>
      <c r="S116" s="61">
        <f t="shared" si="53"/>
        <v>1.4130751007855042E-2</v>
      </c>
      <c r="T116" s="61">
        <f t="shared" si="54"/>
        <v>0</v>
      </c>
      <c r="U116" s="62">
        <f t="shared" si="55"/>
        <v>1.1999999999999789E-3</v>
      </c>
      <c r="V116" s="63">
        <f t="shared" si="56"/>
        <v>1.1999999999999789E-3</v>
      </c>
    </row>
    <row r="117" spans="1:28">
      <c r="A117" s="41"/>
      <c r="B117" s="42"/>
      <c r="C117" s="43" t="s">
        <v>54</v>
      </c>
      <c r="D117" s="65">
        <f>SUM(D79:D116)</f>
        <v>237025512543.87482</v>
      </c>
      <c r="E117" s="45">
        <f>(D117/$D$238)</f>
        <v>2.7486165939450032E-2</v>
      </c>
      <c r="F117" s="46"/>
      <c r="G117" s="51"/>
      <c r="H117" s="48">
        <f>SUM(H79:H116)</f>
        <v>65513</v>
      </c>
      <c r="I117" s="59"/>
      <c r="J117" s="59"/>
      <c r="K117" s="65">
        <f>SUM(K79:K116)</f>
        <v>237154042743.45844</v>
      </c>
      <c r="L117" s="45">
        <f>(K117/$K$238)</f>
        <v>2.7315177160933454E-2</v>
      </c>
      <c r="M117" s="46"/>
      <c r="N117" s="51"/>
      <c r="O117" s="48">
        <f>SUM(O79:O116)</f>
        <v>66028</v>
      </c>
      <c r="P117" s="59"/>
      <c r="Q117" s="59"/>
      <c r="R117" s="61">
        <f t="shared" si="52"/>
        <v>5.4226314376106021E-4</v>
      </c>
      <c r="S117" s="61" t="e">
        <f t="shared" si="53"/>
        <v>#DIV/0!</v>
      </c>
      <c r="T117" s="61">
        <f t="shared" si="54"/>
        <v>7.8610352143849305E-3</v>
      </c>
      <c r="U117" s="62">
        <f t="shared" si="55"/>
        <v>0</v>
      </c>
      <c r="V117" s="63">
        <f t="shared" si="56"/>
        <v>0</v>
      </c>
    </row>
    <row r="118" spans="1:28" ht="3.75" customHeight="1">
      <c r="A118" s="41"/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</row>
    <row r="119" spans="1:28" ht="15" customHeight="1">
      <c r="A119" s="194" t="s">
        <v>171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</row>
    <row r="120" spans="1:28">
      <c r="A120" s="193" t="s">
        <v>172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Z120" s="71"/>
      <c r="AB120" s="73"/>
    </row>
    <row r="121" spans="1:28" ht="16.5" customHeight="1">
      <c r="A121" s="181">
        <v>106</v>
      </c>
      <c r="B121" s="148" t="s">
        <v>173</v>
      </c>
      <c r="C121" s="147" t="s">
        <v>19</v>
      </c>
      <c r="D121" s="38">
        <v>3641997287.1772141</v>
      </c>
      <c r="E121" s="34">
        <f t="shared" ref="E121:E126" si="76">(D121/$D$161)</f>
        <v>1.9998015321712826E-3</v>
      </c>
      <c r="F121" s="38">
        <v>158457.86222195998</v>
      </c>
      <c r="G121" s="38">
        <v>158457.86222195998</v>
      </c>
      <c r="H121" s="35">
        <v>190</v>
      </c>
      <c r="I121" s="56">
        <v>6.0000000000000001E-3</v>
      </c>
      <c r="J121" s="56">
        <v>1.9599999999999999E-2</v>
      </c>
      <c r="K121" s="38">
        <f>2685687.98*W140</f>
        <v>3608597260.3096037</v>
      </c>
      <c r="L121" s="34">
        <f t="shared" ref="L121:L138" si="77">(K121/$K$161)</f>
        <v>1.9937346910824808E-3</v>
      </c>
      <c r="M121" s="72">
        <f>117.0247*W140</f>
        <v>157239.04450305999</v>
      </c>
      <c r="N121" s="38">
        <f>117.0247*W140</f>
        <v>157239.04450305999</v>
      </c>
      <c r="O121" s="35">
        <v>190</v>
      </c>
      <c r="P121" s="56">
        <v>2.0999999999999999E-3</v>
      </c>
      <c r="Q121" s="56">
        <v>2.1700000000000001E-2</v>
      </c>
      <c r="R121" s="61">
        <f>((K121-D121)/D121)</f>
        <v>-9.1707994910390656E-3</v>
      </c>
      <c r="S121" s="61">
        <f>((N121-G121)/G121)</f>
        <v>-7.691746574194744E-3</v>
      </c>
      <c r="T121" s="61">
        <f>((O121-H121)/H121)</f>
        <v>0</v>
      </c>
      <c r="U121" s="61">
        <f>P121-I121</f>
        <v>-3.9000000000000003E-3</v>
      </c>
      <c r="V121" s="108">
        <f>Q121-J121</f>
        <v>2.1000000000000012E-3</v>
      </c>
      <c r="X121" s="71"/>
      <c r="Y121" s="74"/>
      <c r="Z121" s="71"/>
      <c r="AA121" s="75"/>
    </row>
    <row r="122" spans="1:28" ht="16.5" customHeight="1">
      <c r="A122" s="181">
        <v>107</v>
      </c>
      <c r="B122" s="148" t="s">
        <v>174</v>
      </c>
      <c r="C122" s="147" t="s">
        <v>58</v>
      </c>
      <c r="D122" s="38">
        <v>5085655359.3595257</v>
      </c>
      <c r="E122" s="34">
        <f t="shared" si="76"/>
        <v>2.7925065775172286E-3</v>
      </c>
      <c r="F122" s="38">
        <v>142744.80695999999</v>
      </c>
      <c r="G122" s="38">
        <v>142744.80695999999</v>
      </c>
      <c r="H122" s="35">
        <v>105</v>
      </c>
      <c r="I122" s="56">
        <v>7.8989999999999998E-3</v>
      </c>
      <c r="J122" s="56">
        <v>5.2012000000000003E-2</v>
      </c>
      <c r="K122" s="38">
        <f>3739906.61*W140</f>
        <v>5025087369.4790773</v>
      </c>
      <c r="L122" s="34">
        <f t="shared" si="77"/>
        <v>2.776339472527139E-3</v>
      </c>
      <c r="M122" s="38">
        <f>105.53*W140</f>
        <v>141794.30809400001</v>
      </c>
      <c r="N122" s="38">
        <f>105.53*W140</f>
        <v>141794.30809400001</v>
      </c>
      <c r="O122" s="35">
        <v>105</v>
      </c>
      <c r="P122" s="56">
        <v>3.3370000000000001E-3</v>
      </c>
      <c r="Q122" s="56">
        <v>5.5349000000000002E-2</v>
      </c>
      <c r="R122" s="62">
        <f>((K122-D122)/D122)</f>
        <v>-1.1909574204429793E-2</v>
      </c>
      <c r="S122" s="62">
        <f>((N122-G122)/G122)</f>
        <v>-6.6587281614127591E-3</v>
      </c>
      <c r="T122" s="62">
        <f>((O122-H122)/H122)</f>
        <v>0</v>
      </c>
      <c r="U122" s="62">
        <f>P122-I122</f>
        <v>-4.5620000000000001E-3</v>
      </c>
      <c r="V122" s="63">
        <f>Q122-J122</f>
        <v>3.3369999999999997E-3</v>
      </c>
      <c r="X122" s="71"/>
      <c r="Y122" s="74"/>
      <c r="Z122" s="71"/>
      <c r="AA122" s="75"/>
    </row>
    <row r="123" spans="1:28">
      <c r="A123" s="181">
        <v>108</v>
      </c>
      <c r="B123" s="148" t="s">
        <v>175</v>
      </c>
      <c r="C123" s="147" t="s">
        <v>23</v>
      </c>
      <c r="D123" s="38">
        <v>17924727452.525375</v>
      </c>
      <c r="E123" s="34">
        <f t="shared" si="76"/>
        <v>9.8423734552245661E-3</v>
      </c>
      <c r="F123" s="38">
        <v>1660.42604826</v>
      </c>
      <c r="G123" s="38">
        <v>1660.42604826</v>
      </c>
      <c r="H123" s="35">
        <v>339</v>
      </c>
      <c r="I123" s="56">
        <v>0.17530000000000001</v>
      </c>
      <c r="J123" s="56">
        <v>4.9599999999999998E-2</v>
      </c>
      <c r="K123" s="38">
        <f>13241046.13*FX_RATE</f>
        <v>17791196573.903973</v>
      </c>
      <c r="L123" s="34">
        <f t="shared" si="77"/>
        <v>9.8295606981137207E-3</v>
      </c>
      <c r="M123" s="38">
        <f>1.2263*W140</f>
        <v>1647.7054867399997</v>
      </c>
      <c r="N123" s="38">
        <f>1.2263*W140</f>
        <v>1647.7054867399997</v>
      </c>
      <c r="O123" s="35">
        <v>339</v>
      </c>
      <c r="P123" s="56">
        <v>0.1108</v>
      </c>
      <c r="Q123" s="56">
        <v>5.3699999999999998E-2</v>
      </c>
      <c r="R123" s="62">
        <f t="shared" ref="R123:R136" si="78">((K123-D123)/D123)</f>
        <v>-7.4495346707539401E-3</v>
      </c>
      <c r="S123" s="62">
        <f t="shared" ref="S123:S136" si="79">((N123-G123)/G123)</f>
        <v>-7.6610226232781964E-3</v>
      </c>
      <c r="T123" s="62">
        <f t="shared" ref="T123:T136" si="80">((O123-H123)/H123)</f>
        <v>0</v>
      </c>
      <c r="U123" s="62">
        <f t="shared" ref="U123:U136" si="81">P123-I123</f>
        <v>-6.4500000000000016E-2</v>
      </c>
      <c r="V123" s="63">
        <f t="shared" ref="V123:V136" si="82">Q123-J123</f>
        <v>4.0999999999999995E-3</v>
      </c>
    </row>
    <row r="124" spans="1:28">
      <c r="A124" s="181">
        <v>109</v>
      </c>
      <c r="B124" s="148" t="s">
        <v>176</v>
      </c>
      <c r="C124" s="147" t="s">
        <v>23</v>
      </c>
      <c r="D124" s="38">
        <v>4257329701.0968356</v>
      </c>
      <c r="E124" s="34">
        <f t="shared" si="76"/>
        <v>2.3376773204052885E-3</v>
      </c>
      <c r="F124" s="38">
        <v>1435.45371942</v>
      </c>
      <c r="G124" s="38">
        <v>1435.45371942</v>
      </c>
      <c r="H124" s="35">
        <v>123</v>
      </c>
      <c r="I124" s="56">
        <v>7.3999999999999996E-2</v>
      </c>
      <c r="J124" s="56">
        <v>4.7199999999999999E-2</v>
      </c>
      <c r="K124" s="38">
        <f>3136587.01*W140</f>
        <v>4214443142.7989974</v>
      </c>
      <c r="L124" s="34">
        <f t="shared" si="77"/>
        <v>2.3284619732466733E-3</v>
      </c>
      <c r="M124" s="38">
        <f>1.0594*W140</f>
        <v>1423.4520041199999</v>
      </c>
      <c r="N124" s="38">
        <f>1.0594*W140</f>
        <v>1423.4520041199999</v>
      </c>
      <c r="O124" s="35">
        <v>122</v>
      </c>
      <c r="P124" s="56">
        <v>7.3899999999999993E-2</v>
      </c>
      <c r="Q124" s="56">
        <v>4.9000000000000002E-2</v>
      </c>
      <c r="R124" s="62">
        <f t="shared" si="78"/>
        <v>-1.0073581636580588E-2</v>
      </c>
      <c r="S124" s="62">
        <f t="shared" ref="S124" si="83">((N124-G124)/G124)</f>
        <v>-8.3609211064285989E-3</v>
      </c>
      <c r="T124" s="62">
        <f t="shared" ref="T124" si="84">((O124-H124)/H124)</f>
        <v>-8.130081300813009E-3</v>
      </c>
      <c r="U124" s="62">
        <f t="shared" ref="U124" si="85">P124-I124</f>
        <v>-1.0000000000000286E-4</v>
      </c>
      <c r="V124" s="63">
        <f t="shared" ref="V124" si="86">Q124-J124</f>
        <v>1.800000000000003E-3</v>
      </c>
    </row>
    <row r="125" spans="1:28">
      <c r="A125" s="181">
        <v>110</v>
      </c>
      <c r="B125" s="148" t="s">
        <v>177</v>
      </c>
      <c r="C125" s="147" t="s">
        <v>27</v>
      </c>
      <c r="D125" s="38">
        <v>46348260678.761871</v>
      </c>
      <c r="E125" s="34">
        <f t="shared" si="76"/>
        <v>2.5449585875639332E-2</v>
      </c>
      <c r="F125" s="38">
        <v>1691.9058916199997</v>
      </c>
      <c r="G125" s="38">
        <v>1691.9058916199997</v>
      </c>
      <c r="H125" s="35">
        <v>650</v>
      </c>
      <c r="I125" s="56">
        <v>8.3999999999999995E-3</v>
      </c>
      <c r="J125" s="56">
        <v>2.87E-2</v>
      </c>
      <c r="K125" s="38">
        <f xml:space="preserve"> 34625404.52*W140</f>
        <v>46524071604.171898</v>
      </c>
      <c r="L125" s="34">
        <f t="shared" si="77"/>
        <v>2.5704352366460733E-2</v>
      </c>
      <c r="M125" s="38">
        <f>1.264*W140</f>
        <v>1698.3607072</v>
      </c>
      <c r="N125" s="38">
        <f>1.264*W140</f>
        <v>1698.3607072</v>
      </c>
      <c r="O125" s="35">
        <v>651</v>
      </c>
      <c r="P125" s="56">
        <v>1.37E-2</v>
      </c>
      <c r="Q125" s="56">
        <v>4.24E-2</v>
      </c>
      <c r="R125" s="62">
        <f t="shared" si="78"/>
        <v>3.7932583194127986E-3</v>
      </c>
      <c r="S125" s="62">
        <f t="shared" ref="S125:T128" si="87">((N125-G125)/G125)</f>
        <v>3.8151150202685334E-3</v>
      </c>
      <c r="T125" s="62">
        <f t="shared" si="87"/>
        <v>1.5384615384615385E-3</v>
      </c>
      <c r="U125" s="62">
        <f t="shared" si="81"/>
        <v>5.3000000000000009E-3</v>
      </c>
      <c r="V125" s="63">
        <f t="shared" si="82"/>
        <v>1.37E-2</v>
      </c>
    </row>
    <row r="126" spans="1:28">
      <c r="A126" s="181">
        <v>111</v>
      </c>
      <c r="B126" s="148" t="s">
        <v>178</v>
      </c>
      <c r="C126" s="147" t="s">
        <v>67</v>
      </c>
      <c r="D126" s="38">
        <v>1376954794.3486018</v>
      </c>
      <c r="E126" s="34">
        <f t="shared" si="76"/>
        <v>7.5607862673702738E-4</v>
      </c>
      <c r="F126" s="38">
        <v>1488.5081105999998</v>
      </c>
      <c r="G126" s="38">
        <v>1506.147678</v>
      </c>
      <c r="H126" s="35">
        <v>74</v>
      </c>
      <c r="I126" s="56">
        <v>-3.5799999999999998E-3</v>
      </c>
      <c r="J126" s="56">
        <v>7.2300000000000003E-2</v>
      </c>
      <c r="K126" s="38">
        <f>995881.06*W140</f>
        <v>1338105428.2821879</v>
      </c>
      <c r="L126" s="34">
        <f t="shared" si="77"/>
        <v>7.3929757749222741E-4</v>
      </c>
      <c r="M126" s="38">
        <f>1.0997*W140</f>
        <v>1477.6006880599998</v>
      </c>
      <c r="N126" s="38">
        <f>1.11*W140</f>
        <v>1491.4401780000001</v>
      </c>
      <c r="O126" s="35">
        <v>74</v>
      </c>
      <c r="P126" s="56">
        <v>2.1800000000000001E-3</v>
      </c>
      <c r="Q126" s="56">
        <v>7.5999999999999998E-2</v>
      </c>
      <c r="R126" s="62">
        <f t="shared" si="78"/>
        <v>-2.8213973491259318E-2</v>
      </c>
      <c r="S126" s="62">
        <f t="shared" si="87"/>
        <v>-9.7649787035026595E-3</v>
      </c>
      <c r="T126" s="62">
        <f t="shared" si="87"/>
        <v>0</v>
      </c>
      <c r="U126" s="62">
        <f t="shared" si="81"/>
        <v>5.7599999999999995E-3</v>
      </c>
      <c r="V126" s="63">
        <f t="shared" si="82"/>
        <v>3.699999999999995E-3</v>
      </c>
    </row>
    <row r="127" spans="1:28">
      <c r="A127" s="181">
        <v>112</v>
      </c>
      <c r="B127" s="148" t="s">
        <v>179</v>
      </c>
      <c r="C127" s="147" t="s">
        <v>29</v>
      </c>
      <c r="D127" s="38">
        <v>847560303.89818192</v>
      </c>
      <c r="E127" s="34">
        <v>0</v>
      </c>
      <c r="F127" s="38">
        <v>1968.1686548999999</v>
      </c>
      <c r="G127" s="38">
        <v>1968.1686548999999</v>
      </c>
      <c r="H127" s="35">
        <v>77</v>
      </c>
      <c r="I127" s="56">
        <v>3.4099999999999999E-4</v>
      </c>
      <c r="J127" s="56">
        <v>3.0700000000000002E-2</v>
      </c>
      <c r="K127" s="38">
        <f>614268.05*W140</f>
        <v>825354999.84838998</v>
      </c>
      <c r="L127" s="34">
        <f t="shared" si="77"/>
        <v>4.5600513910353354E-4</v>
      </c>
      <c r="M127" s="38">
        <f>1.453*W140</f>
        <v>1952.3086294</v>
      </c>
      <c r="N127" s="38">
        <f>1.453*W140</f>
        <v>1952.3086294</v>
      </c>
      <c r="O127" s="35">
        <v>76</v>
      </c>
      <c r="P127" s="56">
        <v>2.0699999999999999E-4</v>
      </c>
      <c r="Q127" s="56">
        <v>2.9100000000000001E-2</v>
      </c>
      <c r="R127" s="62">
        <f t="shared" si="78"/>
        <v>-2.6199084534354825E-2</v>
      </c>
      <c r="S127" s="62">
        <f t="shared" si="87"/>
        <v>-8.0582654644531567E-3</v>
      </c>
      <c r="T127" s="62">
        <f t="shared" si="87"/>
        <v>-1.2987012987012988E-2</v>
      </c>
      <c r="U127" s="62">
        <f t="shared" si="81"/>
        <v>-1.34E-4</v>
      </c>
      <c r="V127" s="63">
        <f t="shared" si="82"/>
        <v>-1.6000000000000007E-3</v>
      </c>
    </row>
    <row r="128" spans="1:28">
      <c r="A128" s="181">
        <v>113</v>
      </c>
      <c r="B128" s="148" t="s">
        <v>180</v>
      </c>
      <c r="C128" s="147" t="s">
        <v>77</v>
      </c>
      <c r="D128" s="38">
        <v>3868074694.2081299</v>
      </c>
      <c r="E128" s="34">
        <f t="shared" ref="E128:E135" si="88">(D128/$D$161)</f>
        <v>2.1239394458818527E-3</v>
      </c>
      <c r="F128" s="38">
        <v>148308.05513999998</v>
      </c>
      <c r="G128" s="38">
        <v>148850.81106000001</v>
      </c>
      <c r="H128" s="35">
        <v>81</v>
      </c>
      <c r="I128" s="56">
        <v>1.09E-2</v>
      </c>
      <c r="J128" s="56">
        <v>1.9800000000000002E-2</v>
      </c>
      <c r="K128" s="38">
        <f>2862804.41*W140</f>
        <v>3846577944.8915181</v>
      </c>
      <c r="L128" s="34">
        <f t="shared" si="77"/>
        <v>2.1252180106197272E-3</v>
      </c>
      <c r="M128" s="38">
        <f>109.77*W140</f>
        <v>147491.34084599998</v>
      </c>
      <c r="N128" s="38">
        <f>110.2*W140</f>
        <v>148069.10595999999</v>
      </c>
      <c r="O128" s="35">
        <v>81</v>
      </c>
      <c r="P128" s="56">
        <v>4.4999999999999997E-3</v>
      </c>
      <c r="Q128" s="56">
        <v>2.4299999999999999E-2</v>
      </c>
      <c r="R128" s="62">
        <f t="shared" si="78"/>
        <v>-5.5574804046054152E-3</v>
      </c>
      <c r="S128" s="62">
        <f t="shared" si="87"/>
        <v>-5.2516012135461251E-3</v>
      </c>
      <c r="T128" s="62">
        <f t="shared" si="87"/>
        <v>0</v>
      </c>
      <c r="U128" s="62">
        <f t="shared" si="81"/>
        <v>-6.4000000000000003E-3</v>
      </c>
      <c r="V128" s="63">
        <f t="shared" si="82"/>
        <v>4.4999999999999971E-3</v>
      </c>
    </row>
    <row r="129" spans="1:25">
      <c r="A129" s="181">
        <v>114</v>
      </c>
      <c r="B129" s="148" t="s">
        <v>181</v>
      </c>
      <c r="C129" s="147" t="s">
        <v>80</v>
      </c>
      <c r="D129" s="38">
        <v>4819919338.6800003</v>
      </c>
      <c r="E129" s="34">
        <f t="shared" si="88"/>
        <v>2.6465923278885862E-3</v>
      </c>
      <c r="F129" s="38">
        <v>1637.4372599999999</v>
      </c>
      <c r="G129" s="38">
        <v>1637.4372599999999</v>
      </c>
      <c r="H129" s="35">
        <v>60</v>
      </c>
      <c r="I129" s="56">
        <v>6.5799999999999997E-2</v>
      </c>
      <c r="J129" s="56">
        <v>7.17E-2</v>
      </c>
      <c r="K129" s="38">
        <v>4825912814.9700003</v>
      </c>
      <c r="L129" s="34">
        <f t="shared" si="77"/>
        <v>2.666296375373212E-3</v>
      </c>
      <c r="M129" s="38">
        <v>1640.53</v>
      </c>
      <c r="N129" s="38">
        <v>1640.53</v>
      </c>
      <c r="O129" s="35">
        <v>63</v>
      </c>
      <c r="P129" s="56">
        <v>6.5799999999999997E-2</v>
      </c>
      <c r="Q129" s="56">
        <v>7.17E-2</v>
      </c>
      <c r="R129" s="62">
        <f t="shared" si="78"/>
        <v>1.2434806204954783E-3</v>
      </c>
      <c r="S129" s="62">
        <f t="shared" si="79"/>
        <v>1.8887685504359716E-3</v>
      </c>
      <c r="T129" s="62">
        <f t="shared" si="80"/>
        <v>0.05</v>
      </c>
      <c r="U129" s="62">
        <f t="shared" si="81"/>
        <v>0</v>
      </c>
      <c r="V129" s="63">
        <f t="shared" si="82"/>
        <v>0</v>
      </c>
      <c r="X129" s="72"/>
    </row>
    <row r="130" spans="1:25">
      <c r="A130" s="181">
        <v>115</v>
      </c>
      <c r="B130" s="148" t="s">
        <v>182</v>
      </c>
      <c r="C130" s="147" t="s">
        <v>82</v>
      </c>
      <c r="D130" s="38">
        <v>52143509092.770004</v>
      </c>
      <c r="E130" s="34">
        <f t="shared" si="88"/>
        <v>2.8631726262852295E-2</v>
      </c>
      <c r="F130" s="38">
        <v>177295.14</v>
      </c>
      <c r="G130" s="38">
        <v>177335.91</v>
      </c>
      <c r="H130" s="35">
        <v>2572</v>
      </c>
      <c r="I130" s="56">
        <v>1.2999999999999999E-3</v>
      </c>
      <c r="J130" s="56">
        <v>2.01E-2</v>
      </c>
      <c r="K130" s="38">
        <f>38177514.47*1345.25</f>
        <v>51358301340.767502</v>
      </c>
      <c r="L130" s="34">
        <f t="shared" si="77"/>
        <v>2.8375243805780357E-2</v>
      </c>
      <c r="M130" s="38">
        <f>130.64*1345.25</f>
        <v>175743.46</v>
      </c>
      <c r="N130" s="38">
        <f>130.68*1345.25</f>
        <v>175797.27000000002</v>
      </c>
      <c r="O130" s="35">
        <v>2612</v>
      </c>
      <c r="P130" s="56">
        <v>1.4E-3</v>
      </c>
      <c r="Q130" s="56">
        <v>2.1499999999999998E-2</v>
      </c>
      <c r="R130" s="62">
        <f t="shared" si="78"/>
        <v>-1.5058590525726164E-2</v>
      </c>
      <c r="S130" s="62">
        <f t="shared" si="79"/>
        <v>-8.6764152844169291E-3</v>
      </c>
      <c r="T130" s="62">
        <f t="shared" si="80"/>
        <v>1.5552099533437015E-2</v>
      </c>
      <c r="U130" s="62">
        <f t="shared" si="81"/>
        <v>1.0000000000000005E-4</v>
      </c>
      <c r="V130" s="63">
        <f t="shared" si="82"/>
        <v>1.3999999999999985E-3</v>
      </c>
    </row>
    <row r="131" spans="1:25">
      <c r="A131" s="181">
        <v>116</v>
      </c>
      <c r="B131" s="187" t="s">
        <v>183</v>
      </c>
      <c r="C131" s="147" t="s">
        <v>82</v>
      </c>
      <c r="D131" s="38">
        <v>155855103086.07001</v>
      </c>
      <c r="E131" s="34">
        <f t="shared" si="88"/>
        <v>8.5579216394696386E-2</v>
      </c>
      <c r="F131" s="38">
        <v>173123.01</v>
      </c>
      <c r="G131" s="38">
        <v>173123.01</v>
      </c>
      <c r="H131" s="35">
        <v>1048</v>
      </c>
      <c r="I131" s="56">
        <v>1.4E-3</v>
      </c>
      <c r="J131" s="56">
        <v>2.1299999999999999E-2</v>
      </c>
      <c r="K131" s="38">
        <f>114683666.73*1345.25</f>
        <v>154278202668.5325</v>
      </c>
      <c r="L131" s="34">
        <f t="shared" si="77"/>
        <v>8.5238053057690624E-2</v>
      </c>
      <c r="M131" s="38">
        <f>127.52*1345.25</f>
        <v>171546.28</v>
      </c>
      <c r="N131" s="38">
        <f>127.57*1345.25</f>
        <v>171613.54249999998</v>
      </c>
      <c r="O131" s="35">
        <v>1047</v>
      </c>
      <c r="P131" s="56">
        <v>1.4E-3</v>
      </c>
      <c r="Q131" s="56">
        <v>2.2800000000000001E-2</v>
      </c>
      <c r="R131" s="62">
        <f t="shared" si="78"/>
        <v>-1.0117733627667441E-2</v>
      </c>
      <c r="S131" s="62">
        <f t="shared" si="79"/>
        <v>-8.7190460701903685E-3</v>
      </c>
      <c r="T131" s="62">
        <f t="shared" si="80"/>
        <v>-9.5419847328244271E-4</v>
      </c>
      <c r="U131" s="62">
        <f t="shared" si="81"/>
        <v>0</v>
      </c>
      <c r="V131" s="63">
        <f t="shared" si="82"/>
        <v>1.5000000000000013E-3</v>
      </c>
      <c r="X131" s="71"/>
    </row>
    <row r="132" spans="1:25">
      <c r="A132" s="181">
        <v>117</v>
      </c>
      <c r="B132" s="148" t="s">
        <v>184</v>
      </c>
      <c r="C132" s="147" t="s">
        <v>86</v>
      </c>
      <c r="D132" s="38">
        <v>1934230385.0314617</v>
      </c>
      <c r="E132" s="34">
        <f t="shared" si="88"/>
        <v>1.0620757190503509E-3</v>
      </c>
      <c r="F132" s="38">
        <v>1356.8897999999999</v>
      </c>
      <c r="G132" s="38">
        <v>1356.8897999999999</v>
      </c>
      <c r="H132" s="35">
        <v>15</v>
      </c>
      <c r="I132" s="56">
        <v>8.2500000000000004E-2</v>
      </c>
      <c r="J132" s="56">
        <v>8.3500000000000005E-2</v>
      </c>
      <c r="K132" s="38">
        <f>1427917.89*W140</f>
        <v>1918607308.1360219</v>
      </c>
      <c r="L132" s="34">
        <f t="shared" si="77"/>
        <v>1.0600224056222264E-3</v>
      </c>
      <c r="M132" s="38">
        <f>1*W140</f>
        <v>1343.6397999999999</v>
      </c>
      <c r="N132" s="38">
        <f>1*W140</f>
        <v>1343.6397999999999</v>
      </c>
      <c r="O132" s="35">
        <v>15</v>
      </c>
      <c r="P132" s="56">
        <v>8.43E-2</v>
      </c>
      <c r="Q132" s="56">
        <v>8.3599999999999994E-2</v>
      </c>
      <c r="R132" s="62">
        <f t="shared" ref="R132" si="89">((K132-D132)/D132)</f>
        <v>-8.0771541055000753E-3</v>
      </c>
      <c r="S132" s="62">
        <f t="shared" ref="S132" si="90">((N132-G132)/G132)</f>
        <v>-9.7649787035026733E-3</v>
      </c>
      <c r="T132" s="62">
        <f t="shared" si="80"/>
        <v>0</v>
      </c>
      <c r="U132" s="62">
        <f t="shared" si="81"/>
        <v>1.799999999999996E-3</v>
      </c>
      <c r="V132" s="63">
        <f t="shared" si="82"/>
        <v>9.9999999999988987E-5</v>
      </c>
    </row>
    <row r="133" spans="1:25">
      <c r="A133" s="181">
        <v>118</v>
      </c>
      <c r="B133" s="148" t="s">
        <v>185</v>
      </c>
      <c r="C133" s="147" t="s">
        <v>34</v>
      </c>
      <c r="D133" s="38">
        <v>258808905.38127616</v>
      </c>
      <c r="E133" s="34">
        <f t="shared" si="88"/>
        <v>1.4211060709553585E-4</v>
      </c>
      <c r="F133" s="38">
        <v>187918.11080364001</v>
      </c>
      <c r="G133" s="38">
        <v>187918.11080364001</v>
      </c>
      <c r="H133" s="35">
        <v>11</v>
      </c>
      <c r="I133" s="56">
        <v>1.6999999999999999E-3</v>
      </c>
      <c r="J133" s="56">
        <v>2.3699999999999999E-2</v>
      </c>
      <c r="K133" s="38">
        <f xml:space="preserve"> 199008.4136*W140</f>
        <v>267395625.04782125</v>
      </c>
      <c r="L133" s="34">
        <f t="shared" si="77"/>
        <v>1.4773494946781218E-4</v>
      </c>
      <c r="M133" s="38">
        <f>144.4977*W140</f>
        <v>194152.86072846001</v>
      </c>
      <c r="N133" s="38">
        <f>144.4977*W140</f>
        <v>194152.86072846001</v>
      </c>
      <c r="O133" s="35">
        <v>11</v>
      </c>
      <c r="P133" s="56">
        <v>4.3400000000000001E-2</v>
      </c>
      <c r="Q133" s="56">
        <v>6.8099999999999994E-2</v>
      </c>
      <c r="R133" s="62">
        <f t="shared" si="78"/>
        <v>3.317783696003495E-2</v>
      </c>
      <c r="S133" s="62">
        <f t="shared" si="79"/>
        <v>3.3178015137321375E-2</v>
      </c>
      <c r="T133" s="62">
        <f t="shared" si="80"/>
        <v>0</v>
      </c>
      <c r="U133" s="62">
        <f t="shared" si="81"/>
        <v>4.1700000000000001E-2</v>
      </c>
      <c r="V133" s="63">
        <f t="shared" si="82"/>
        <v>4.4399999999999995E-2</v>
      </c>
    </row>
    <row r="134" spans="1:25">
      <c r="A134" s="181">
        <v>119</v>
      </c>
      <c r="B134" s="148" t="s">
        <v>186</v>
      </c>
      <c r="C134" s="147" t="s">
        <v>40</v>
      </c>
      <c r="D134" s="38">
        <v>14713373052.054262</v>
      </c>
      <c r="E134" s="34">
        <f t="shared" si="88"/>
        <v>8.0790356644420136E-3</v>
      </c>
      <c r="F134" s="38">
        <v>2035.3346999999999</v>
      </c>
      <c r="G134" s="38">
        <v>2048.9035979999999</v>
      </c>
      <c r="H134" s="52">
        <v>119</v>
      </c>
      <c r="I134" s="59">
        <v>8.9999999999999993E-3</v>
      </c>
      <c r="J134" s="59">
        <v>5.45E-2</v>
      </c>
      <c r="K134" s="38">
        <f>10881229.69*W140</f>
        <v>14620453284.425661</v>
      </c>
      <c r="L134" s="34">
        <f t="shared" si="77"/>
        <v>8.0777384700473163E-3</v>
      </c>
      <c r="M134" s="38">
        <f>1.51*W140</f>
        <v>2028.8960979999999</v>
      </c>
      <c r="N134" s="38">
        <f>1.51*W140</f>
        <v>2028.8960979999999</v>
      </c>
      <c r="O134" s="52">
        <v>119</v>
      </c>
      <c r="P134" s="59">
        <v>1.24E-2</v>
      </c>
      <c r="Q134" s="59">
        <v>6.2700000000000006E-2</v>
      </c>
      <c r="R134" s="62">
        <f t="shared" si="78"/>
        <v>-6.3153273759770359E-3</v>
      </c>
      <c r="S134" s="62">
        <f t="shared" si="79"/>
        <v>-9.7649787035026421E-3</v>
      </c>
      <c r="T134" s="62">
        <f t="shared" si="80"/>
        <v>0</v>
      </c>
      <c r="U134" s="62">
        <f t="shared" si="81"/>
        <v>3.4000000000000002E-3</v>
      </c>
      <c r="V134" s="63">
        <f t="shared" si="82"/>
        <v>8.2000000000000059E-3</v>
      </c>
    </row>
    <row r="135" spans="1:25">
      <c r="A135" s="181">
        <v>120</v>
      </c>
      <c r="B135" s="148" t="s">
        <v>339</v>
      </c>
      <c r="C135" s="147" t="s">
        <v>335</v>
      </c>
      <c r="D135" s="38">
        <v>33926939.838707998</v>
      </c>
      <c r="E135" s="34">
        <f t="shared" si="88"/>
        <v>1.8629104011199621E-5</v>
      </c>
      <c r="F135" s="33">
        <v>1357.0770507923999</v>
      </c>
      <c r="G135" s="33">
        <v>1357.1313263843999</v>
      </c>
      <c r="H135" s="35">
        <v>1</v>
      </c>
      <c r="I135" s="56">
        <v>0</v>
      </c>
      <c r="J135" s="56">
        <v>0</v>
      </c>
      <c r="K135" s="38">
        <f>25029.68*W140</f>
        <v>33630874.229263999</v>
      </c>
      <c r="L135" s="34">
        <f t="shared" si="77"/>
        <v>1.8580915465352513E-5</v>
      </c>
      <c r="M135" s="33">
        <f>1.000138*W140</f>
        <v>1343.8252222924</v>
      </c>
      <c r="N135" s="33">
        <f>1.000178*W140</f>
        <v>1343.8789678844</v>
      </c>
      <c r="O135" s="35">
        <v>1</v>
      </c>
      <c r="P135" s="56">
        <v>0</v>
      </c>
      <c r="Q135" s="56">
        <v>0</v>
      </c>
      <c r="R135" s="62">
        <f>((K135-D135)/D135)</f>
        <v>-8.7265639297715858E-3</v>
      </c>
      <c r="S135" s="62">
        <f>((N135-G135)/G135)</f>
        <v>-9.7649787035025987E-3</v>
      </c>
      <c r="T135" s="62">
        <f>((O135-H135)/H135)</f>
        <v>0</v>
      </c>
      <c r="U135" s="62">
        <f>P135-I135</f>
        <v>0</v>
      </c>
      <c r="V135" s="63">
        <f>Q135-J135</f>
        <v>0</v>
      </c>
    </row>
    <row r="136" spans="1:25">
      <c r="A136" s="181">
        <v>121</v>
      </c>
      <c r="B136" s="148" t="s">
        <v>187</v>
      </c>
      <c r="C136" s="147" t="s">
        <v>102</v>
      </c>
      <c r="D136" s="38">
        <v>39944879076.908401</v>
      </c>
      <c r="E136" s="34">
        <f>(D136/$D$161)</f>
        <v>2.1933522757319697E-2</v>
      </c>
      <c r="F136" s="38">
        <v>143192.580594</v>
      </c>
      <c r="G136" s="38">
        <v>143192.580594</v>
      </c>
      <c r="H136" s="35">
        <v>906</v>
      </c>
      <c r="I136" s="59">
        <v>1.0699999999999999E-2</v>
      </c>
      <c r="J136" s="56">
        <v>0.10970000000000001</v>
      </c>
      <c r="K136" s="38">
        <f>29693068*W140</f>
        <v>39896787948.906395</v>
      </c>
      <c r="L136" s="34">
        <f t="shared" si="77"/>
        <v>2.2042806237033943E-2</v>
      </c>
      <c r="M136" s="38">
        <f>106.14*W140</f>
        <v>142613.92837199999</v>
      </c>
      <c r="N136" s="38">
        <f>106.14*W140</f>
        <v>142613.92837199999</v>
      </c>
      <c r="O136" s="35">
        <v>909</v>
      </c>
      <c r="P136" s="59">
        <v>5.7000000000000002E-3</v>
      </c>
      <c r="Q136" s="56">
        <v>0.12239999999999999</v>
      </c>
      <c r="R136" s="62">
        <f t="shared" si="78"/>
        <v>-1.2039372533689148E-3</v>
      </c>
      <c r="S136" s="62">
        <f t="shared" si="79"/>
        <v>-4.0410768462975149E-3</v>
      </c>
      <c r="T136" s="62">
        <f t="shared" si="80"/>
        <v>3.3112582781456954E-3</v>
      </c>
      <c r="U136" s="62">
        <f t="shared" si="81"/>
        <v>-4.9999999999999992E-3</v>
      </c>
      <c r="V136" s="63">
        <f t="shared" si="82"/>
        <v>1.2699999999999989E-2</v>
      </c>
    </row>
    <row r="137" spans="1:25">
      <c r="A137" s="181">
        <v>122</v>
      </c>
      <c r="B137" s="148" t="s">
        <v>188</v>
      </c>
      <c r="C137" s="147" t="s">
        <v>44</v>
      </c>
      <c r="D137" s="38">
        <v>2743104064.6193938</v>
      </c>
      <c r="E137" s="34">
        <f>(D137/$D$161)</f>
        <v>1.5062239971032172E-3</v>
      </c>
      <c r="F137" s="38">
        <v>217821.51959399998</v>
      </c>
      <c r="G137" s="38">
        <v>226546.321008</v>
      </c>
      <c r="H137" s="35">
        <v>53</v>
      </c>
      <c r="I137" s="56">
        <v>5.7000000000000002E-3</v>
      </c>
      <c r="J137" s="56">
        <v>-2.86E-2</v>
      </c>
      <c r="K137" s="38">
        <f>2029675.89*W140</f>
        <v>2727153306.9044218</v>
      </c>
      <c r="L137" s="34">
        <f t="shared" si="77"/>
        <v>1.5067406428749439E-3</v>
      </c>
      <c r="M137" s="38">
        <f>161.178695*W140</f>
        <v>216566.10951406098</v>
      </c>
      <c r="N137" s="38">
        <f>167.665399*W140</f>
        <v>225281.9031792802</v>
      </c>
      <c r="O137" s="35">
        <v>54</v>
      </c>
      <c r="P137" s="56">
        <v>-1.6999999999999999E-3</v>
      </c>
      <c r="Q137" s="56">
        <v>-3.0300000000000001E-2</v>
      </c>
      <c r="R137" s="62">
        <f t="shared" ref="R137:R138" si="91">((K137-D137)/D137)</f>
        <v>-5.8148569427989199E-3</v>
      </c>
      <c r="S137" s="62">
        <f t="shared" ref="S137:S138" si="92">((N137-G137)/G137)</f>
        <v>-5.5812772553263E-3</v>
      </c>
      <c r="T137" s="62">
        <f t="shared" ref="T137:T138" si="93">((O137-H137)/H137)</f>
        <v>1.8867924528301886E-2</v>
      </c>
      <c r="U137" s="62">
        <f t="shared" ref="U137:U138" si="94">P137-I137</f>
        <v>-7.4000000000000003E-3</v>
      </c>
      <c r="V137" s="63">
        <f t="shared" ref="V137:V138" si="95">Q137-J137</f>
        <v>-1.7000000000000001E-3</v>
      </c>
    </row>
    <row r="138" spans="1:25" ht="15" customHeight="1">
      <c r="A138" s="181">
        <v>123</v>
      </c>
      <c r="B138" s="148" t="s">
        <v>189</v>
      </c>
      <c r="C138" s="147" t="s">
        <v>51</v>
      </c>
      <c r="D138" s="33">
        <v>155283472352.07001</v>
      </c>
      <c r="E138" s="34">
        <f>(D138/$D$161)</f>
        <v>8.5265336968779679E-2</v>
      </c>
      <c r="F138" s="38">
        <v>172242.88299081</v>
      </c>
      <c r="G138" s="38">
        <v>172242.88299081</v>
      </c>
      <c r="H138" s="35">
        <v>4359</v>
      </c>
      <c r="I138" s="56">
        <v>1.4E-3</v>
      </c>
      <c r="J138" s="56">
        <v>5.8900000000000001E-2</v>
      </c>
      <c r="K138" s="33">
        <f>113395306.19*1345.25</f>
        <v>152545035652.0975</v>
      </c>
      <c r="L138" s="34">
        <f t="shared" si="77"/>
        <v>8.4280485627234308E-2</v>
      </c>
      <c r="M138" s="38">
        <f>126.886*1345.25</f>
        <v>170693.3915</v>
      </c>
      <c r="N138" s="38">
        <f>126.886*1345.25</f>
        <v>170693.3915</v>
      </c>
      <c r="O138" s="35">
        <v>4372</v>
      </c>
      <c r="P138" s="56">
        <v>1.1000000000000001E-3</v>
      </c>
      <c r="Q138" s="56">
        <v>5.8999999999999997E-2</v>
      </c>
      <c r="R138" s="62">
        <f t="shared" si="91"/>
        <v>-1.7635081560796892E-2</v>
      </c>
      <c r="S138" s="62">
        <f t="shared" si="92"/>
        <v>-8.9959681578987306E-3</v>
      </c>
      <c r="T138" s="62">
        <f t="shared" si="93"/>
        <v>2.9823353980270705E-3</v>
      </c>
      <c r="U138" s="62">
        <f t="shared" si="94"/>
        <v>-2.9999999999999992E-4</v>
      </c>
      <c r="V138" s="63">
        <f t="shared" si="95"/>
        <v>9.9999999999995925E-5</v>
      </c>
    </row>
    <row r="139" spans="1:25">
      <c r="A139" s="76"/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</row>
    <row r="140" spans="1:25">
      <c r="A140" s="193" t="s">
        <v>190</v>
      </c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83">
        <v>1343.6397999999999</v>
      </c>
      <c r="Y140" s="123"/>
    </row>
    <row r="141" spans="1:25">
      <c r="A141" s="181">
        <v>124</v>
      </c>
      <c r="B141" s="148" t="s">
        <v>332</v>
      </c>
      <c r="C141" s="147" t="s">
        <v>333</v>
      </c>
      <c r="D141" s="33">
        <v>455441608.22437197</v>
      </c>
      <c r="E141" s="34">
        <f>(D141/$D$161)</f>
        <v>2.5008058878802074E-4</v>
      </c>
      <c r="F141" s="38">
        <v>1370.4586979999999</v>
      </c>
      <c r="G141" s="38">
        <v>1370.4586979999999</v>
      </c>
      <c r="H141" s="35">
        <v>35</v>
      </c>
      <c r="I141" s="56">
        <v>7.0400000000000004E-2</v>
      </c>
      <c r="J141" s="56">
        <v>7.0699999999999999E-2</v>
      </c>
      <c r="K141" s="33">
        <f>334812.51*W140</f>
        <v>449867413.97389799</v>
      </c>
      <c r="L141" s="34">
        <f>(K141/$K$161)</f>
        <v>2.4854983943272519E-4</v>
      </c>
      <c r="M141" s="38">
        <f>1.01*W140</f>
        <v>1357.076198</v>
      </c>
      <c r="N141" s="38">
        <f>1.01*W140</f>
        <v>1357.076198</v>
      </c>
      <c r="O141" s="35">
        <v>36</v>
      </c>
      <c r="P141" s="56">
        <v>6.83E-2</v>
      </c>
      <c r="Q141" s="56">
        <v>7.0999999999999994E-2</v>
      </c>
      <c r="R141" s="62">
        <f>((K141-D141)/D141)</f>
        <v>-1.223909750408194E-2</v>
      </c>
      <c r="S141" s="62">
        <f>((N141-G141)/G141)</f>
        <v>-9.7649787035026265E-3</v>
      </c>
      <c r="T141" s="62">
        <f>((O141-H141)/H141)</f>
        <v>2.8571428571428571E-2</v>
      </c>
      <c r="U141" s="62">
        <f>P141-I141</f>
        <v>-2.1000000000000046E-3</v>
      </c>
      <c r="V141" s="63">
        <f>Q141-J141</f>
        <v>2.9999999999999472E-4</v>
      </c>
      <c r="W141" s="83"/>
      <c r="Y141" s="123"/>
    </row>
    <row r="142" spans="1:25">
      <c r="A142" s="181">
        <v>125</v>
      </c>
      <c r="B142" s="148" t="s">
        <v>191</v>
      </c>
      <c r="C142" s="147" t="s">
        <v>62</v>
      </c>
      <c r="D142" s="33">
        <v>1583726916.061038</v>
      </c>
      <c r="E142" s="34">
        <f>(D142/$D$161)</f>
        <v>8.6961610993799071E-4</v>
      </c>
      <c r="F142" s="38">
        <v>161537.73069</v>
      </c>
      <c r="G142" s="38">
        <v>161537.73069</v>
      </c>
      <c r="H142" s="35">
        <v>76</v>
      </c>
      <c r="I142" s="56">
        <v>1.2699999999999999E-2</v>
      </c>
      <c r="J142" s="56">
        <v>0.10829999999999999</v>
      </c>
      <c r="K142" s="33">
        <f>1177368.52*W140</f>
        <v>1581959202.7390959</v>
      </c>
      <c r="L142" s="34">
        <f>(K142/$K$161)</f>
        <v>8.7402575429199254E-4</v>
      </c>
      <c r="M142" s="38">
        <f>118.33*W140</f>
        <v>158992.89753399999</v>
      </c>
      <c r="N142" s="38">
        <f>118.33*W140</f>
        <v>158992.89753399999</v>
      </c>
      <c r="O142" s="35">
        <v>76</v>
      </c>
      <c r="P142" s="56">
        <v>8.3999999999999995E-3</v>
      </c>
      <c r="Q142" s="56">
        <v>7.9399999999999998E-2</v>
      </c>
      <c r="R142" s="62">
        <f>((K142-D142)/D142)</f>
        <v>-1.1161730624233213E-3</v>
      </c>
      <c r="S142" s="62">
        <f>((N142-G142)/G142)</f>
        <v>-1.5753800335871291E-2</v>
      </c>
      <c r="T142" s="62">
        <f>((O142-H142)/H142)</f>
        <v>0</v>
      </c>
      <c r="U142" s="62">
        <f>P142-I142</f>
        <v>-4.3E-3</v>
      </c>
      <c r="V142" s="63">
        <f>Q142-J142</f>
        <v>-2.8899999999999995E-2</v>
      </c>
    </row>
    <row r="143" spans="1:25">
      <c r="A143" s="181">
        <v>126</v>
      </c>
      <c r="B143" s="147" t="s">
        <v>192</v>
      </c>
      <c r="C143" s="147" t="s">
        <v>25</v>
      </c>
      <c r="D143" s="38">
        <v>28240681144.914543</v>
      </c>
      <c r="E143" s="34">
        <f>(D143/$D$161)</f>
        <v>1.5506809305432832E-2</v>
      </c>
      <c r="F143" s="33">
        <v>186558.77860200001</v>
      </c>
      <c r="G143" s="33">
        <v>186558.77860200001</v>
      </c>
      <c r="H143" s="35">
        <v>677</v>
      </c>
      <c r="I143" s="56">
        <v>5.0000000000000001E-4</v>
      </c>
      <c r="J143" s="56">
        <v>1.38E-2</v>
      </c>
      <c r="K143" s="38">
        <f>20315041.09*W140</f>
        <v>27296097747.159382</v>
      </c>
      <c r="L143" s="34">
        <f>(K143/$K$161)</f>
        <v>1.5080978309289323E-2</v>
      </c>
      <c r="M143" s="33">
        <f>137.62*W140</f>
        <v>184911.70927600001</v>
      </c>
      <c r="N143" s="33">
        <f>137.62*W140</f>
        <v>184911.70927600001</v>
      </c>
      <c r="O143" s="35">
        <v>678</v>
      </c>
      <c r="P143" s="56">
        <v>5.0000000000000001E-4</v>
      </c>
      <c r="Q143" s="56">
        <v>1.4800000000000001E-2</v>
      </c>
      <c r="R143" s="62">
        <f t="shared" ref="R143:R161" si="96">((K143-D143)/D143)</f>
        <v>-3.3447613848551161E-2</v>
      </c>
      <c r="S143" s="62">
        <f t="shared" ref="S143:S161" si="97">((N143-G143)/G143)</f>
        <v>-8.8286884077099104E-3</v>
      </c>
      <c r="T143" s="62">
        <f t="shared" ref="T143:T161" si="98">((O143-H143)/H143)</f>
        <v>1.4771048744460858E-3</v>
      </c>
      <c r="U143" s="62">
        <f t="shared" ref="U143:U161" si="99">P143-I143</f>
        <v>0</v>
      </c>
      <c r="V143" s="63">
        <f t="shared" ref="V143:V161" si="100">Q143-J143</f>
        <v>1.0000000000000009E-3</v>
      </c>
    </row>
    <row r="144" spans="1:25">
      <c r="A144" s="181">
        <v>127</v>
      </c>
      <c r="B144" s="147" t="s">
        <v>193</v>
      </c>
      <c r="C144" s="147" t="s">
        <v>135</v>
      </c>
      <c r="D144" s="38">
        <v>602049561.85835993</v>
      </c>
      <c r="E144" s="34">
        <f>(D144/$D$161)</f>
        <v>3.3058224411269685E-4</v>
      </c>
      <c r="F144" s="33">
        <v>140031.02736000001</v>
      </c>
      <c r="G144" s="33">
        <v>140031.02736000001</v>
      </c>
      <c r="H144" s="35">
        <v>22</v>
      </c>
      <c r="I144" s="56">
        <v>8.0000000000000004E-4</v>
      </c>
      <c r="J144" s="56">
        <v>1.746E-2</v>
      </c>
      <c r="K144" s="38">
        <f>417404.95*W140</f>
        <v>560841903.53700995</v>
      </c>
      <c r="L144" s="34">
        <f>(K144/$K$161)</f>
        <v>3.0986277454484801E-4</v>
      </c>
      <c r="M144" s="33">
        <f>103.19*W140</f>
        <v>138650.19096199999</v>
      </c>
      <c r="N144" s="33">
        <f>103.19*W140</f>
        <v>138650.19096199999</v>
      </c>
      <c r="O144" s="35">
        <v>23</v>
      </c>
      <c r="P144" s="56">
        <v>8.0000000000000004E-4</v>
      </c>
      <c r="Q144" s="56">
        <v>2.0160000000000001E-2</v>
      </c>
      <c r="R144" s="62">
        <v>0</v>
      </c>
      <c r="S144" s="62">
        <f t="shared" ref="S144" si="101">((N144-G144)/G144)</f>
        <v>-9.8609317094423554E-3</v>
      </c>
      <c r="T144" s="62">
        <f t="shared" ref="T144" si="102">((O144-H144)/H144)</f>
        <v>4.5454545454545456E-2</v>
      </c>
      <c r="U144" s="62">
        <f t="shared" ref="U144" si="103">P144-I144</f>
        <v>0</v>
      </c>
      <c r="V144" s="63">
        <f t="shared" ref="V144" si="104">Q144-J144</f>
        <v>2.700000000000001E-3</v>
      </c>
    </row>
    <row r="145" spans="1:24">
      <c r="A145" s="181">
        <v>128</v>
      </c>
      <c r="B145" s="148" t="s">
        <v>194</v>
      </c>
      <c r="C145" s="147" t="s">
        <v>71</v>
      </c>
      <c r="D145" s="33">
        <v>17187933213.799999</v>
      </c>
      <c r="E145" s="34">
        <f>(D145/$D$161)</f>
        <v>9.437803618589681E-3</v>
      </c>
      <c r="F145" s="33">
        <v>163724.65</v>
      </c>
      <c r="G145" s="33">
        <v>163724.65</v>
      </c>
      <c r="H145" s="35">
        <v>470</v>
      </c>
      <c r="I145" s="56">
        <v>1.1999999999999999E-3</v>
      </c>
      <c r="J145" s="56">
        <v>6.4699999999999994E-2</v>
      </c>
      <c r="K145" s="33">
        <v>17233993783.279999</v>
      </c>
      <c r="L145" s="34">
        <f t="shared" ref="L145:L146" si="105">(K145/$K$117)</f>
        <v>7.2670040046177428E-2</v>
      </c>
      <c r="M145" s="33">
        <v>162825.62</v>
      </c>
      <c r="N145" s="33">
        <v>162825.62</v>
      </c>
      <c r="O145" s="35">
        <v>471</v>
      </c>
      <c r="P145" s="56">
        <v>1.1999999999999999E-3</v>
      </c>
      <c r="Q145" s="56">
        <v>6.5500000000000003E-2</v>
      </c>
      <c r="R145" s="62">
        <f t="shared" si="96"/>
        <v>2.6798201335235597E-3</v>
      </c>
      <c r="S145" s="62">
        <f t="shared" si="97"/>
        <v>-5.4911096160535321E-3</v>
      </c>
      <c r="T145" s="62">
        <f t="shared" si="98"/>
        <v>2.1276595744680851E-3</v>
      </c>
      <c r="U145" s="62">
        <f t="shared" si="99"/>
        <v>0</v>
      </c>
      <c r="V145" s="63">
        <f t="shared" si="100"/>
        <v>8.0000000000000904E-4</v>
      </c>
    </row>
    <row r="146" spans="1:24">
      <c r="A146" s="181">
        <v>129</v>
      </c>
      <c r="B146" s="148" t="s">
        <v>195</v>
      </c>
      <c r="C146" s="147" t="s">
        <v>73</v>
      </c>
      <c r="D146" s="38">
        <v>150862657.99756199</v>
      </c>
      <c r="E146" s="34">
        <f t="shared" ref="E146" si="106">(D146/$D$117)</f>
        <v>6.3648278355536269E-4</v>
      </c>
      <c r="F146" s="37">
        <v>1431.3830500199999</v>
      </c>
      <c r="G146" s="37">
        <v>1431.3830500199999</v>
      </c>
      <c r="H146" s="35">
        <v>7</v>
      </c>
      <c r="I146" s="56">
        <v>1.8E-3</v>
      </c>
      <c r="J146" s="56">
        <v>0.1075</v>
      </c>
      <c r="K146" s="38">
        <f>111468.65*W140</f>
        <v>149773714.59226999</v>
      </c>
      <c r="L146" s="34">
        <f t="shared" si="105"/>
        <v>6.3154611601661719E-4</v>
      </c>
      <c r="M146" s="37">
        <f>1.0576*W140</f>
        <v>1421.0334524800001</v>
      </c>
      <c r="N146" s="37">
        <f>1.0576*W140</f>
        <v>1421.0334524800001</v>
      </c>
      <c r="O146" s="35">
        <v>7</v>
      </c>
      <c r="P146" s="56">
        <v>2.5999999999999999E-3</v>
      </c>
      <c r="Q146" s="56">
        <v>8.5199999999999998E-2</v>
      </c>
      <c r="R146" s="61">
        <f t="shared" si="96"/>
        <v>-7.2181109609616061E-3</v>
      </c>
      <c r="S146" s="61">
        <f t="shared" si="97"/>
        <v>-7.2304877019853404E-3</v>
      </c>
      <c r="T146" s="61">
        <f t="shared" si="98"/>
        <v>0</v>
      </c>
      <c r="U146" s="62">
        <f t="shared" si="99"/>
        <v>7.9999999999999993E-4</v>
      </c>
      <c r="V146" s="63">
        <f t="shared" si="100"/>
        <v>-2.23E-2</v>
      </c>
    </row>
    <row r="147" spans="1:24">
      <c r="A147" s="181">
        <v>130</v>
      </c>
      <c r="B147" s="148" t="s">
        <v>196</v>
      </c>
      <c r="C147" s="147" t="s">
        <v>69</v>
      </c>
      <c r="D147" s="33">
        <v>12355826802.848801</v>
      </c>
      <c r="E147" s="34">
        <f t="shared" ref="E147:E160" si="107">(D147/$D$161)</f>
        <v>6.784519433492296E-3</v>
      </c>
      <c r="F147" s="33">
        <v>1854.5158408233101</v>
      </c>
      <c r="G147" s="33">
        <v>1854.5158408233101</v>
      </c>
      <c r="H147" s="35">
        <v>350</v>
      </c>
      <c r="I147" s="56">
        <v>7.0099999999999996E-2</v>
      </c>
      <c r="J147" s="56">
        <v>6.9800000000000001E-2</v>
      </c>
      <c r="K147" s="33">
        <v>12728390482.0228</v>
      </c>
      <c r="L147" s="34">
        <f t="shared" ref="L147:L160" si="108">(K147/$K$161)</f>
        <v>7.0323817913323103E-3</v>
      </c>
      <c r="M147" s="33">
        <v>1838.56470679483</v>
      </c>
      <c r="N147" s="33">
        <v>1838.56470679483</v>
      </c>
      <c r="O147" s="35">
        <v>360</v>
      </c>
      <c r="P147" s="56">
        <v>7.9899999999999999E-2</v>
      </c>
      <c r="Q147" s="56">
        <v>7.0599999999999996E-2</v>
      </c>
      <c r="R147" s="62">
        <f t="shared" si="96"/>
        <v>3.0152873224809227E-2</v>
      </c>
      <c r="S147" s="62">
        <f t="shared" si="97"/>
        <v>-8.601239028186769E-3</v>
      </c>
      <c r="T147" s="61">
        <f t="shared" si="98"/>
        <v>2.8571428571428571E-2</v>
      </c>
      <c r="U147" s="62">
        <f t="shared" si="99"/>
        <v>9.8000000000000032E-3</v>
      </c>
      <c r="V147" s="63">
        <f t="shared" si="100"/>
        <v>7.9999999999999516E-4</v>
      </c>
    </row>
    <row r="148" spans="1:24">
      <c r="A148" s="181">
        <v>131</v>
      </c>
      <c r="B148" s="148" t="s">
        <v>197</v>
      </c>
      <c r="C148" s="147" t="s">
        <v>92</v>
      </c>
      <c r="D148" s="33">
        <v>271678673.917476</v>
      </c>
      <c r="E148" s="34">
        <f t="shared" si="107"/>
        <v>1.4917732922847024E-4</v>
      </c>
      <c r="F148" s="33">
        <v>1424.7342899999999</v>
      </c>
      <c r="G148" s="33">
        <v>1424.7342899999999</v>
      </c>
      <c r="H148" s="35">
        <v>11</v>
      </c>
      <c r="I148" s="56">
        <v>6.7299999999999999E-2</v>
      </c>
      <c r="J148" s="56">
        <v>6.7299999999999999E-2</v>
      </c>
      <c r="K148" s="33">
        <f>200397.56*W140</f>
        <v>269262137.43888795</v>
      </c>
      <c r="L148" s="34">
        <f t="shared" si="108"/>
        <v>1.4876618965256079E-4</v>
      </c>
      <c r="M148" s="33">
        <f>1.05*W140</f>
        <v>1410.82179</v>
      </c>
      <c r="N148" s="33">
        <f>1.05*W140</f>
        <v>1410.82179</v>
      </c>
      <c r="O148" s="35">
        <v>11</v>
      </c>
      <c r="P148" s="56">
        <v>6.7299999999999999E-2</v>
      </c>
      <c r="Q148" s="56">
        <v>6.7299999999999999E-2</v>
      </c>
      <c r="R148" s="62">
        <f t="shared" si="96"/>
        <v>-8.8948331635411385E-3</v>
      </c>
      <c r="S148" s="62">
        <f t="shared" si="97"/>
        <v>-9.7649787035026091E-3</v>
      </c>
      <c r="T148" s="61">
        <f t="shared" si="98"/>
        <v>0</v>
      </c>
      <c r="U148" s="62">
        <f t="shared" si="99"/>
        <v>0</v>
      </c>
      <c r="V148" s="63">
        <f t="shared" si="100"/>
        <v>0</v>
      </c>
    </row>
    <row r="149" spans="1:24" ht="15.6">
      <c r="A149" s="181">
        <v>132</v>
      </c>
      <c r="B149" s="148" t="s">
        <v>198</v>
      </c>
      <c r="C149" s="147" t="s">
        <v>36</v>
      </c>
      <c r="D149" s="33">
        <v>132658189493.558</v>
      </c>
      <c r="E149" s="34">
        <f t="shared" si="107"/>
        <v>7.2841913292555682E-2</v>
      </c>
      <c r="F149" s="33">
        <v>135688.97999999998</v>
      </c>
      <c r="G149" s="33">
        <v>135688.97999999998</v>
      </c>
      <c r="H149" s="35">
        <v>3044</v>
      </c>
      <c r="I149" s="56">
        <v>4.6899999999999997E-2</v>
      </c>
      <c r="J149" s="56">
        <v>5.0700000000000002E-2</v>
      </c>
      <c r="K149" s="33">
        <v>134390024912.851</v>
      </c>
      <c r="L149" s="34">
        <f t="shared" si="108"/>
        <v>7.4249919144815241E-2</v>
      </c>
      <c r="M149" s="33">
        <f>100*W140</f>
        <v>134363.97999999998</v>
      </c>
      <c r="N149" s="33">
        <f>100*W140</f>
        <v>134363.97999999998</v>
      </c>
      <c r="O149" s="35">
        <v>3135</v>
      </c>
      <c r="P149" s="56">
        <v>4.4400000000000002E-2</v>
      </c>
      <c r="Q149" s="56">
        <v>5.0299999999999997E-2</v>
      </c>
      <c r="R149" s="62">
        <f t="shared" si="96"/>
        <v>1.3054870007683158E-2</v>
      </c>
      <c r="S149" s="62">
        <f t="shared" si="97"/>
        <v>-9.7649787035026733E-3</v>
      </c>
      <c r="T149" s="62">
        <f t="shared" si="98"/>
        <v>2.9894875164257557E-2</v>
      </c>
      <c r="U149" s="62">
        <f t="shared" si="99"/>
        <v>-2.4999999999999953E-3</v>
      </c>
      <c r="V149" s="63">
        <f t="shared" si="100"/>
        <v>-4.0000000000000452E-4</v>
      </c>
      <c r="X149" s="84"/>
    </row>
    <row r="150" spans="1:24" ht="15.6">
      <c r="A150" s="181">
        <v>133</v>
      </c>
      <c r="B150" s="148" t="s">
        <v>199</v>
      </c>
      <c r="C150" s="147" t="s">
        <v>149</v>
      </c>
      <c r="D150" s="33">
        <v>1524849540.8555217</v>
      </c>
      <c r="E150" s="34">
        <f t="shared" si="107"/>
        <v>8.3728685325216989E-4</v>
      </c>
      <c r="F150" s="33">
        <v>1560.4232699999998</v>
      </c>
      <c r="G150" s="33">
        <v>1560.4232699999998</v>
      </c>
      <c r="H150" s="35">
        <v>53</v>
      </c>
      <c r="I150" s="56">
        <v>1.9E-3</v>
      </c>
      <c r="J150" s="56">
        <v>0.1124</v>
      </c>
      <c r="K150" s="33">
        <f>1125582.6*W140</f>
        <v>1512377579.5474801</v>
      </c>
      <c r="L150" s="34">
        <f t="shared" si="108"/>
        <v>8.3558220240417347E-4</v>
      </c>
      <c r="M150" s="33">
        <f>1.15*W140</f>
        <v>1545.1857699999998</v>
      </c>
      <c r="N150" s="33">
        <f>1.15*W140</f>
        <v>1545.1857699999998</v>
      </c>
      <c r="O150" s="35">
        <v>53</v>
      </c>
      <c r="P150" s="56">
        <v>1.9E-3</v>
      </c>
      <c r="Q150" s="56">
        <v>0.1193</v>
      </c>
      <c r="R150" s="62">
        <f t="shared" si="96"/>
        <v>-8.1791422523196222E-3</v>
      </c>
      <c r="S150" s="62">
        <f t="shared" si="97"/>
        <v>-9.7649787035026438E-3</v>
      </c>
      <c r="T150" s="62">
        <f t="shared" si="98"/>
        <v>0</v>
      </c>
      <c r="U150" s="62">
        <f t="shared" si="99"/>
        <v>0</v>
      </c>
      <c r="V150" s="63">
        <f t="shared" si="100"/>
        <v>6.9000000000000034E-3</v>
      </c>
      <c r="X150" s="84"/>
    </row>
    <row r="151" spans="1:24" ht="15.6">
      <c r="A151" s="181">
        <v>134</v>
      </c>
      <c r="B151" s="148" t="s">
        <v>326</v>
      </c>
      <c r="C151" s="147" t="s">
        <v>42</v>
      </c>
      <c r="D151" s="38">
        <v>10741710066.134123</v>
      </c>
      <c r="E151" s="34">
        <f t="shared" si="107"/>
        <v>5.8982164330616815E-3</v>
      </c>
      <c r="F151" s="33">
        <v>14572.996451999999</v>
      </c>
      <c r="G151" s="33">
        <v>14572.996451999999</v>
      </c>
      <c r="H151" s="35">
        <v>189</v>
      </c>
      <c r="I151" s="56">
        <v>5.6000000000000001E-2</v>
      </c>
      <c r="J151" s="56">
        <v>7.4300000000000005E-2</v>
      </c>
      <c r="K151" s="38">
        <f>7825627.28*W140</f>
        <v>10514824273.373743</v>
      </c>
      <c r="L151" s="34">
        <f t="shared" si="108"/>
        <v>5.8093958433762041E-3</v>
      </c>
      <c r="M151" s="33">
        <f>10.77*W140</f>
        <v>14471.000645999999</v>
      </c>
      <c r="N151" s="33">
        <f>10.77*W140</f>
        <v>14471.000645999999</v>
      </c>
      <c r="O151" s="35">
        <v>185</v>
      </c>
      <c r="P151" s="56">
        <v>5.7500000000000002E-2</v>
      </c>
      <c r="Q151" s="56">
        <v>7.5800000000000006E-2</v>
      </c>
      <c r="R151" s="62">
        <f t="shared" si="96"/>
        <v>-2.1121943467427309E-2</v>
      </c>
      <c r="S151" s="62">
        <f t="shared" si="97"/>
        <v>-6.9989590909426795E-3</v>
      </c>
      <c r="T151" s="62">
        <f t="shared" si="98"/>
        <v>-2.1164021164021163E-2</v>
      </c>
      <c r="U151" s="62">
        <f t="shared" si="99"/>
        <v>1.5000000000000013E-3</v>
      </c>
      <c r="V151" s="63">
        <f t="shared" si="100"/>
        <v>1.5000000000000013E-3</v>
      </c>
      <c r="X151" s="84"/>
    </row>
    <row r="152" spans="1:24" ht="15.6">
      <c r="A152" s="181">
        <v>135</v>
      </c>
      <c r="B152" s="147" t="s">
        <v>200</v>
      </c>
      <c r="C152" s="149" t="s">
        <v>46</v>
      </c>
      <c r="D152" s="33">
        <v>30646267504.549999</v>
      </c>
      <c r="E152" s="34">
        <f t="shared" si="107"/>
        <v>1.6827704108047559E-2</v>
      </c>
      <c r="F152" s="33">
        <v>1492.5787800000001</v>
      </c>
      <c r="G152" s="33">
        <v>1492.5787800000001</v>
      </c>
      <c r="H152" s="35">
        <v>598</v>
      </c>
      <c r="I152" s="56">
        <v>5.4999999999999997E-3</v>
      </c>
      <c r="J152" s="56">
        <v>4.9299999999999997E-2</v>
      </c>
      <c r="K152" s="33">
        <v>29870166154.169998</v>
      </c>
      <c r="L152" s="34">
        <f t="shared" si="108"/>
        <v>1.6503140193831735E-2</v>
      </c>
      <c r="M152" s="33">
        <f>1.1*W140</f>
        <v>1478.00378</v>
      </c>
      <c r="N152" s="33">
        <f>1.11*W140</f>
        <v>1491.4401780000001</v>
      </c>
      <c r="O152" s="35">
        <v>601</v>
      </c>
      <c r="P152" s="56">
        <v>6.0000000000000001E-3</v>
      </c>
      <c r="Q152" s="56">
        <v>6.7400000000000002E-2</v>
      </c>
      <c r="R152" s="62">
        <f t="shared" si="96"/>
        <v>-2.5324498334577762E-2</v>
      </c>
      <c r="S152" s="62">
        <f t="shared" si="97"/>
        <v>-7.6284214626178167E-4</v>
      </c>
      <c r="T152" s="62">
        <f t="shared" si="98"/>
        <v>5.016722408026756E-3</v>
      </c>
      <c r="U152" s="62">
        <f t="shared" si="99"/>
        <v>5.0000000000000044E-4</v>
      </c>
      <c r="V152" s="63">
        <f t="shared" si="100"/>
        <v>1.8100000000000005E-2</v>
      </c>
      <c r="X152" s="84"/>
    </row>
    <row r="153" spans="1:24">
      <c r="A153" s="181">
        <v>136</v>
      </c>
      <c r="B153" s="148" t="s">
        <v>201</v>
      </c>
      <c r="C153" s="147" t="s">
        <v>104</v>
      </c>
      <c r="D153" s="38">
        <v>377871269.37599999</v>
      </c>
      <c r="E153" s="34">
        <f t="shared" si="107"/>
        <v>2.0748712420028297E-4</v>
      </c>
      <c r="F153" s="33">
        <v>1506.048</v>
      </c>
      <c r="G153" s="33">
        <v>1506.048</v>
      </c>
      <c r="H153" s="35">
        <v>2</v>
      </c>
      <c r="I153" s="56">
        <v>1.8E-3</v>
      </c>
      <c r="J153" s="56">
        <v>-0.1641</v>
      </c>
      <c r="K153" s="38">
        <f>313555.2*1344.2</f>
        <v>421480899.84000003</v>
      </c>
      <c r="L153" s="34">
        <f t="shared" si="108"/>
        <v>2.3286641069155282E-4</v>
      </c>
      <c r="M153" s="33">
        <f>1.26*1344.2</f>
        <v>1693.692</v>
      </c>
      <c r="N153" s="33">
        <f>1.26*1344.2</f>
        <v>1693.692</v>
      </c>
      <c r="O153" s="35">
        <v>2</v>
      </c>
      <c r="P153" s="56">
        <v>5.9999999999999995E-4</v>
      </c>
      <c r="Q153" s="56">
        <v>-0.17660000000000001</v>
      </c>
      <c r="R153" s="62">
        <f t="shared" si="96"/>
        <v>0.11540869602501157</v>
      </c>
      <c r="S153" s="62">
        <f t="shared" si="97"/>
        <v>0.12459363844977053</v>
      </c>
      <c r="T153" s="62">
        <f t="shared" si="98"/>
        <v>0</v>
      </c>
      <c r="U153" s="62">
        <f t="shared" ref="U153" si="109">P153-I153</f>
        <v>-1.2000000000000001E-3</v>
      </c>
      <c r="V153" s="63">
        <f t="shared" ref="V153" si="110">Q153-J153</f>
        <v>-1.2500000000000011E-2</v>
      </c>
    </row>
    <row r="154" spans="1:24">
      <c r="A154" s="181">
        <v>137</v>
      </c>
      <c r="B154" s="148" t="s">
        <v>202</v>
      </c>
      <c r="C154" s="147" t="s">
        <v>109</v>
      </c>
      <c r="D154" s="38">
        <v>756107627.4904319</v>
      </c>
      <c r="E154" s="34">
        <f t="shared" si="107"/>
        <v>4.1517471670433572E-4</v>
      </c>
      <c r="F154" s="33">
        <v>1467.4763186999999</v>
      </c>
      <c r="G154" s="33">
        <v>1467.4763186999999</v>
      </c>
      <c r="H154" s="35">
        <v>12</v>
      </c>
      <c r="I154" s="56">
        <v>6.1000000000000004E-3</v>
      </c>
      <c r="J154" s="56">
        <v>4.5199999999999997E-2</v>
      </c>
      <c r="K154" s="38">
        <f>559077.91*W140</f>
        <v>751199331.17681801</v>
      </c>
      <c r="L154" s="34">
        <f t="shared" si="108"/>
        <v>4.1503444647538287E-4</v>
      </c>
      <c r="M154" s="33">
        <f>1.0851*W140</f>
        <v>1457.9835469799998</v>
      </c>
      <c r="N154" s="33">
        <f>1.0851*W140</f>
        <v>1457.9835469799998</v>
      </c>
      <c r="O154" s="35">
        <v>13</v>
      </c>
      <c r="P154" s="56">
        <v>3.3E-3</v>
      </c>
      <c r="Q154" s="56">
        <v>5.3499999999999999E-2</v>
      </c>
      <c r="R154" s="62">
        <f t="shared" ref="R154" si="111">((K154-D154)/D154)</f>
        <v>-6.4915312782980799E-3</v>
      </c>
      <c r="S154" s="62">
        <f t="shared" ref="S154" si="112">((N154-G154)/G154)</f>
        <v>-6.4687733621551528E-3</v>
      </c>
      <c r="T154" s="62">
        <f t="shared" si="98"/>
        <v>8.3333333333333329E-2</v>
      </c>
      <c r="U154" s="62">
        <f t="shared" si="99"/>
        <v>-2.8000000000000004E-3</v>
      </c>
      <c r="V154" s="63">
        <f t="shared" si="100"/>
        <v>8.3000000000000018E-3</v>
      </c>
    </row>
    <row r="155" spans="1:24">
      <c r="A155" s="181">
        <v>138</v>
      </c>
      <c r="B155" s="148" t="s">
        <v>203</v>
      </c>
      <c r="C155" s="147" t="s">
        <v>48</v>
      </c>
      <c r="D155" s="38">
        <v>877511422492.29004</v>
      </c>
      <c r="E155" s="34">
        <f t="shared" si="107"/>
        <v>0.48183690124547174</v>
      </c>
      <c r="F155" s="33">
        <v>2295.4899999999998</v>
      </c>
      <c r="G155" s="33">
        <v>2295.4899999999998</v>
      </c>
      <c r="H155" s="35">
        <v>13447</v>
      </c>
      <c r="I155" s="56">
        <v>6.9999999999999999E-4</v>
      </c>
      <c r="J155" s="56">
        <v>9.7000000000000003E-3</v>
      </c>
      <c r="K155" s="38">
        <v>875267306288.40002</v>
      </c>
      <c r="L155" s="34">
        <f t="shared" si="108"/>
        <v>0.48358147685557457</v>
      </c>
      <c r="M155" s="33">
        <v>2273.7399999999998</v>
      </c>
      <c r="N155" s="33">
        <v>2273.7399999999998</v>
      </c>
      <c r="O155" s="35">
        <v>13477</v>
      </c>
      <c r="P155" s="56">
        <v>6.9999999999999999E-4</v>
      </c>
      <c r="Q155" s="56">
        <v>1.04E-2</v>
      </c>
      <c r="R155" s="62">
        <f t="shared" si="96"/>
        <v>-2.5573640939240672E-3</v>
      </c>
      <c r="S155" s="62">
        <f t="shared" si="97"/>
        <v>-9.4751011766550947E-3</v>
      </c>
      <c r="T155" s="62">
        <f t="shared" si="98"/>
        <v>2.2309808879303933E-3</v>
      </c>
      <c r="U155" s="62">
        <f t="shared" si="99"/>
        <v>0</v>
      </c>
      <c r="V155" s="63">
        <f t="shared" si="100"/>
        <v>6.9999999999999923E-4</v>
      </c>
    </row>
    <row r="156" spans="1:24">
      <c r="A156" s="181">
        <v>139</v>
      </c>
      <c r="B156" s="148" t="s">
        <v>204</v>
      </c>
      <c r="C156" s="148" t="s">
        <v>114</v>
      </c>
      <c r="D156" s="38">
        <v>553720132.33992004</v>
      </c>
      <c r="E156" s="34">
        <f t="shared" si="107"/>
        <v>3.0404480885973169E-4</v>
      </c>
      <c r="F156" s="33">
        <v>157032.856554</v>
      </c>
      <c r="G156" s="33">
        <v>157032.856554</v>
      </c>
      <c r="H156" s="35">
        <v>32</v>
      </c>
      <c r="I156" s="56">
        <v>1.5E-3</v>
      </c>
      <c r="J156" s="56">
        <v>1.7899999999999999E-2</v>
      </c>
      <c r="K156" s="38">
        <f>408673.83*W140</f>
        <v>549110423.20643401</v>
      </c>
      <c r="L156" s="34">
        <f t="shared" si="108"/>
        <v>3.0338118138673146E-4</v>
      </c>
      <c r="M156" s="33">
        <f>115.9*W140</f>
        <v>155727.85282</v>
      </c>
      <c r="N156" s="33">
        <f>115.9*W140</f>
        <v>155727.85282</v>
      </c>
      <c r="O156" s="35">
        <v>32</v>
      </c>
      <c r="P156" s="56">
        <v>1.5E-3</v>
      </c>
      <c r="Q156" s="56">
        <v>1.9300000000000001E-2</v>
      </c>
      <c r="R156" s="62">
        <f t="shared" ref="R156" si="113">((K156-D156)/D156)</f>
        <v>-8.324980191719315E-3</v>
      </c>
      <c r="S156" s="62">
        <f t="shared" ref="S156" si="114">((N156-G156)/G156)</f>
        <v>-8.3103865180675571E-3</v>
      </c>
      <c r="T156" s="62">
        <f t="shared" ref="T156" si="115">((O156-H156)/H156)</f>
        <v>0</v>
      </c>
      <c r="U156" s="62">
        <f t="shared" ref="U156" si="116">P156-I156</f>
        <v>0</v>
      </c>
      <c r="V156" s="63">
        <f t="shared" ref="V156" si="117">Q156-J156</f>
        <v>1.4000000000000019E-3</v>
      </c>
    </row>
    <row r="157" spans="1:24" ht="16.5" customHeight="1">
      <c r="A157" s="181">
        <v>140</v>
      </c>
      <c r="B157" s="148" t="s">
        <v>205</v>
      </c>
      <c r="C157" s="147" t="s">
        <v>51</v>
      </c>
      <c r="D157" s="38">
        <v>184284180439.01999</v>
      </c>
      <c r="E157" s="34">
        <f t="shared" si="107"/>
        <v>0.10118947306589497</v>
      </c>
      <c r="F157" s="33">
        <v>1722.65986548</v>
      </c>
      <c r="G157" s="33">
        <v>1722.65986548</v>
      </c>
      <c r="H157" s="35">
        <v>1015</v>
      </c>
      <c r="I157" s="56">
        <v>6.9999999999999999E-4</v>
      </c>
      <c r="J157" s="56">
        <v>5.8500000000000003E-2</v>
      </c>
      <c r="K157" s="38">
        <f>134266572.97*1345.25</f>
        <v>180622107287.89249</v>
      </c>
      <c r="L157" s="34">
        <f t="shared" si="108"/>
        <v>9.9792948699793882E-2</v>
      </c>
      <c r="M157" s="33">
        <f>1.26905*1345.25</f>
        <v>1707.1895125000001</v>
      </c>
      <c r="N157" s="33">
        <f>1.26905*1345.25</f>
        <v>1707.1895125000001</v>
      </c>
      <c r="O157" s="35">
        <v>1016</v>
      </c>
      <c r="P157" s="56">
        <v>1.1000000000000001E-3</v>
      </c>
      <c r="Q157" s="56">
        <v>5.8700000000000002E-2</v>
      </c>
      <c r="R157" s="62">
        <f t="shared" si="96"/>
        <v>-1.9871880171175572E-2</v>
      </c>
      <c r="S157" s="62">
        <f t="shared" si="97"/>
        <v>-8.980503516687709E-3</v>
      </c>
      <c r="T157" s="62">
        <f t="shared" si="98"/>
        <v>9.8522167487684722E-4</v>
      </c>
      <c r="U157" s="62">
        <f t="shared" si="99"/>
        <v>4.0000000000000007E-4</v>
      </c>
      <c r="V157" s="63">
        <f t="shared" si="100"/>
        <v>1.9999999999999879E-4</v>
      </c>
    </row>
    <row r="158" spans="1:24" ht="16.5" customHeight="1">
      <c r="A158" s="181">
        <v>141</v>
      </c>
      <c r="B158" s="148" t="s">
        <v>206</v>
      </c>
      <c r="C158" s="147" t="s">
        <v>111</v>
      </c>
      <c r="D158" s="33">
        <v>2411134834.049437</v>
      </c>
      <c r="E158" s="34">
        <f t="shared" si="107"/>
        <v>1.3239414406980019E-3</v>
      </c>
      <c r="F158" s="33">
        <v>155675.96675399999</v>
      </c>
      <c r="G158" s="33">
        <v>155675.96675399999</v>
      </c>
      <c r="H158" s="35">
        <v>33</v>
      </c>
      <c r="I158" s="56">
        <v>6.6E-3</v>
      </c>
      <c r="J158" s="56">
        <v>2.6200000000000001E-2</v>
      </c>
      <c r="K158" s="33">
        <f>1787222.10587303*W140</f>
        <v>2401382752.8908167</v>
      </c>
      <c r="L158" s="34">
        <f t="shared" si="108"/>
        <v>1.3267537925788931E-3</v>
      </c>
      <c r="M158" s="33">
        <f>115.04*W140</f>
        <v>154572.32259200001</v>
      </c>
      <c r="N158" s="33">
        <f>115.04*W140</f>
        <v>154572.32259200001</v>
      </c>
      <c r="O158" s="35">
        <v>33</v>
      </c>
      <c r="P158" s="56">
        <v>2.8E-3</v>
      </c>
      <c r="Q158" s="56">
        <v>2.9000000000000001E-2</v>
      </c>
      <c r="R158" s="62">
        <f t="shared" si="96"/>
        <v>-4.0446021603204978E-3</v>
      </c>
      <c r="S158" s="62">
        <f t="shared" si="97"/>
        <v>-7.0893676462209917E-3</v>
      </c>
      <c r="T158" s="62">
        <f t="shared" si="98"/>
        <v>0</v>
      </c>
      <c r="U158" s="62">
        <f t="shared" si="99"/>
        <v>-3.8E-3</v>
      </c>
      <c r="V158" s="63">
        <f t="shared" si="100"/>
        <v>2.8000000000000004E-3</v>
      </c>
    </row>
    <row r="159" spans="1:24" ht="16.5" customHeight="1">
      <c r="A159" s="181">
        <v>142</v>
      </c>
      <c r="B159" s="148" t="s">
        <v>207</v>
      </c>
      <c r="C159" s="147" t="s">
        <v>121</v>
      </c>
      <c r="D159" s="33">
        <v>5896303742.254674</v>
      </c>
      <c r="E159" s="34">
        <f t="shared" si="107"/>
        <v>3.237629335810763E-3</v>
      </c>
      <c r="F159" s="33">
        <v>1587.5610659999998</v>
      </c>
      <c r="G159" s="33">
        <v>1587.5610659999998</v>
      </c>
      <c r="H159" s="35">
        <v>57</v>
      </c>
      <c r="I159" s="56">
        <v>1.2999999999999999E-3</v>
      </c>
      <c r="J159" s="56">
        <v>7.9000000000000008E-3</v>
      </c>
      <c r="K159" s="33">
        <f>4371902.61*W140</f>
        <v>5874262348.5198784</v>
      </c>
      <c r="L159" s="34">
        <f t="shared" si="108"/>
        <v>3.2455050491721838E-3</v>
      </c>
      <c r="M159" s="33">
        <f>1.17*W140</f>
        <v>1572.0585659999997</v>
      </c>
      <c r="N159" s="33">
        <f>1.17*W140</f>
        <v>1572.0585659999997</v>
      </c>
      <c r="O159" s="35">
        <v>56</v>
      </c>
      <c r="P159" s="56">
        <v>1.12E-2</v>
      </c>
      <c r="Q159" s="56">
        <v>1.43E-2</v>
      </c>
      <c r="R159" s="62">
        <f t="shared" ref="R159" si="118">((K159-D159)/D159)</f>
        <v>-3.7381713524763586E-3</v>
      </c>
      <c r="S159" s="62">
        <f t="shared" ref="S159" si="119">((N159-G159)/G159)</f>
        <v>-9.764978703502708E-3</v>
      </c>
      <c r="T159" s="62">
        <f t="shared" si="98"/>
        <v>-1.7543859649122806E-2</v>
      </c>
      <c r="U159" s="62">
        <f t="shared" si="99"/>
        <v>9.8999999999999991E-3</v>
      </c>
      <c r="V159" s="63">
        <f t="shared" si="100"/>
        <v>6.3999999999999994E-3</v>
      </c>
    </row>
    <row r="160" spans="1:24">
      <c r="A160" s="181">
        <v>143</v>
      </c>
      <c r="B160" s="148" t="s">
        <v>208</v>
      </c>
      <c r="C160" s="147" t="s">
        <v>123</v>
      </c>
      <c r="D160" s="33">
        <v>1888522059.5396819</v>
      </c>
      <c r="E160" s="34">
        <f t="shared" si="107"/>
        <v>1.0369775182160795E-3</v>
      </c>
      <c r="F160" s="33">
        <v>2062.4724959999999</v>
      </c>
      <c r="G160" s="33">
        <v>2062.4724959999999</v>
      </c>
      <c r="H160" s="35">
        <v>142</v>
      </c>
      <c r="I160" s="56">
        <v>1.12E-2</v>
      </c>
      <c r="J160" s="56">
        <v>1.9800000000000002E-2</v>
      </c>
      <c r="K160" s="33">
        <f>1398658.1*W140</f>
        <v>1879292689.7523801</v>
      </c>
      <c r="L160" s="34">
        <f t="shared" si="108"/>
        <v>1.0383012456024433E-3</v>
      </c>
      <c r="M160" s="33">
        <f>1.53*W140</f>
        <v>2055.7688939999998</v>
      </c>
      <c r="N160" s="33">
        <f>1.53*W140</f>
        <v>2055.7688939999998</v>
      </c>
      <c r="O160" s="35">
        <v>142</v>
      </c>
      <c r="P160" s="56">
        <v>6.6E-3</v>
      </c>
      <c r="Q160" s="56">
        <v>2.69E-2</v>
      </c>
      <c r="R160" s="62">
        <f t="shared" si="96"/>
        <v>-4.8870860367664403E-3</v>
      </c>
      <c r="S160" s="62">
        <f t="shared" si="97"/>
        <v>-3.2502746160257387E-3</v>
      </c>
      <c r="T160" s="62">
        <f t="shared" si="98"/>
        <v>0</v>
      </c>
      <c r="U160" s="62">
        <f t="shared" si="99"/>
        <v>-4.5999999999999999E-3</v>
      </c>
      <c r="V160" s="63">
        <f t="shared" si="100"/>
        <v>7.0999999999999987E-3</v>
      </c>
    </row>
    <row r="161" spans="1:24">
      <c r="A161" s="41"/>
      <c r="B161" s="42"/>
      <c r="C161" s="77" t="s">
        <v>54</v>
      </c>
      <c r="D161" s="65">
        <f>SUM(D121:D160)</f>
        <v>1821179366345.8789</v>
      </c>
      <c r="E161" s="45">
        <f>(D161/$D$238)</f>
        <v>0.21118924174721235</v>
      </c>
      <c r="F161" s="46"/>
      <c r="G161" s="51"/>
      <c r="H161" s="48">
        <f>SUM(H121:H160)</f>
        <v>31055</v>
      </c>
      <c r="I161" s="81"/>
      <c r="J161" s="81"/>
      <c r="K161" s="65">
        <f>SUM(K121:K160)</f>
        <v>1809968636474.0674</v>
      </c>
      <c r="L161" s="45">
        <f>(K161/$K$238)</f>
        <v>0.20847046665994917</v>
      </c>
      <c r="M161" s="46"/>
      <c r="N161" s="51"/>
      <c r="O161" s="48">
        <f>SUM(O121:O160)</f>
        <v>31248</v>
      </c>
      <c r="P161" s="81"/>
      <c r="Q161" s="81"/>
      <c r="R161" s="62">
        <f t="shared" si="96"/>
        <v>-6.1557527385703859E-3</v>
      </c>
      <c r="S161" s="62" t="e">
        <f t="shared" si="97"/>
        <v>#DIV/0!</v>
      </c>
      <c r="T161" s="62">
        <f t="shared" si="98"/>
        <v>6.2147802286266303E-3</v>
      </c>
      <c r="U161" s="62">
        <f t="shared" si="99"/>
        <v>0</v>
      </c>
      <c r="V161" s="63">
        <f t="shared" si="100"/>
        <v>0</v>
      </c>
    </row>
    <row r="162" spans="1:24" ht="6" customHeight="1">
      <c r="A162" s="41"/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</row>
    <row r="163" spans="1:24">
      <c r="A163" s="192" t="s">
        <v>209</v>
      </c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</row>
    <row r="164" spans="1:24">
      <c r="A164" s="181">
        <v>144</v>
      </c>
      <c r="B164" s="148" t="s">
        <v>210</v>
      </c>
      <c r="C164" s="147" t="s">
        <v>211</v>
      </c>
      <c r="D164" s="78">
        <v>2386501535.5335102</v>
      </c>
      <c r="E164" s="34">
        <f>(D164/$D$170)</f>
        <v>4.7290869448848617E-3</v>
      </c>
      <c r="F164" s="66">
        <v>112.464728347479</v>
      </c>
      <c r="G164" s="66">
        <v>112.464728347479</v>
      </c>
      <c r="H164" s="35">
        <v>8</v>
      </c>
      <c r="I164" s="56">
        <v>5.9999999999999995E-4</v>
      </c>
      <c r="J164" s="56">
        <v>6.9800000000000001E-2</v>
      </c>
      <c r="K164" s="78">
        <v>2395570241.3685398</v>
      </c>
      <c r="L164" s="34">
        <f>(K164/$K$170)</f>
        <v>4.7431341429709185E-3</v>
      </c>
      <c r="M164" s="66">
        <v>112.8920943152</v>
      </c>
      <c r="N164" s="66">
        <v>112.8920943152</v>
      </c>
      <c r="O164" s="35">
        <v>8</v>
      </c>
      <c r="P164" s="56">
        <v>3.8E-3</v>
      </c>
      <c r="Q164" s="56">
        <v>7.3899999999999993E-2</v>
      </c>
      <c r="R164" s="62">
        <f t="shared" ref="R164:R170" si="120">((K164-D164)/D164)</f>
        <v>3.8000000000009485E-3</v>
      </c>
      <c r="S164" s="62">
        <f t="shared" ref="S164:T170" si="121">((N164-G164)/G164)</f>
        <v>3.8000000000051734E-3</v>
      </c>
      <c r="T164" s="62">
        <f t="shared" si="121"/>
        <v>0</v>
      </c>
      <c r="U164" s="62">
        <f t="shared" ref="U164:V170" si="122">P164-I164</f>
        <v>3.2000000000000002E-3</v>
      </c>
      <c r="V164" s="63">
        <f t="shared" si="122"/>
        <v>4.0999999999999925E-3</v>
      </c>
    </row>
    <row r="165" spans="1:24">
      <c r="A165" s="181">
        <v>145</v>
      </c>
      <c r="B165" s="148" t="s">
        <v>212</v>
      </c>
      <c r="C165" s="147" t="s">
        <v>23</v>
      </c>
      <c r="D165" s="78">
        <v>260513441955.79999</v>
      </c>
      <c r="E165" s="34">
        <v>0</v>
      </c>
      <c r="F165" s="66">
        <v>104.2054</v>
      </c>
      <c r="G165" s="66">
        <v>104.2054</v>
      </c>
      <c r="H165" s="35">
        <v>45</v>
      </c>
      <c r="I165" s="56">
        <v>9.1499999999999998E-2</v>
      </c>
      <c r="J165" s="56">
        <v>0.1143</v>
      </c>
      <c r="K165" s="78">
        <v>260910738308</v>
      </c>
      <c r="L165" s="34">
        <f t="shared" ref="L165:L169" si="123">(K165/$K$170)</f>
        <v>0.51659292212172714</v>
      </c>
      <c r="M165" s="66">
        <v>104.3643</v>
      </c>
      <c r="N165" s="66">
        <v>104.3643</v>
      </c>
      <c r="O165" s="35">
        <v>45</v>
      </c>
      <c r="P165" s="56">
        <v>7.9500000000000001E-2</v>
      </c>
      <c r="Q165" s="56">
        <v>0.11219999999999999</v>
      </c>
      <c r="R165" s="62">
        <f t="shared" ref="R165" si="124">((K165-D165)/D165)</f>
        <v>1.5250512573067899E-3</v>
      </c>
      <c r="S165" s="62">
        <f t="shared" ref="S165" si="125">((N165-G165)/G165)</f>
        <v>1.5248729912269682E-3</v>
      </c>
      <c r="T165" s="62">
        <f t="shared" ref="T165" si="126">((O165-H165)/H165)</f>
        <v>0</v>
      </c>
      <c r="U165" s="62">
        <f t="shared" ref="U165" si="127">P165-I165</f>
        <v>-1.1999999999999997E-2</v>
      </c>
      <c r="V165" s="63">
        <f t="shared" ref="V165" si="128">Q165-J165</f>
        <v>-2.1000000000000046E-3</v>
      </c>
    </row>
    <row r="166" spans="1:24">
      <c r="A166" s="181">
        <v>146</v>
      </c>
      <c r="B166" s="148" t="s">
        <v>213</v>
      </c>
      <c r="C166" s="147" t="s">
        <v>46</v>
      </c>
      <c r="D166" s="38">
        <v>170647847866</v>
      </c>
      <c r="E166" s="34">
        <f>(D166/$D$170)</f>
        <v>0.33815545370491001</v>
      </c>
      <c r="F166" s="66">
        <v>103</v>
      </c>
      <c r="G166" s="66">
        <v>103</v>
      </c>
      <c r="H166" s="35">
        <v>851</v>
      </c>
      <c r="I166" s="56">
        <v>9.4E-2</v>
      </c>
      <c r="J166" s="56">
        <v>9.4E-2</v>
      </c>
      <c r="K166" s="38">
        <v>170647847866</v>
      </c>
      <c r="L166" s="34">
        <f t="shared" si="123"/>
        <v>0.33787597610802461</v>
      </c>
      <c r="M166" s="66">
        <v>103</v>
      </c>
      <c r="N166" s="66">
        <v>103</v>
      </c>
      <c r="O166" s="35">
        <v>851</v>
      </c>
      <c r="P166" s="56">
        <v>9.4E-2</v>
      </c>
      <c r="Q166" s="56">
        <v>9.4E-2</v>
      </c>
      <c r="R166" s="62">
        <f t="shared" si="120"/>
        <v>0</v>
      </c>
      <c r="S166" s="62">
        <f t="shared" si="121"/>
        <v>0</v>
      </c>
      <c r="T166" s="62">
        <f t="shared" si="121"/>
        <v>0</v>
      </c>
      <c r="U166" s="62">
        <f t="shared" si="122"/>
        <v>0</v>
      </c>
      <c r="V166" s="63">
        <f t="shared" si="122"/>
        <v>0</v>
      </c>
    </row>
    <row r="167" spans="1:24" ht="15.75" customHeight="1">
      <c r="A167" s="181">
        <v>147</v>
      </c>
      <c r="B167" s="148" t="s">
        <v>215</v>
      </c>
      <c r="C167" s="147" t="s">
        <v>159</v>
      </c>
      <c r="D167" s="38">
        <v>6590702542.8601398</v>
      </c>
      <c r="E167" s="34">
        <f>(D167/$D$170)</f>
        <v>1.3060123737189065E-2</v>
      </c>
      <c r="F167" s="66">
        <v>418.75</v>
      </c>
      <c r="G167" s="66">
        <v>418.75</v>
      </c>
      <c r="H167" s="35">
        <v>5533</v>
      </c>
      <c r="I167" s="56">
        <v>0.16520000000000001</v>
      </c>
      <c r="J167" s="56">
        <v>7.5200000000000003E-2</v>
      </c>
      <c r="K167" s="38">
        <v>6598120877.4436398</v>
      </c>
      <c r="L167" s="34">
        <f t="shared" si="123"/>
        <v>1.3064017857966683E-2</v>
      </c>
      <c r="M167" s="66">
        <v>418.75</v>
      </c>
      <c r="N167" s="66">
        <v>418.75</v>
      </c>
      <c r="O167" s="35">
        <v>5533</v>
      </c>
      <c r="P167" s="56">
        <v>3.5499999999999997E-2</v>
      </c>
      <c r="Q167" s="56">
        <v>7.0699999999999999E-2</v>
      </c>
      <c r="R167" s="62">
        <f t="shared" si="120"/>
        <v>1.1255756932220164E-3</v>
      </c>
      <c r="S167" s="62">
        <f t="shared" si="121"/>
        <v>0</v>
      </c>
      <c r="T167" s="62">
        <f t="shared" si="121"/>
        <v>0</v>
      </c>
      <c r="U167" s="62">
        <f t="shared" si="122"/>
        <v>-0.12970000000000001</v>
      </c>
      <c r="V167" s="63">
        <f t="shared" si="122"/>
        <v>-4.500000000000004E-3</v>
      </c>
    </row>
    <row r="168" spans="1:24">
      <c r="A168" s="181">
        <v>148</v>
      </c>
      <c r="B168" s="148" t="s">
        <v>214</v>
      </c>
      <c r="C168" s="147" t="s">
        <v>159</v>
      </c>
      <c r="D168" s="38">
        <v>28274495347.240002</v>
      </c>
      <c r="E168" s="34">
        <f>(D168/$D$170)</f>
        <v>5.6028686690096169E-2</v>
      </c>
      <c r="F168" s="66">
        <v>69.25</v>
      </c>
      <c r="G168" s="66">
        <v>69.25</v>
      </c>
      <c r="H168" s="35">
        <v>8119</v>
      </c>
      <c r="I168" s="56">
        <v>3.3999999999999998E-3</v>
      </c>
      <c r="J168" s="56">
        <v>7.3300000000000004E-2</v>
      </c>
      <c r="K168" s="38">
        <v>28278132774.150002</v>
      </c>
      <c r="L168" s="34">
        <f t="shared" si="123"/>
        <v>5.5989582248238245E-2</v>
      </c>
      <c r="M168" s="66">
        <v>72.5</v>
      </c>
      <c r="N168" s="66">
        <v>72.5</v>
      </c>
      <c r="O168" s="35">
        <v>8119</v>
      </c>
      <c r="P168" s="56">
        <v>6.7000000000000002E-3</v>
      </c>
      <c r="Q168" s="56">
        <v>6.8500000000000005E-2</v>
      </c>
      <c r="R168" s="62">
        <f t="shared" si="120"/>
        <v>1.2864692597793485E-4</v>
      </c>
      <c r="S168" s="62">
        <f t="shared" si="121"/>
        <v>4.6931407942238268E-2</v>
      </c>
      <c r="T168" s="62">
        <f t="shared" si="121"/>
        <v>0</v>
      </c>
      <c r="U168" s="62">
        <f t="shared" si="122"/>
        <v>3.3000000000000004E-3</v>
      </c>
      <c r="V168" s="63">
        <f t="shared" si="122"/>
        <v>-4.7999999999999987E-3</v>
      </c>
    </row>
    <row r="169" spans="1:24">
      <c r="A169" s="181">
        <v>149</v>
      </c>
      <c r="B169" s="148" t="s">
        <v>322</v>
      </c>
      <c r="C169" s="147" t="s">
        <v>159</v>
      </c>
      <c r="D169" s="38">
        <v>36230203687.4795</v>
      </c>
      <c r="E169" s="34">
        <f>(D169/$D$170)</f>
        <v>7.1793703342694901E-2</v>
      </c>
      <c r="F169" s="66">
        <v>7.95</v>
      </c>
      <c r="G169" s="66">
        <v>7.95</v>
      </c>
      <c r="H169" s="35">
        <v>215231</v>
      </c>
      <c r="I169" s="56">
        <v>0</v>
      </c>
      <c r="J169" s="56">
        <v>0</v>
      </c>
      <c r="K169" s="38">
        <v>36230203687.4795</v>
      </c>
      <c r="L169" s="34">
        <f t="shared" si="123"/>
        <v>7.1734367521072373E-2</v>
      </c>
      <c r="M169" s="66">
        <v>8</v>
      </c>
      <c r="N169" s="66">
        <v>8</v>
      </c>
      <c r="O169" s="35">
        <v>215231</v>
      </c>
      <c r="P169" s="56">
        <v>0</v>
      </c>
      <c r="Q169" s="56">
        <v>0</v>
      </c>
      <c r="R169" s="62">
        <f t="shared" si="120"/>
        <v>0</v>
      </c>
      <c r="S169" s="62">
        <f t="shared" si="121"/>
        <v>6.2893081761006067E-3</v>
      </c>
      <c r="T169" s="62">
        <f t="shared" si="121"/>
        <v>0</v>
      </c>
      <c r="U169" s="62">
        <f t="shared" si="122"/>
        <v>0</v>
      </c>
      <c r="V169" s="63">
        <f t="shared" si="122"/>
        <v>0</v>
      </c>
    </row>
    <row r="170" spans="1:24">
      <c r="A170" s="41"/>
      <c r="B170" s="79"/>
      <c r="C170" s="43" t="s">
        <v>54</v>
      </c>
      <c r="D170" s="44">
        <f>SUM(D164:D169)</f>
        <v>504643192934.91315</v>
      </c>
      <c r="E170" s="45">
        <f>(D170/$D$238)</f>
        <v>5.8519888396635668E-2</v>
      </c>
      <c r="F170" s="46"/>
      <c r="G170" s="80"/>
      <c r="H170" s="48">
        <f>SUM(H164:H169)</f>
        <v>229787</v>
      </c>
      <c r="I170" s="82"/>
      <c r="J170" s="82"/>
      <c r="K170" s="44">
        <f>SUM(K164:K169)</f>
        <v>505060613754.44171</v>
      </c>
      <c r="L170" s="45">
        <f>(K170/$K$238)</f>
        <v>5.8172401288710048E-2</v>
      </c>
      <c r="M170" s="46"/>
      <c r="N170" s="80"/>
      <c r="O170" s="48">
        <f>SUM(O164:O169)</f>
        <v>229787</v>
      </c>
      <c r="P170" s="82"/>
      <c r="Q170" s="82"/>
      <c r="R170" s="62">
        <f t="shared" si="120"/>
        <v>8.2716030924923566E-4</v>
      </c>
      <c r="S170" s="62" t="e">
        <f t="shared" si="121"/>
        <v>#DIV/0!</v>
      </c>
      <c r="T170" s="62">
        <f t="shared" si="121"/>
        <v>0</v>
      </c>
      <c r="U170" s="62">
        <f t="shared" si="122"/>
        <v>0</v>
      </c>
      <c r="V170" s="63">
        <f t="shared" si="122"/>
        <v>0</v>
      </c>
    </row>
    <row r="171" spans="1:24" ht="5.25" customHeight="1">
      <c r="A171" s="41"/>
      <c r="B171" s="190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</row>
    <row r="172" spans="1:24" ht="15" customHeight="1">
      <c r="A172" s="192" t="s">
        <v>216</v>
      </c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</row>
    <row r="173" spans="1:24">
      <c r="A173" s="184">
        <v>150</v>
      </c>
      <c r="B173" s="148" t="s">
        <v>217</v>
      </c>
      <c r="C173" s="147" t="s">
        <v>58</v>
      </c>
      <c r="D173" s="33">
        <v>829902200.15999997</v>
      </c>
      <c r="E173" s="34">
        <f t="shared" ref="E173:E192" si="129">(D173/$D$203)</f>
        <v>6.6284154799345265E-3</v>
      </c>
      <c r="F173" s="33">
        <v>9</v>
      </c>
      <c r="G173" s="33">
        <v>9.14</v>
      </c>
      <c r="H173" s="36">
        <v>11970</v>
      </c>
      <c r="I173" s="57">
        <v>1.2241E-2</v>
      </c>
      <c r="J173" s="57">
        <v>0.14699000000000001</v>
      </c>
      <c r="K173" s="33">
        <v>877370339.37</v>
      </c>
      <c r="L173" s="60">
        <f t="shared" ref="L173:L202" si="130">(K173/$K$203)</f>
        <v>6.7013896946912718E-3</v>
      </c>
      <c r="M173" s="33">
        <v>9.25</v>
      </c>
      <c r="N173" s="33">
        <v>9.39</v>
      </c>
      <c r="O173" s="36">
        <v>11972</v>
      </c>
      <c r="P173" s="57">
        <v>3.2120999999999997E-2</v>
      </c>
      <c r="Q173" s="57">
        <v>0.17911099999999999</v>
      </c>
      <c r="R173" s="62">
        <f>((K173-D173)/D173)</f>
        <v>5.7197268787633621E-2</v>
      </c>
      <c r="S173" s="62">
        <f>((N173-G173)/G173)</f>
        <v>2.7352297592997812E-2</v>
      </c>
      <c r="T173" s="62">
        <f>((O173-H173)/H173)</f>
        <v>1.6708437761069341E-4</v>
      </c>
      <c r="U173" s="62">
        <f>P173-I173</f>
        <v>1.9879999999999995E-2</v>
      </c>
      <c r="V173" s="63">
        <f>Q173-J173</f>
        <v>3.2120999999999983E-2</v>
      </c>
      <c r="X173" s="134"/>
    </row>
    <row r="174" spans="1:24">
      <c r="A174" s="184">
        <v>151</v>
      </c>
      <c r="B174" s="148" t="s">
        <v>218</v>
      </c>
      <c r="C174" s="148" t="s">
        <v>219</v>
      </c>
      <c r="D174" s="33">
        <v>3048226531.1458201</v>
      </c>
      <c r="E174" s="34">
        <f t="shared" si="129"/>
        <v>2.4346136112783766E-2</v>
      </c>
      <c r="F174" s="33">
        <v>2781.63</v>
      </c>
      <c r="G174" s="33">
        <v>2801.77</v>
      </c>
      <c r="H174" s="36">
        <v>223</v>
      </c>
      <c r="I174" s="57">
        <v>1.84E-2</v>
      </c>
      <c r="J174" s="57">
        <v>0.26650000000000001</v>
      </c>
      <c r="K174" s="33">
        <v>2928243212.8552999</v>
      </c>
      <c r="L174" s="60">
        <f t="shared" si="130"/>
        <v>2.2366038615197287E-2</v>
      </c>
      <c r="M174" s="33">
        <v>2857.7279252729099</v>
      </c>
      <c r="N174" s="33">
        <v>2880.6190103201602</v>
      </c>
      <c r="O174" s="36">
        <v>223</v>
      </c>
      <c r="P174" s="57">
        <v>2.7799999999999998E-2</v>
      </c>
      <c r="Q174" s="57">
        <v>0.30170000000000002</v>
      </c>
      <c r="R174" s="62">
        <f>((K174-D174)/D174)</f>
        <v>-3.9361680329387722E-2</v>
      </c>
      <c r="S174" s="62">
        <f>((N174-G174)/G174)</f>
        <v>2.8142570703576751E-2</v>
      </c>
      <c r="T174" s="62">
        <f>((O174-H174)/H174)</f>
        <v>0</v>
      </c>
      <c r="U174" s="62">
        <f>P174-I174</f>
        <v>9.3999999999999986E-3</v>
      </c>
      <c r="V174" s="63">
        <f>Q174-J174</f>
        <v>3.5200000000000009E-2</v>
      </c>
    </row>
    <row r="175" spans="1:24">
      <c r="A175" s="184">
        <v>152</v>
      </c>
      <c r="B175" s="148" t="s">
        <v>220</v>
      </c>
      <c r="C175" s="147" t="s">
        <v>23</v>
      </c>
      <c r="D175" s="33">
        <v>13249984112.219999</v>
      </c>
      <c r="E175" s="34">
        <f t="shared" si="129"/>
        <v>0.10582740927954305</v>
      </c>
      <c r="F175" s="33">
        <v>1259.4233999999999</v>
      </c>
      <c r="G175" s="33">
        <v>1297.396</v>
      </c>
      <c r="H175" s="36">
        <v>22702</v>
      </c>
      <c r="I175" s="57">
        <v>0.66700000000000004</v>
      </c>
      <c r="J175" s="57">
        <v>0.70689999999999997</v>
      </c>
      <c r="K175" s="33">
        <v>13833694413.83</v>
      </c>
      <c r="L175" s="60">
        <f t="shared" si="130"/>
        <v>0.10566231045708227</v>
      </c>
      <c r="M175" s="33">
        <v>1308.9789000000001</v>
      </c>
      <c r="N175" s="33">
        <v>1348.4456</v>
      </c>
      <c r="O175" s="36">
        <v>22744</v>
      </c>
      <c r="P175" s="57">
        <v>3.39E-2</v>
      </c>
      <c r="Q175" s="57">
        <v>0.24060000000000001</v>
      </c>
      <c r="R175" s="62">
        <f t="shared" ref="R175:R202" si="131">((K175-D175)/D175)</f>
        <v>4.4053660492442775E-2</v>
      </c>
      <c r="S175" s="62">
        <f t="shared" ref="S175:T202" si="132">((N175-G175)/G175)</f>
        <v>3.9347739626143491E-2</v>
      </c>
      <c r="T175" s="62">
        <f t="shared" si="132"/>
        <v>1.850057263677209E-3</v>
      </c>
      <c r="U175" s="62">
        <f t="shared" ref="U175:V202" si="133">P175-I175</f>
        <v>-0.6331</v>
      </c>
      <c r="V175" s="63">
        <f t="shared" si="133"/>
        <v>-0.46629999999999994</v>
      </c>
      <c r="X175" s="134"/>
    </row>
    <row r="176" spans="1:24">
      <c r="A176" s="184">
        <v>153</v>
      </c>
      <c r="B176" s="148" t="s">
        <v>221</v>
      </c>
      <c r="C176" s="147" t="s">
        <v>125</v>
      </c>
      <c r="D176" s="33">
        <v>7402909835.8100004</v>
      </c>
      <c r="E176" s="34">
        <f t="shared" si="129"/>
        <v>5.9126921392402942E-2</v>
      </c>
      <c r="F176" s="33">
        <v>43.011600000000001</v>
      </c>
      <c r="G176" s="33">
        <v>43.568100000000001</v>
      </c>
      <c r="H176" s="35">
        <v>6275</v>
      </c>
      <c r="I176" s="56">
        <v>2.1299999999999999E-2</v>
      </c>
      <c r="J176" s="56">
        <v>0.26819999999999999</v>
      </c>
      <c r="K176" s="33">
        <v>7629334006.0699997</v>
      </c>
      <c r="L176" s="60">
        <f t="shared" si="130"/>
        <v>5.8273157857544236E-2</v>
      </c>
      <c r="M176" s="33">
        <v>44.292000000000002</v>
      </c>
      <c r="N176" s="33">
        <v>44.875100000000003</v>
      </c>
      <c r="O176" s="35">
        <v>6284</v>
      </c>
      <c r="P176" s="56">
        <v>3.6600000000000001E-2</v>
      </c>
      <c r="Q176" s="56">
        <v>0.30609999999999998</v>
      </c>
      <c r="R176" s="62">
        <f t="shared" si="131"/>
        <v>3.0585833852078078E-2</v>
      </c>
      <c r="S176" s="62">
        <f t="shared" si="132"/>
        <v>2.9999013039356825E-2</v>
      </c>
      <c r="T176" s="62">
        <f t="shared" si="132"/>
        <v>1.4342629482071714E-3</v>
      </c>
      <c r="U176" s="62">
        <f t="shared" si="133"/>
        <v>1.5300000000000001E-2</v>
      </c>
      <c r="V176" s="63">
        <f t="shared" si="133"/>
        <v>3.7899999999999989E-2</v>
      </c>
    </row>
    <row r="177" spans="1:24">
      <c r="A177" s="184">
        <v>154</v>
      </c>
      <c r="B177" s="148" t="s">
        <v>222</v>
      </c>
      <c r="C177" s="147" t="s">
        <v>133</v>
      </c>
      <c r="D177" s="38">
        <v>3289431512.04</v>
      </c>
      <c r="E177" s="34">
        <f t="shared" si="129"/>
        <v>2.6272636402683052E-2</v>
      </c>
      <c r="F177" s="33">
        <v>7.8601999999999999</v>
      </c>
      <c r="G177" s="33">
        <v>8.0630000000000006</v>
      </c>
      <c r="H177" s="35">
        <v>2736</v>
      </c>
      <c r="I177" s="56">
        <v>0.98440000000000005</v>
      </c>
      <c r="J177" s="56">
        <v>1.1397999999999999</v>
      </c>
      <c r="K177" s="38">
        <v>3372429441.6199999</v>
      </c>
      <c r="L177" s="60">
        <f t="shared" si="130"/>
        <v>2.5758750771508552E-2</v>
      </c>
      <c r="M177" s="33">
        <v>7.9966999999999997</v>
      </c>
      <c r="N177" s="33">
        <v>8.2035999999999998</v>
      </c>
      <c r="O177" s="35">
        <v>2737</v>
      </c>
      <c r="P177" s="56">
        <v>1.7399999999999999E-2</v>
      </c>
      <c r="Q177" s="56">
        <v>0.3352</v>
      </c>
      <c r="R177" s="62">
        <f t="shared" si="131"/>
        <v>2.5231694071212708E-2</v>
      </c>
      <c r="S177" s="62">
        <f t="shared" si="132"/>
        <v>1.7437678283517197E-2</v>
      </c>
      <c r="T177" s="62">
        <f t="shared" si="132"/>
        <v>3.6549707602339179E-4</v>
      </c>
      <c r="U177" s="62">
        <f t="shared" si="133"/>
        <v>-0.96700000000000008</v>
      </c>
      <c r="V177" s="63">
        <f t="shared" si="133"/>
        <v>-0.80459999999999998</v>
      </c>
      <c r="W177" s="134"/>
      <c r="X177" s="134"/>
    </row>
    <row r="178" spans="1:24">
      <c r="A178" s="184">
        <v>155</v>
      </c>
      <c r="B178" s="148" t="s">
        <v>223</v>
      </c>
      <c r="C178" s="147" t="s">
        <v>27</v>
      </c>
      <c r="D178" s="38">
        <v>2160390033.7600002</v>
      </c>
      <c r="E178" s="34">
        <f t="shared" si="129"/>
        <v>1.7255000335835064E-2</v>
      </c>
      <c r="F178" s="33">
        <v>1.6004</v>
      </c>
      <c r="G178" s="33">
        <v>1.6125</v>
      </c>
      <c r="H178" s="35">
        <v>442</v>
      </c>
      <c r="I178" s="56">
        <v>2.1999999999999999E-2</v>
      </c>
      <c r="J178" s="56">
        <v>0.2868</v>
      </c>
      <c r="K178" s="38">
        <v>2319305730.4400001</v>
      </c>
      <c r="L178" s="60">
        <f t="shared" si="130"/>
        <v>1.7714949803260327E-2</v>
      </c>
      <c r="M178" s="33">
        <v>1.6727000000000001</v>
      </c>
      <c r="N178" s="33">
        <v>1.6871</v>
      </c>
      <c r="O178" s="35">
        <v>469</v>
      </c>
      <c r="P178" s="56">
        <v>4.5699999999999998E-2</v>
      </c>
      <c r="Q178" s="56">
        <v>0.34560000000000002</v>
      </c>
      <c r="R178" s="62">
        <f t="shared" ref="R178" si="134">((K178-D178)/D178)</f>
        <v>7.3558799196744448E-2</v>
      </c>
      <c r="S178" s="62">
        <f t="shared" ref="S178" si="135">((N178-G178)/G178)</f>
        <v>4.6263565891472867E-2</v>
      </c>
      <c r="T178" s="62">
        <f t="shared" ref="T178" si="136">((O178-H178)/H178)</f>
        <v>6.1085972850678731E-2</v>
      </c>
      <c r="U178" s="62">
        <f t="shared" ref="U178" si="137">P178-I178</f>
        <v>2.3699999999999999E-2</v>
      </c>
      <c r="V178" s="63">
        <f t="shared" ref="V178" si="138">Q178-J178</f>
        <v>5.8800000000000019E-2</v>
      </c>
    </row>
    <row r="179" spans="1:24">
      <c r="A179" s="184">
        <v>156</v>
      </c>
      <c r="B179" s="148" t="s">
        <v>224</v>
      </c>
      <c r="C179" s="147" t="s">
        <v>69</v>
      </c>
      <c r="D179" s="33">
        <v>9171154681.1360893</v>
      </c>
      <c r="E179" s="34">
        <f t="shared" si="129"/>
        <v>7.3249864436552251E-2</v>
      </c>
      <c r="F179" s="33">
        <v>13576.8665897803</v>
      </c>
      <c r="G179" s="33">
        <v>13678.7181898078</v>
      </c>
      <c r="H179" s="35">
        <v>1593</v>
      </c>
      <c r="I179" s="56">
        <v>0.56399999999999995</v>
      </c>
      <c r="J179" s="56">
        <v>0.78720000000000001</v>
      </c>
      <c r="K179" s="33">
        <v>9474428617.8283806</v>
      </c>
      <c r="L179" s="60">
        <f t="shared" si="130"/>
        <v>7.2366064196099672E-2</v>
      </c>
      <c r="M179" s="33">
        <v>14006.884992269501</v>
      </c>
      <c r="N179" s="33">
        <v>14114.487975592099</v>
      </c>
      <c r="O179" s="35">
        <v>1600</v>
      </c>
      <c r="P179" s="56">
        <v>3.1699999999999999E-2</v>
      </c>
      <c r="Q179" s="56">
        <v>0.25419999999999998</v>
      </c>
      <c r="R179" s="62">
        <f t="shared" si="131"/>
        <v>3.3068239195233246E-2</v>
      </c>
      <c r="S179" s="62">
        <f t="shared" si="132"/>
        <v>3.1857501539069473E-2</v>
      </c>
      <c r="T179" s="62">
        <f t="shared" si="132"/>
        <v>4.3942247332077839E-3</v>
      </c>
      <c r="U179" s="62">
        <f t="shared" si="133"/>
        <v>-0.5323</v>
      </c>
      <c r="V179" s="63">
        <f t="shared" si="133"/>
        <v>-0.53300000000000003</v>
      </c>
      <c r="X179" s="134"/>
    </row>
    <row r="180" spans="1:24">
      <c r="A180" s="184">
        <v>157</v>
      </c>
      <c r="B180" s="148" t="s">
        <v>225</v>
      </c>
      <c r="C180" s="147" t="s">
        <v>71</v>
      </c>
      <c r="D180" s="33">
        <v>1833499740.98</v>
      </c>
      <c r="E180" s="34">
        <f t="shared" si="129"/>
        <v>1.4644132842670759E-2</v>
      </c>
      <c r="F180" s="33">
        <v>287.04000000000002</v>
      </c>
      <c r="G180" s="33">
        <v>289.3</v>
      </c>
      <c r="H180" s="35">
        <v>508</v>
      </c>
      <c r="I180" s="56">
        <v>2.35E-2</v>
      </c>
      <c r="J180" s="56">
        <v>0.2432</v>
      </c>
      <c r="K180" s="33">
        <v>1942001674.1099999</v>
      </c>
      <c r="L180" s="60">
        <f t="shared" si="130"/>
        <v>1.4833086351310662E-2</v>
      </c>
      <c r="M180" s="33">
        <v>294.82</v>
      </c>
      <c r="N180" s="33">
        <v>297.13</v>
      </c>
      <c r="O180" s="35">
        <v>508</v>
      </c>
      <c r="P180" s="56">
        <v>2.7099999999999999E-2</v>
      </c>
      <c r="Q180" s="56">
        <v>0.27679999999999999</v>
      </c>
      <c r="R180" s="62">
        <f t="shared" si="131"/>
        <v>5.9177501204339372E-2</v>
      </c>
      <c r="S180" s="62">
        <f t="shared" si="132"/>
        <v>2.7065330107155144E-2</v>
      </c>
      <c r="T180" s="62">
        <f t="shared" si="132"/>
        <v>0</v>
      </c>
      <c r="U180" s="62">
        <f t="shared" si="133"/>
        <v>3.599999999999999E-3</v>
      </c>
      <c r="V180" s="63">
        <f t="shared" si="133"/>
        <v>3.3599999999999991E-2</v>
      </c>
    </row>
    <row r="181" spans="1:24">
      <c r="A181" s="184">
        <v>158</v>
      </c>
      <c r="B181" s="148" t="s">
        <v>226</v>
      </c>
      <c r="C181" s="147" t="s">
        <v>227</v>
      </c>
      <c r="D181" s="33">
        <v>4614612602.2299995</v>
      </c>
      <c r="E181" s="34">
        <f t="shared" si="129"/>
        <v>3.6856836384606746E-2</v>
      </c>
      <c r="F181" s="33">
        <v>2.4592000000000001</v>
      </c>
      <c r="G181" s="33">
        <v>2.5047999999999999</v>
      </c>
      <c r="H181" s="35">
        <v>4642</v>
      </c>
      <c r="I181" s="56">
        <v>1.24E-2</v>
      </c>
      <c r="J181" s="56">
        <v>0.15770000000000001</v>
      </c>
      <c r="K181" s="33">
        <v>4865373287.1999998</v>
      </c>
      <c r="L181" s="60">
        <f t="shared" si="130"/>
        <v>3.7161915492926606E-2</v>
      </c>
      <c r="M181" s="33">
        <v>2.5409999999999999</v>
      </c>
      <c r="N181" s="33">
        <v>2.5884</v>
      </c>
      <c r="O181" s="35">
        <v>4693</v>
      </c>
      <c r="P181" s="56">
        <v>3.3300000000000003E-2</v>
      </c>
      <c r="Q181" s="56">
        <v>0.29499999999999998</v>
      </c>
      <c r="R181" s="62">
        <f t="shared" si="131"/>
        <v>5.4340571264599943E-2</v>
      </c>
      <c r="S181" s="62">
        <f t="shared" si="132"/>
        <v>3.337591823698504E-2</v>
      </c>
      <c r="T181" s="62">
        <f t="shared" si="132"/>
        <v>1.0986643688065489E-2</v>
      </c>
      <c r="U181" s="62">
        <f t="shared" si="133"/>
        <v>2.0900000000000002E-2</v>
      </c>
      <c r="V181" s="63">
        <f t="shared" si="133"/>
        <v>0.13729999999999998</v>
      </c>
    </row>
    <row r="182" spans="1:24">
      <c r="A182" s="184">
        <v>159</v>
      </c>
      <c r="B182" s="148" t="s">
        <v>228</v>
      </c>
      <c r="C182" s="147" t="s">
        <v>29</v>
      </c>
      <c r="D182" s="50">
        <v>946961262.27999997</v>
      </c>
      <c r="E182" s="34">
        <f t="shared" si="129"/>
        <v>7.5633643200186153E-3</v>
      </c>
      <c r="F182" s="33">
        <v>259.83440000000002</v>
      </c>
      <c r="G182" s="33">
        <v>261.39370000000002</v>
      </c>
      <c r="H182" s="35">
        <v>188</v>
      </c>
      <c r="I182" s="56">
        <v>3.3E-3</v>
      </c>
      <c r="J182" s="56">
        <v>0.2611</v>
      </c>
      <c r="K182" s="50">
        <v>1082836270.25</v>
      </c>
      <c r="L182" s="60">
        <f t="shared" si="130"/>
        <v>8.2707466811584411E-3</v>
      </c>
      <c r="M182" s="33">
        <v>269.29239999999999</v>
      </c>
      <c r="N182" s="33">
        <v>270.79480000000001</v>
      </c>
      <c r="O182" s="35">
        <v>190</v>
      </c>
      <c r="P182" s="56">
        <v>7.123E-3</v>
      </c>
      <c r="Q182" s="56">
        <v>0.27589999999999998</v>
      </c>
      <c r="R182" s="62">
        <f t="shared" si="131"/>
        <v>0.14348528644440384</v>
      </c>
      <c r="S182" s="62">
        <f t="shared" si="132"/>
        <v>3.5965289140480375E-2</v>
      </c>
      <c r="T182" s="62">
        <f t="shared" si="132"/>
        <v>1.0638297872340425E-2</v>
      </c>
      <c r="U182" s="62">
        <f t="shared" si="133"/>
        <v>3.823E-3</v>
      </c>
      <c r="V182" s="63">
        <f t="shared" si="133"/>
        <v>1.479999999999998E-2</v>
      </c>
    </row>
    <row r="183" spans="1:24">
      <c r="A183" s="184">
        <v>160</v>
      </c>
      <c r="B183" s="148" t="s">
        <v>229</v>
      </c>
      <c r="C183" s="147" t="s">
        <v>77</v>
      </c>
      <c r="D183" s="50">
        <v>1705023720.3</v>
      </c>
      <c r="E183" s="34">
        <f t="shared" si="129"/>
        <v>1.3617996938811822E-2</v>
      </c>
      <c r="F183" s="33">
        <v>194.18</v>
      </c>
      <c r="G183" s="33">
        <v>194.91</v>
      </c>
      <c r="H183" s="35">
        <v>111</v>
      </c>
      <c r="I183" s="56">
        <v>2.1600000000000001E-2</v>
      </c>
      <c r="J183" s="56">
        <v>0.1452</v>
      </c>
      <c r="K183" s="50">
        <v>1725930636.4200001</v>
      </c>
      <c r="L183" s="60">
        <f t="shared" si="130"/>
        <v>1.318272713545577E-2</v>
      </c>
      <c r="M183" s="33">
        <v>201.97</v>
      </c>
      <c r="N183" s="33">
        <v>202.78</v>
      </c>
      <c r="O183" s="35">
        <v>111</v>
      </c>
      <c r="P183" s="56">
        <v>4.6100000000000002E-2</v>
      </c>
      <c r="Q183" s="56">
        <v>0.1913</v>
      </c>
      <c r="R183" s="62">
        <f t="shared" si="131"/>
        <v>1.2261950300797891E-2</v>
      </c>
      <c r="S183" s="62">
        <f t="shared" si="132"/>
        <v>4.0377610179057027E-2</v>
      </c>
      <c r="T183" s="62">
        <f t="shared" si="132"/>
        <v>0</v>
      </c>
      <c r="U183" s="62">
        <f t="shared" si="133"/>
        <v>2.4500000000000001E-2</v>
      </c>
      <c r="V183" s="63">
        <f t="shared" si="133"/>
        <v>4.6100000000000002E-2</v>
      </c>
    </row>
    <row r="184" spans="1:24" ht="15.75" customHeight="1">
      <c r="A184" s="184">
        <v>161</v>
      </c>
      <c r="B184" s="148" t="s">
        <v>230</v>
      </c>
      <c r="C184" s="147" t="s">
        <v>80</v>
      </c>
      <c r="D184" s="38">
        <v>836457436.73000002</v>
      </c>
      <c r="E184" s="34">
        <f t="shared" si="129"/>
        <v>6.6807720486324329E-3</v>
      </c>
      <c r="F184" s="33">
        <v>2.36</v>
      </c>
      <c r="G184" s="33">
        <v>2.39</v>
      </c>
      <c r="H184" s="35">
        <v>168</v>
      </c>
      <c r="I184" s="56">
        <v>6.8000000000000005E-2</v>
      </c>
      <c r="J184" s="56">
        <v>0.30259999999999998</v>
      </c>
      <c r="K184" s="38">
        <v>836232071.11000001</v>
      </c>
      <c r="L184" s="60">
        <f t="shared" si="130"/>
        <v>6.3871739586396463E-3</v>
      </c>
      <c r="M184" s="33">
        <v>2.36</v>
      </c>
      <c r="N184" s="33">
        <v>2.39</v>
      </c>
      <c r="O184" s="35">
        <v>162</v>
      </c>
      <c r="P184" s="56">
        <v>2.3900000000000001E-2</v>
      </c>
      <c r="Q184" s="56">
        <v>0.30259999999999998</v>
      </c>
      <c r="R184" s="62">
        <f t="shared" si="131"/>
        <v>-2.6942867634847809E-4</v>
      </c>
      <c r="S184" s="62">
        <f t="shared" si="132"/>
        <v>0</v>
      </c>
      <c r="T184" s="62">
        <f t="shared" si="132"/>
        <v>-3.5714285714285712E-2</v>
      </c>
      <c r="U184" s="62">
        <f t="shared" si="133"/>
        <v>-4.41E-2</v>
      </c>
      <c r="V184" s="63">
        <f t="shared" si="133"/>
        <v>0</v>
      </c>
    </row>
    <row r="185" spans="1:24">
      <c r="A185" s="184">
        <v>162</v>
      </c>
      <c r="B185" s="148" t="s">
        <v>231</v>
      </c>
      <c r="C185" s="147" t="s">
        <v>82</v>
      </c>
      <c r="D185" s="33">
        <v>18149670203.669998</v>
      </c>
      <c r="E185" s="34">
        <f t="shared" si="129"/>
        <v>0.14496112302210895</v>
      </c>
      <c r="F185" s="33">
        <v>540.03</v>
      </c>
      <c r="G185" s="33">
        <v>545.45000000000005</v>
      </c>
      <c r="H185" s="35">
        <v>5607</v>
      </c>
      <c r="I185" s="56">
        <v>9.7999999999999997E-3</v>
      </c>
      <c r="J185" s="56">
        <v>0.26079999999999998</v>
      </c>
      <c r="K185" s="33">
        <v>18769014005.470001</v>
      </c>
      <c r="L185" s="60">
        <f t="shared" si="130"/>
        <v>0.14335847861700984</v>
      </c>
      <c r="M185" s="33">
        <v>558.74</v>
      </c>
      <c r="N185" s="33">
        <v>564.46</v>
      </c>
      <c r="O185" s="35">
        <v>5611</v>
      </c>
      <c r="P185" s="56">
        <v>3.4799999999999998E-2</v>
      </c>
      <c r="Q185" s="56">
        <v>0.30449999999999999</v>
      </c>
      <c r="R185" s="62">
        <f t="shared" si="131"/>
        <v>3.412424550142884E-2</v>
      </c>
      <c r="S185" s="62">
        <f t="shared" si="132"/>
        <v>3.4851957099642478E-2</v>
      </c>
      <c r="T185" s="62">
        <f t="shared" si="132"/>
        <v>7.1339397182093806E-4</v>
      </c>
      <c r="U185" s="62">
        <f t="shared" si="133"/>
        <v>2.4999999999999998E-2</v>
      </c>
      <c r="V185" s="63">
        <f t="shared" si="133"/>
        <v>4.3700000000000017E-2</v>
      </c>
    </row>
    <row r="186" spans="1:24">
      <c r="A186" s="184">
        <v>163</v>
      </c>
      <c r="B186" s="148" t="s">
        <v>232</v>
      </c>
      <c r="C186" s="147" t="s">
        <v>90</v>
      </c>
      <c r="D186" s="33">
        <v>6049739674.96</v>
      </c>
      <c r="E186" s="34">
        <f t="shared" si="129"/>
        <v>4.8319173154798077E-2</v>
      </c>
      <c r="F186" s="33">
        <v>3.6657000000000002</v>
      </c>
      <c r="G186" s="33">
        <v>3.7219000000000002</v>
      </c>
      <c r="H186" s="35">
        <v>10202</v>
      </c>
      <c r="I186" s="56">
        <v>8.0999999999999996E-3</v>
      </c>
      <c r="J186" s="56">
        <v>0.19500000000000001</v>
      </c>
      <c r="K186" s="33">
        <v>6176544418.8999996</v>
      </c>
      <c r="L186" s="60">
        <f t="shared" si="130"/>
        <v>4.7176692965641698E-2</v>
      </c>
      <c r="M186" s="33">
        <v>3.7551999999999999</v>
      </c>
      <c r="N186" s="33">
        <v>3.8228</v>
      </c>
      <c r="O186" s="35">
        <v>10200</v>
      </c>
      <c r="P186" s="56">
        <v>2.5899999999999999E-2</v>
      </c>
      <c r="Q186" s="56">
        <v>0.22589999999999999</v>
      </c>
      <c r="R186" s="62">
        <f t="shared" si="131"/>
        <v>2.096036371033403E-2</v>
      </c>
      <c r="S186" s="62">
        <f t="shared" si="132"/>
        <v>2.7109809505897461E-2</v>
      </c>
      <c r="T186" s="62">
        <f t="shared" si="132"/>
        <v>-1.9603999215840032E-4</v>
      </c>
      <c r="U186" s="62">
        <f t="shared" si="133"/>
        <v>1.78E-2</v>
      </c>
      <c r="V186" s="63">
        <f t="shared" si="133"/>
        <v>3.0899999999999983E-2</v>
      </c>
    </row>
    <row r="187" spans="1:24">
      <c r="A187" s="184">
        <v>164</v>
      </c>
      <c r="B187" s="148" t="s">
        <v>233</v>
      </c>
      <c r="C187" s="147" t="s">
        <v>92</v>
      </c>
      <c r="D187" s="33">
        <v>336919700.08999997</v>
      </c>
      <c r="E187" s="34">
        <f t="shared" si="129"/>
        <v>2.6909722074973394E-3</v>
      </c>
      <c r="F187" s="33">
        <v>382.16472456000002</v>
      </c>
      <c r="G187" s="33">
        <v>382.16472456000002</v>
      </c>
      <c r="H187" s="35">
        <v>32</v>
      </c>
      <c r="I187" s="56">
        <v>1.46E-2</v>
      </c>
      <c r="J187" s="56">
        <v>9.9400000000000002E-2</v>
      </c>
      <c r="K187" s="33">
        <v>355608846.01999998</v>
      </c>
      <c r="L187" s="60">
        <f t="shared" si="130"/>
        <v>2.7161545690850006E-3</v>
      </c>
      <c r="M187" s="33">
        <v>402.20774562000003</v>
      </c>
      <c r="N187" s="33">
        <v>402.20774562000003</v>
      </c>
      <c r="O187" s="35">
        <v>32</v>
      </c>
      <c r="P187" s="56">
        <v>5.2400000000000002E-2</v>
      </c>
      <c r="Q187" s="56">
        <v>0.15709999999999999</v>
      </c>
      <c r="R187" s="62">
        <f t="shared" si="131"/>
        <v>5.5470623786640118E-2</v>
      </c>
      <c r="S187" s="62">
        <f t="shared" si="132"/>
        <v>5.2446025946210111E-2</v>
      </c>
      <c r="T187" s="62">
        <f t="shared" si="132"/>
        <v>0</v>
      </c>
      <c r="U187" s="62">
        <f t="shared" si="133"/>
        <v>3.78E-2</v>
      </c>
      <c r="V187" s="63">
        <f t="shared" si="133"/>
        <v>5.7699999999999987E-2</v>
      </c>
    </row>
    <row r="188" spans="1:24">
      <c r="A188" s="184">
        <v>165</v>
      </c>
      <c r="B188" s="148" t="s">
        <v>234</v>
      </c>
      <c r="C188" s="148" t="s">
        <v>94</v>
      </c>
      <c r="D188" s="53">
        <v>83347656.359999999</v>
      </c>
      <c r="E188" s="34">
        <f t="shared" si="129"/>
        <v>6.6569638630476695E-4</v>
      </c>
      <c r="F188" s="33">
        <v>1.6339473900000001</v>
      </c>
      <c r="G188" s="33">
        <v>1.6339473900000001</v>
      </c>
      <c r="H188" s="35">
        <v>34</v>
      </c>
      <c r="I188" s="56">
        <v>-8.5000000000000006E-3</v>
      </c>
      <c r="J188" s="56">
        <v>0.13800000000000001</v>
      </c>
      <c r="K188" s="53">
        <v>84095554.780000001</v>
      </c>
      <c r="L188" s="60">
        <f t="shared" si="130"/>
        <v>6.4232520622557428E-4</v>
      </c>
      <c r="M188" s="33">
        <v>1.64828606</v>
      </c>
      <c r="N188" s="33">
        <v>1.64828606</v>
      </c>
      <c r="O188" s="35">
        <v>29</v>
      </c>
      <c r="P188" s="56">
        <v>8.5000000000000006E-3</v>
      </c>
      <c r="Q188" s="56">
        <v>0.14799999999999999</v>
      </c>
      <c r="R188" s="62">
        <f t="shared" si="131"/>
        <v>8.9732387527447187E-3</v>
      </c>
      <c r="S188" s="62">
        <f t="shared" si="132"/>
        <v>8.7754783830585187E-3</v>
      </c>
      <c r="T188" s="62">
        <f t="shared" si="132"/>
        <v>-0.14705882352941177</v>
      </c>
      <c r="U188" s="62">
        <f t="shared" si="133"/>
        <v>1.7000000000000001E-2</v>
      </c>
      <c r="V188" s="63">
        <f t="shared" si="133"/>
        <v>9.9999999999999811E-3</v>
      </c>
    </row>
    <row r="189" spans="1:24" ht="13.5" customHeight="1">
      <c r="A189" s="184">
        <v>166</v>
      </c>
      <c r="B189" s="148" t="s">
        <v>235</v>
      </c>
      <c r="C189" s="147" t="s">
        <v>36</v>
      </c>
      <c r="D189" s="38">
        <v>10964569072.43</v>
      </c>
      <c r="E189" s="34">
        <f t="shared" si="129"/>
        <v>8.7573836238167044E-2</v>
      </c>
      <c r="F189" s="33">
        <v>7.4672409999999996</v>
      </c>
      <c r="G189" s="33">
        <v>7.5747669999999996</v>
      </c>
      <c r="H189" s="35">
        <v>8314</v>
      </c>
      <c r="I189" s="56">
        <v>1.8800000000000001E-2</v>
      </c>
      <c r="J189" s="56">
        <v>0.20250000000000001</v>
      </c>
      <c r="K189" s="38">
        <v>11720805753.16</v>
      </c>
      <c r="L189" s="60">
        <f t="shared" si="130"/>
        <v>8.9523982477119873E-2</v>
      </c>
      <c r="M189" s="33">
        <v>7.7214720000000003</v>
      </c>
      <c r="N189" s="33">
        <v>7.829161</v>
      </c>
      <c r="O189" s="35">
        <v>9024</v>
      </c>
      <c r="P189" s="56">
        <v>3.4000000000000002E-2</v>
      </c>
      <c r="Q189" s="56">
        <v>0.24340000000000001</v>
      </c>
      <c r="R189" s="62">
        <f t="shared" si="131"/>
        <v>6.8970944114121954E-2</v>
      </c>
      <c r="S189" s="62">
        <f t="shared" si="132"/>
        <v>3.3584399361723E-2</v>
      </c>
      <c r="T189" s="62">
        <f t="shared" si="132"/>
        <v>8.539812364686071E-2</v>
      </c>
      <c r="U189" s="62">
        <f t="shared" si="133"/>
        <v>1.5200000000000002E-2</v>
      </c>
      <c r="V189" s="63">
        <f t="shared" si="133"/>
        <v>4.0899999999999992E-2</v>
      </c>
      <c r="X189" s="134"/>
    </row>
    <row r="190" spans="1:24" ht="13.5" customHeight="1">
      <c r="A190" s="184">
        <v>167</v>
      </c>
      <c r="B190" s="148" t="s">
        <v>236</v>
      </c>
      <c r="C190" s="147" t="s">
        <v>237</v>
      </c>
      <c r="D190" s="38">
        <v>144224204.71000001</v>
      </c>
      <c r="E190" s="34">
        <f t="shared" si="129"/>
        <v>1.1519163955664938E-3</v>
      </c>
      <c r="F190" s="33">
        <v>2.9996</v>
      </c>
      <c r="G190" s="33">
        <v>3.0171000000000001</v>
      </c>
      <c r="H190" s="35">
        <v>118</v>
      </c>
      <c r="I190" s="56">
        <v>-4.0358999999999998E-5</v>
      </c>
      <c r="J190" s="56">
        <v>7.6210899999999996E-4</v>
      </c>
      <c r="K190" s="38">
        <v>149693125.84999999</v>
      </c>
      <c r="L190" s="60">
        <f t="shared" si="130"/>
        <v>1.1433620740560156E-3</v>
      </c>
      <c r="M190" s="33">
        <v>3.1103999999999998</v>
      </c>
      <c r="N190" s="33">
        <v>3.1305999999999998</v>
      </c>
      <c r="O190" s="35">
        <v>119</v>
      </c>
      <c r="P190" s="56">
        <v>2.7300000000000001E-2</v>
      </c>
      <c r="Q190" s="56">
        <v>0.11650000000000001</v>
      </c>
      <c r="R190" s="62">
        <f t="shared" si="131"/>
        <v>3.7919579109461296E-2</v>
      </c>
      <c r="S190" s="62">
        <f t="shared" si="132"/>
        <v>3.761890557157526E-2</v>
      </c>
      <c r="T190" s="62">
        <f t="shared" si="132"/>
        <v>8.4745762711864406E-3</v>
      </c>
      <c r="U190" s="62">
        <f>P190-I190</f>
        <v>2.7340359000000002E-2</v>
      </c>
      <c r="V190" s="63">
        <f>Q190-J190</f>
        <v>0.11573789100000001</v>
      </c>
    </row>
    <row r="191" spans="1:24">
      <c r="A191" s="184">
        <v>168</v>
      </c>
      <c r="B191" s="148" t="s">
        <v>238</v>
      </c>
      <c r="C191" s="147" t="s">
        <v>149</v>
      </c>
      <c r="D191" s="38">
        <v>1760659283.9000001</v>
      </c>
      <c r="E191" s="34">
        <f t="shared" si="129"/>
        <v>1.4062357287452934E-2</v>
      </c>
      <c r="F191" s="33">
        <v>439.82</v>
      </c>
      <c r="G191" s="33">
        <v>444.17</v>
      </c>
      <c r="H191" s="35">
        <v>158</v>
      </c>
      <c r="I191" s="56">
        <v>1.37E-2</v>
      </c>
      <c r="J191" s="56">
        <v>0.2359</v>
      </c>
      <c r="K191" s="38">
        <v>1807853027.72</v>
      </c>
      <c r="L191" s="60">
        <f t="shared" si="130"/>
        <v>1.3808453632223935E-2</v>
      </c>
      <c r="M191" s="33">
        <v>451</v>
      </c>
      <c r="N191" s="33">
        <v>455.61</v>
      </c>
      <c r="O191" s="35">
        <v>158</v>
      </c>
      <c r="P191" s="56">
        <v>1.37E-2</v>
      </c>
      <c r="Q191" s="56">
        <v>0.26729999999999998</v>
      </c>
      <c r="R191" s="62">
        <f t="shared" si="131"/>
        <v>2.6804586356686821E-2</v>
      </c>
      <c r="S191" s="62">
        <f t="shared" si="132"/>
        <v>2.5755904270887267E-2</v>
      </c>
      <c r="T191" s="62">
        <f t="shared" si="132"/>
        <v>0</v>
      </c>
      <c r="U191" s="62">
        <f t="shared" si="133"/>
        <v>0</v>
      </c>
      <c r="V191" s="63">
        <f t="shared" si="133"/>
        <v>3.1399999999999983E-2</v>
      </c>
    </row>
    <row r="192" spans="1:24">
      <c r="A192" s="184">
        <v>169</v>
      </c>
      <c r="B192" s="148" t="s">
        <v>338</v>
      </c>
      <c r="C192" s="147" t="s">
        <v>335</v>
      </c>
      <c r="D192" s="33">
        <v>49839760.32</v>
      </c>
      <c r="E192" s="34">
        <f t="shared" si="129"/>
        <v>3.9806936137489873E-4</v>
      </c>
      <c r="F192" s="33">
        <v>0.997</v>
      </c>
      <c r="G192" s="33">
        <v>1.0009999999999999</v>
      </c>
      <c r="H192" s="35">
        <v>1</v>
      </c>
      <c r="I192" s="56">
        <v>0</v>
      </c>
      <c r="J192" s="56">
        <v>0</v>
      </c>
      <c r="K192" s="33">
        <v>49923249.560000002</v>
      </c>
      <c r="L192" s="60">
        <f t="shared" si="130"/>
        <v>3.8131577409730255E-4</v>
      </c>
      <c r="M192" s="33">
        <v>0.998</v>
      </c>
      <c r="N192" s="33">
        <v>1.0009999999999999</v>
      </c>
      <c r="O192" s="35">
        <v>1</v>
      </c>
      <c r="P192" s="56">
        <v>0</v>
      </c>
      <c r="Q192" s="56">
        <v>0</v>
      </c>
      <c r="R192" s="62">
        <f t="shared" ref="R192" si="139">((K192-D192)/D192)</f>
        <v>1.675153320641051E-3</v>
      </c>
      <c r="S192" s="62">
        <f t="shared" ref="S192" si="140">((N192-G192)/G192)</f>
        <v>0</v>
      </c>
      <c r="T192" s="62">
        <f t="shared" ref="T192" si="141">((O192-H192)/H192)</f>
        <v>0</v>
      </c>
      <c r="U192" s="62">
        <f t="shared" ref="U192" si="142">P192-I192</f>
        <v>0</v>
      </c>
      <c r="V192" s="63">
        <f t="shared" ref="V192" si="143">Q192-J192</f>
        <v>0</v>
      </c>
    </row>
    <row r="193" spans="1:22">
      <c r="A193" s="184">
        <v>170</v>
      </c>
      <c r="B193" s="148" t="s">
        <v>239</v>
      </c>
      <c r="C193" s="147" t="s">
        <v>32</v>
      </c>
      <c r="D193" s="38">
        <v>2718416297.6100001</v>
      </c>
      <c r="E193" s="34">
        <f t="shared" ref="E193:E202" si="144">(D193/$D$203)</f>
        <v>2.1711947099923964E-2</v>
      </c>
      <c r="F193" s="33">
        <v>552.22</v>
      </c>
      <c r="G193" s="33">
        <v>552.22</v>
      </c>
      <c r="H193" s="35">
        <v>823</v>
      </c>
      <c r="I193" s="56">
        <v>6.6E-4</v>
      </c>
      <c r="J193" s="56">
        <v>0.26179999999999998</v>
      </c>
      <c r="K193" s="38">
        <v>2994594342.0900002</v>
      </c>
      <c r="L193" s="60">
        <f t="shared" si="130"/>
        <v>2.2872831190387174E-2</v>
      </c>
      <c r="M193" s="33">
        <v>552.22</v>
      </c>
      <c r="N193" s="33">
        <v>552.22</v>
      </c>
      <c r="O193" s="35">
        <v>823</v>
      </c>
      <c r="P193" s="56">
        <v>0.10159</v>
      </c>
      <c r="Q193" s="56">
        <v>0.39001999999999998</v>
      </c>
      <c r="R193" s="62">
        <f t="shared" si="131"/>
        <v>0.1015951989115179</v>
      </c>
      <c r="S193" s="62">
        <f t="shared" si="132"/>
        <v>0</v>
      </c>
      <c r="T193" s="62">
        <f t="shared" si="132"/>
        <v>0</v>
      </c>
      <c r="U193" s="62">
        <f t="shared" si="133"/>
        <v>0.10093000000000001</v>
      </c>
      <c r="V193" s="63">
        <f t="shared" si="133"/>
        <v>0.12822</v>
      </c>
    </row>
    <row r="194" spans="1:22">
      <c r="A194" s="184">
        <v>171</v>
      </c>
      <c r="B194" s="148" t="s">
        <v>240</v>
      </c>
      <c r="C194" s="147" t="s">
        <v>104</v>
      </c>
      <c r="D194" s="33">
        <v>54375721.829999998</v>
      </c>
      <c r="E194" s="34">
        <f t="shared" si="144"/>
        <v>4.3429801275511506E-4</v>
      </c>
      <c r="F194" s="33">
        <v>3.16</v>
      </c>
      <c r="G194" s="33">
        <v>3.16</v>
      </c>
      <c r="H194" s="35">
        <v>8</v>
      </c>
      <c r="I194" s="56">
        <v>1.89E-2</v>
      </c>
      <c r="J194" s="56">
        <v>0.20300000000000001</v>
      </c>
      <c r="K194" s="33">
        <v>54603290.359999999</v>
      </c>
      <c r="L194" s="60">
        <f t="shared" si="130"/>
        <v>4.1706211265072897E-4</v>
      </c>
      <c r="M194" s="33">
        <v>3.27</v>
      </c>
      <c r="N194" s="33">
        <v>3.27</v>
      </c>
      <c r="O194" s="35">
        <v>8</v>
      </c>
      <c r="P194" s="56">
        <v>1.9800000000000002E-2</v>
      </c>
      <c r="Q194" s="56">
        <v>0.24399999999999999</v>
      </c>
      <c r="R194" s="62">
        <f t="shared" si="131"/>
        <v>4.185112810299243E-3</v>
      </c>
      <c r="S194" s="62">
        <f t="shared" si="132"/>
        <v>3.4810126582278438E-2</v>
      </c>
      <c r="T194" s="62">
        <f t="shared" si="132"/>
        <v>0</v>
      </c>
      <c r="U194" s="62">
        <f t="shared" si="133"/>
        <v>9.0000000000000149E-4</v>
      </c>
      <c r="V194" s="63">
        <f t="shared" si="133"/>
        <v>4.0999999999999981E-2</v>
      </c>
    </row>
    <row r="195" spans="1:22">
      <c r="A195" s="184">
        <v>172</v>
      </c>
      <c r="B195" s="148" t="s">
        <v>241</v>
      </c>
      <c r="C195" s="147" t="s">
        <v>44</v>
      </c>
      <c r="D195" s="33">
        <v>576106209.49000001</v>
      </c>
      <c r="E195" s="34">
        <f t="shared" si="144"/>
        <v>4.6013509981461705E-3</v>
      </c>
      <c r="F195" s="33">
        <v>4.34</v>
      </c>
      <c r="G195" s="33">
        <v>4.41</v>
      </c>
      <c r="H195" s="35">
        <v>141</v>
      </c>
      <c r="I195" s="56">
        <v>-2.52E-2</v>
      </c>
      <c r="J195" s="56">
        <v>0.2046</v>
      </c>
      <c r="K195" s="33">
        <v>594275047.46000004</v>
      </c>
      <c r="L195" s="60">
        <f t="shared" si="130"/>
        <v>4.5390965481238417E-3</v>
      </c>
      <c r="M195" s="33">
        <v>4.47</v>
      </c>
      <c r="N195" s="33">
        <v>4.53</v>
      </c>
      <c r="O195" s="35">
        <v>141</v>
      </c>
      <c r="P195" s="56">
        <v>6.1800000000000001E-2</v>
      </c>
      <c r="Q195" s="56">
        <v>0.26640000000000003</v>
      </c>
      <c r="R195" s="62">
        <f t="shared" si="131"/>
        <v>3.1537306265252814E-2</v>
      </c>
      <c r="S195" s="62">
        <f t="shared" si="132"/>
        <v>2.721088435374152E-2</v>
      </c>
      <c r="T195" s="62">
        <f t="shared" si="132"/>
        <v>0</v>
      </c>
      <c r="U195" s="62">
        <f t="shared" si="133"/>
        <v>8.6999999999999994E-2</v>
      </c>
      <c r="V195" s="63">
        <f t="shared" si="133"/>
        <v>6.1800000000000022E-2</v>
      </c>
    </row>
    <row r="196" spans="1:22">
      <c r="A196" s="184">
        <v>173</v>
      </c>
      <c r="B196" s="148" t="s">
        <v>323</v>
      </c>
      <c r="C196" s="147" t="s">
        <v>324</v>
      </c>
      <c r="D196" s="33">
        <v>204833197.79023701</v>
      </c>
      <c r="E196" s="34">
        <f t="shared" si="144"/>
        <v>1.6359994452063602E-3</v>
      </c>
      <c r="F196" s="33">
        <v>123.249931058873</v>
      </c>
      <c r="G196" s="33">
        <v>123.986940282999</v>
      </c>
      <c r="H196" s="35">
        <v>113</v>
      </c>
      <c r="I196" s="56">
        <v>8.6E-3</v>
      </c>
      <c r="J196" s="56">
        <v>6.9199999999999998E-2</v>
      </c>
      <c r="K196" s="33">
        <v>204833197.79023701</v>
      </c>
      <c r="L196" s="34">
        <f t="shared" si="130"/>
        <v>1.5645241458559034E-3</v>
      </c>
      <c r="M196" s="33">
        <v>135.08000000000001</v>
      </c>
      <c r="N196" s="33">
        <v>136.01</v>
      </c>
      <c r="O196" s="35">
        <v>113</v>
      </c>
      <c r="P196" s="56">
        <v>9.6500000000000002E-2</v>
      </c>
      <c r="Q196" s="56">
        <v>0.1724</v>
      </c>
      <c r="R196" s="62">
        <f t="shared" ref="R196" si="145">((K196-D196)/D196)</f>
        <v>0</v>
      </c>
      <c r="S196" s="62">
        <f t="shared" ref="S196" si="146">((N196-G196)/G196)</f>
        <v>9.6970371956582452E-2</v>
      </c>
      <c r="T196" s="62">
        <f t="shared" ref="T196" si="147">((O196-H196)/H196)</f>
        <v>0</v>
      </c>
      <c r="U196" s="62">
        <f t="shared" ref="U196" si="148">P196-I196</f>
        <v>8.7900000000000006E-2</v>
      </c>
      <c r="V196" s="63">
        <f t="shared" ref="V196" si="149">Q196-J196</f>
        <v>0.1032</v>
      </c>
    </row>
    <row r="197" spans="1:22">
      <c r="A197" s="184">
        <v>174</v>
      </c>
      <c r="B197" s="148" t="s">
        <v>242</v>
      </c>
      <c r="C197" s="147" t="s">
        <v>48</v>
      </c>
      <c r="D197" s="38">
        <v>10971272870.469999</v>
      </c>
      <c r="E197" s="34">
        <f t="shared" si="144"/>
        <v>8.7627379364928384E-2</v>
      </c>
      <c r="F197" s="33">
        <v>12076.9</v>
      </c>
      <c r="G197" s="33">
        <v>12188.58</v>
      </c>
      <c r="H197" s="35">
        <v>6277</v>
      </c>
      <c r="I197" s="56">
        <v>2.0899999999999998E-2</v>
      </c>
      <c r="J197" s="56">
        <v>0.2525</v>
      </c>
      <c r="K197" s="38">
        <v>11579962840.030001</v>
      </c>
      <c r="L197" s="34">
        <f t="shared" si="130"/>
        <v>8.8448218681300872E-2</v>
      </c>
      <c r="M197" s="33">
        <v>12701.44</v>
      </c>
      <c r="N197" s="33">
        <v>12822.44</v>
      </c>
      <c r="O197" s="35">
        <v>6428</v>
      </c>
      <c r="P197" s="56">
        <v>5.1999999999999998E-2</v>
      </c>
      <c r="Q197" s="56">
        <v>0.31759999999999999</v>
      </c>
      <c r="R197" s="62">
        <f t="shared" si="131"/>
        <v>5.5480341866105246E-2</v>
      </c>
      <c r="S197" s="62">
        <f t="shared" si="132"/>
        <v>5.2004417249589416E-2</v>
      </c>
      <c r="T197" s="62">
        <f t="shared" si="132"/>
        <v>2.4056077744145293E-2</v>
      </c>
      <c r="U197" s="62">
        <f t="shared" si="133"/>
        <v>3.1099999999999999E-2</v>
      </c>
      <c r="V197" s="63">
        <f t="shared" si="133"/>
        <v>6.5099999999999991E-2</v>
      </c>
    </row>
    <row r="198" spans="1:22">
      <c r="A198" s="184">
        <v>175</v>
      </c>
      <c r="B198" s="148" t="s">
        <v>243</v>
      </c>
      <c r="C198" s="148" t="s">
        <v>114</v>
      </c>
      <c r="D198" s="38">
        <v>198217109.25999999</v>
      </c>
      <c r="E198" s="34">
        <f t="shared" si="144"/>
        <v>1.5831568528840534E-3</v>
      </c>
      <c r="F198" s="33">
        <v>1690.6367</v>
      </c>
      <c r="G198" s="33">
        <v>1719.1259</v>
      </c>
      <c r="H198" s="35">
        <v>76</v>
      </c>
      <c r="I198" s="56">
        <v>1.34E-2</v>
      </c>
      <c r="J198" s="56">
        <v>0.1706</v>
      </c>
      <c r="K198" s="38">
        <v>207347535.66999999</v>
      </c>
      <c r="L198" s="34">
        <f t="shared" si="130"/>
        <v>1.5837287590053681E-3</v>
      </c>
      <c r="M198" s="33">
        <v>1748.6288999999999</v>
      </c>
      <c r="N198" s="33">
        <v>1778.6113</v>
      </c>
      <c r="O198" s="35">
        <v>84</v>
      </c>
      <c r="P198" s="56">
        <v>3.4299999999999997E-2</v>
      </c>
      <c r="Q198" s="56">
        <v>0.21179999999999999</v>
      </c>
      <c r="R198" s="62">
        <f t="shared" si="131"/>
        <v>4.6062756358855379E-2</v>
      </c>
      <c r="S198" s="62">
        <f t="shared" si="132"/>
        <v>3.4602119600431837E-2</v>
      </c>
      <c r="T198" s="62">
        <f t="shared" si="132"/>
        <v>0.10526315789473684</v>
      </c>
      <c r="U198" s="62">
        <f t="shared" si="133"/>
        <v>2.0899999999999995E-2</v>
      </c>
      <c r="V198" s="63">
        <f t="shared" si="133"/>
        <v>4.1199999999999987E-2</v>
      </c>
    </row>
    <row r="199" spans="1:22">
      <c r="A199" s="184">
        <v>176</v>
      </c>
      <c r="B199" s="148" t="s">
        <v>244</v>
      </c>
      <c r="C199" s="148" t="s">
        <v>94</v>
      </c>
      <c r="D199" s="38">
        <v>836763482.03999996</v>
      </c>
      <c r="E199" s="34">
        <f t="shared" si="144"/>
        <v>6.6832164275845238E-3</v>
      </c>
      <c r="F199" s="33">
        <v>1.5920000000000001</v>
      </c>
      <c r="G199" s="33">
        <v>1.5920000000000001</v>
      </c>
      <c r="H199" s="35">
        <v>47</v>
      </c>
      <c r="I199" s="56">
        <v>2.8E-3</v>
      </c>
      <c r="J199" s="56">
        <v>4.1399999999999999E-2</v>
      </c>
      <c r="K199" s="38">
        <v>839156419.99000001</v>
      </c>
      <c r="L199" s="34">
        <f t="shared" si="130"/>
        <v>6.4095102521849528E-3</v>
      </c>
      <c r="M199" s="33">
        <v>1.5959612400000001</v>
      </c>
      <c r="N199" s="33">
        <v>1.5959612400000001</v>
      </c>
      <c r="O199" s="35">
        <v>47</v>
      </c>
      <c r="P199" s="56">
        <v>1.8E-3</v>
      </c>
      <c r="Q199" s="56">
        <v>4.41E-2</v>
      </c>
      <c r="R199" s="62">
        <f t="shared" si="131"/>
        <v>2.8597542810617749E-3</v>
      </c>
      <c r="S199" s="62">
        <f t="shared" si="132"/>
        <v>2.4882160804019955E-3</v>
      </c>
      <c r="T199" s="62">
        <f t="shared" si="132"/>
        <v>0</v>
      </c>
      <c r="U199" s="62">
        <f t="shared" si="133"/>
        <v>-1E-3</v>
      </c>
      <c r="V199" s="63">
        <f t="shared" si="133"/>
        <v>2.700000000000001E-3</v>
      </c>
    </row>
    <row r="200" spans="1:22">
      <c r="A200" s="184">
        <v>177</v>
      </c>
      <c r="B200" s="148" t="s">
        <v>245</v>
      </c>
      <c r="C200" s="147" t="s">
        <v>51</v>
      </c>
      <c r="D200" s="33">
        <v>6004003543.0699997</v>
      </c>
      <c r="E200" s="34">
        <f t="shared" si="144"/>
        <v>4.7953879407470312E-2</v>
      </c>
      <c r="F200" s="33">
        <v>2.7732000000000001</v>
      </c>
      <c r="G200" s="33">
        <v>2.7919100000000001</v>
      </c>
      <c r="H200" s="35">
        <v>3331</v>
      </c>
      <c r="I200" s="56">
        <v>1.12E-2</v>
      </c>
      <c r="J200" s="56">
        <v>0.24859999999999999</v>
      </c>
      <c r="K200" s="33">
        <v>6914940259.1000004</v>
      </c>
      <c r="L200" s="60">
        <f t="shared" si="130"/>
        <v>5.2816589884965778E-2</v>
      </c>
      <c r="M200" s="33">
        <v>2.8572000000000002</v>
      </c>
      <c r="N200" s="33">
        <v>2.875</v>
      </c>
      <c r="O200" s="35">
        <v>3355</v>
      </c>
      <c r="P200" s="56">
        <v>3.0300000000000001E-2</v>
      </c>
      <c r="Q200" s="56">
        <v>0.28639999999999999</v>
      </c>
      <c r="R200" s="62">
        <f t="shared" si="131"/>
        <v>0.15172154871251384</v>
      </c>
      <c r="S200" s="62">
        <f t="shared" si="132"/>
        <v>2.9760987997464058E-2</v>
      </c>
      <c r="T200" s="62">
        <f t="shared" si="132"/>
        <v>7.2050435304713296E-3</v>
      </c>
      <c r="U200" s="62">
        <f t="shared" si="133"/>
        <v>1.9099999999999999E-2</v>
      </c>
      <c r="V200" s="63">
        <f t="shared" si="133"/>
        <v>3.78E-2</v>
      </c>
    </row>
    <row r="201" spans="1:22">
      <c r="A201" s="184">
        <v>178</v>
      </c>
      <c r="B201" s="148" t="s">
        <v>246</v>
      </c>
      <c r="C201" s="147" t="s">
        <v>51</v>
      </c>
      <c r="D201" s="33">
        <v>3852756511.2800002</v>
      </c>
      <c r="E201" s="34">
        <f t="shared" si="144"/>
        <v>3.0771904080822282E-2</v>
      </c>
      <c r="F201" s="33">
        <v>2.2589199999999998</v>
      </c>
      <c r="G201" s="33">
        <v>2.2753000000000001</v>
      </c>
      <c r="H201" s="35">
        <v>1792</v>
      </c>
      <c r="I201" s="56">
        <v>0.01</v>
      </c>
      <c r="J201" s="56">
        <v>0.26369999999999999</v>
      </c>
      <c r="K201" s="33">
        <v>3981368833.21</v>
      </c>
      <c r="L201" s="60">
        <f t="shared" si="130"/>
        <v>3.0409854165798122E-2</v>
      </c>
      <c r="M201" s="33">
        <v>2.3323999999999998</v>
      </c>
      <c r="N201" s="33">
        <v>2.3498999999999999</v>
      </c>
      <c r="O201" s="35">
        <v>1822</v>
      </c>
      <c r="P201" s="56">
        <v>3.2500000000000001E-2</v>
      </c>
      <c r="Q201" s="56">
        <v>0.30480000000000002</v>
      </c>
      <c r="R201" s="62">
        <f t="shared" si="131"/>
        <v>3.3381897234733629E-2</v>
      </c>
      <c r="S201" s="62">
        <f t="shared" si="132"/>
        <v>3.2786885245901537E-2</v>
      </c>
      <c r="T201" s="62">
        <f t="shared" si="132"/>
        <v>1.6741071428571428E-2</v>
      </c>
      <c r="U201" s="62">
        <f t="shared" si="133"/>
        <v>2.2499999999999999E-2</v>
      </c>
      <c r="V201" s="63">
        <f t="shared" si="133"/>
        <v>4.1100000000000025E-2</v>
      </c>
    </row>
    <row r="202" spans="1:22">
      <c r="A202" s="184">
        <v>179</v>
      </c>
      <c r="B202" s="148" t="s">
        <v>247</v>
      </c>
      <c r="C202" s="147" t="s">
        <v>119</v>
      </c>
      <c r="D202" s="67">
        <v>13159440421.450001</v>
      </c>
      <c r="E202" s="34">
        <f t="shared" si="144"/>
        <v>0.10510423828253333</v>
      </c>
      <c r="F202" s="33">
        <v>832.64</v>
      </c>
      <c r="G202" s="33">
        <v>841.82</v>
      </c>
      <c r="H202" s="35">
        <v>41</v>
      </c>
      <c r="I202" s="56">
        <v>1.5699999999999999E-2</v>
      </c>
      <c r="J202" s="56">
        <v>0.21079999999999999</v>
      </c>
      <c r="K202" s="67">
        <v>13551841668.299999</v>
      </c>
      <c r="L202" s="60">
        <f t="shared" si="130"/>
        <v>0.10350950792939316</v>
      </c>
      <c r="M202" s="33">
        <v>857.32</v>
      </c>
      <c r="N202" s="33">
        <v>867</v>
      </c>
      <c r="O202" s="35">
        <v>41</v>
      </c>
      <c r="P202" s="56">
        <v>2.98E-2</v>
      </c>
      <c r="Q202" s="56">
        <v>0.24690000000000001</v>
      </c>
      <c r="R202" s="62">
        <f t="shared" si="131"/>
        <v>2.9818991863087209E-2</v>
      </c>
      <c r="S202" s="62">
        <f t="shared" si="132"/>
        <v>2.9911382480815315E-2</v>
      </c>
      <c r="T202" s="62">
        <f t="shared" si="132"/>
        <v>0</v>
      </c>
      <c r="U202" s="62">
        <f t="shared" si="133"/>
        <v>1.4100000000000001E-2</v>
      </c>
      <c r="V202" s="63">
        <f t="shared" si="133"/>
        <v>3.6100000000000021E-2</v>
      </c>
    </row>
    <row r="203" spans="1:22">
      <c r="A203" s="41"/>
      <c r="B203" s="42"/>
      <c r="C203" s="43" t="s">
        <v>54</v>
      </c>
      <c r="D203" s="85">
        <f>SUM(D173:D202)</f>
        <v>125203708589.52214</v>
      </c>
      <c r="E203" s="45">
        <f>(D203/$D$238)</f>
        <v>1.4518985207928338E-2</v>
      </c>
      <c r="F203" s="46"/>
      <c r="G203" s="86"/>
      <c r="H203" s="48">
        <f>SUM(H173:H202)</f>
        <v>88673</v>
      </c>
      <c r="I203" s="104"/>
      <c r="J203" s="104"/>
      <c r="K203" s="85">
        <f>SUM(K173:K202)</f>
        <v>130923641116.56393</v>
      </c>
      <c r="L203" s="45">
        <f>(K203/$K$238)</f>
        <v>1.507966050370887E-2</v>
      </c>
      <c r="M203" s="46"/>
      <c r="N203" s="86"/>
      <c r="O203" s="48">
        <f>SUM(O173:O202)</f>
        <v>89729</v>
      </c>
      <c r="P203" s="104"/>
      <c r="Q203" s="104"/>
      <c r="R203" s="62">
        <f t="shared" ref="R203" si="150">((K203-D203)/D203)</f>
        <v>4.5685008786716365E-2</v>
      </c>
      <c r="S203" s="62" t="e">
        <f t="shared" ref="S203" si="151">((N203-G203)/G203)</f>
        <v>#DIV/0!</v>
      </c>
      <c r="T203" s="62">
        <f t="shared" ref="T203" si="152">((O203-H203)/H203)</f>
        <v>1.1908923798676035E-2</v>
      </c>
      <c r="U203" s="62">
        <f t="shared" ref="U203" si="153">P203-I203</f>
        <v>0</v>
      </c>
      <c r="V203" s="63">
        <f t="shared" ref="V203" si="154">Q203-J203</f>
        <v>0</v>
      </c>
    </row>
    <row r="204" spans="1:22" ht="5.25" customHeight="1">
      <c r="A204" s="41"/>
      <c r="B204" s="190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</row>
    <row r="205" spans="1:22" ht="15" customHeight="1">
      <c r="A205" s="192" t="s">
        <v>248</v>
      </c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</row>
    <row r="206" spans="1:22" ht="15" customHeight="1">
      <c r="A206" s="181">
        <v>180</v>
      </c>
      <c r="B206" s="148" t="s">
        <v>328</v>
      </c>
      <c r="C206" s="147" t="s">
        <v>135</v>
      </c>
      <c r="D206" s="87">
        <v>595445570.10000002</v>
      </c>
      <c r="E206" s="34">
        <v>0</v>
      </c>
      <c r="F206" s="88">
        <v>1031.47</v>
      </c>
      <c r="G206" s="88">
        <v>1031.47</v>
      </c>
      <c r="H206" s="35">
        <v>33</v>
      </c>
      <c r="I206" s="56">
        <v>1.8E-3</v>
      </c>
      <c r="J206" s="56">
        <v>3.0360000000000002E-2</v>
      </c>
      <c r="K206" s="87">
        <v>596940718.73000002</v>
      </c>
      <c r="L206" s="60">
        <f>(K206/$K$209)</f>
        <v>3.5715687285771472E-2</v>
      </c>
      <c r="M206" s="88">
        <v>1034.06</v>
      </c>
      <c r="N206" s="88">
        <v>1034.06</v>
      </c>
      <c r="O206" s="35">
        <v>33</v>
      </c>
      <c r="P206" s="56">
        <v>1.7899999999999999E-3</v>
      </c>
      <c r="Q206" s="56">
        <v>3.295E-2</v>
      </c>
      <c r="R206" s="62">
        <f>((K206-D206)/D206)</f>
        <v>2.5109744787401773E-3</v>
      </c>
      <c r="S206" s="62">
        <f t="shared" ref="S206" si="155">((N206-G206)/G206)</f>
        <v>2.5109794758935481E-3</v>
      </c>
      <c r="T206" s="62">
        <f t="shared" ref="T206" si="156">((O206-H206)/H206)</f>
        <v>0</v>
      </c>
      <c r="U206" s="62">
        <f t="shared" ref="U206" si="157">P206-I206</f>
        <v>-1.0000000000000026E-5</v>
      </c>
      <c r="V206" s="63">
        <f t="shared" ref="V206" si="158">Q206-J206</f>
        <v>2.5899999999999986E-3</v>
      </c>
    </row>
    <row r="207" spans="1:22">
      <c r="A207" s="181">
        <v>181</v>
      </c>
      <c r="B207" s="148" t="s">
        <v>249</v>
      </c>
      <c r="C207" s="147" t="s">
        <v>250</v>
      </c>
      <c r="D207" s="87">
        <v>1841039517.4100001</v>
      </c>
      <c r="E207" s="34">
        <f>(D207/$D$209)</f>
        <v>0.11927127578064749</v>
      </c>
      <c r="F207" s="88">
        <v>50.173900000000003</v>
      </c>
      <c r="G207" s="88">
        <v>50.700699999999998</v>
      </c>
      <c r="H207" s="35">
        <v>1334</v>
      </c>
      <c r="I207" s="56">
        <v>2.4500000000000001E-2</v>
      </c>
      <c r="J207" s="56">
        <v>0.25530000000000003</v>
      </c>
      <c r="K207" s="87">
        <v>1841039517.4100001</v>
      </c>
      <c r="L207" s="60">
        <f>(K207/$K$209)</f>
        <v>0.11015162749235091</v>
      </c>
      <c r="M207" s="88">
        <v>51.130600000000001</v>
      </c>
      <c r="N207" s="88">
        <v>51.6768</v>
      </c>
      <c r="O207" s="35">
        <v>1335</v>
      </c>
      <c r="P207" s="56">
        <v>2.46E-2</v>
      </c>
      <c r="Q207" s="56">
        <v>0.27939999999999998</v>
      </c>
      <c r="R207" s="62">
        <f>((K207-D207)/D207)</f>
        <v>0</v>
      </c>
      <c r="S207" s="62">
        <f t="shared" ref="S207:T209" si="159">((N207-G207)/G207)</f>
        <v>1.925219967377181E-2</v>
      </c>
      <c r="T207" s="62">
        <f t="shared" si="159"/>
        <v>7.4962518740629683E-4</v>
      </c>
      <c r="U207" s="62">
        <f t="shared" ref="U207:V209" si="160">P207-I207</f>
        <v>9.9999999999999395E-5</v>
      </c>
      <c r="V207" s="63">
        <f t="shared" si="160"/>
        <v>2.4099999999999955E-2</v>
      </c>
    </row>
    <row r="208" spans="1:22">
      <c r="A208" s="181">
        <v>182</v>
      </c>
      <c r="B208" s="148" t="s">
        <v>251</v>
      </c>
      <c r="C208" s="147" t="s">
        <v>48</v>
      </c>
      <c r="D208" s="50">
        <v>12999247492.360001</v>
      </c>
      <c r="E208" s="34">
        <f>(D208/$D$209)</f>
        <v>0.8421529347633645</v>
      </c>
      <c r="F208" s="88">
        <v>6.09</v>
      </c>
      <c r="G208" s="88">
        <v>6.17</v>
      </c>
      <c r="H208" s="35">
        <v>14381</v>
      </c>
      <c r="I208" s="56">
        <v>2.6599999999999999E-2</v>
      </c>
      <c r="J208" s="56">
        <v>0.36199999999999999</v>
      </c>
      <c r="K208" s="50">
        <v>14275703976.450001</v>
      </c>
      <c r="L208" s="60">
        <f>(K208/$K$209)</f>
        <v>0.85413268522187769</v>
      </c>
      <c r="M208" s="88">
        <v>6.53</v>
      </c>
      <c r="N208" s="88">
        <v>6.62</v>
      </c>
      <c r="O208" s="35">
        <v>14574</v>
      </c>
      <c r="P208" s="56">
        <v>7.2900000000000006E-2</v>
      </c>
      <c r="Q208" s="56">
        <v>0.46139999999999998</v>
      </c>
      <c r="R208" s="62">
        <f>((K208-D208)/D208)</f>
        <v>9.8194644331543596E-2</v>
      </c>
      <c r="S208" s="62">
        <f t="shared" si="159"/>
        <v>7.2933549432739095E-2</v>
      </c>
      <c r="T208" s="62">
        <f t="shared" si="159"/>
        <v>1.3420485362631249E-2</v>
      </c>
      <c r="U208" s="62">
        <f t="shared" si="160"/>
        <v>4.6300000000000008E-2</v>
      </c>
      <c r="V208" s="63">
        <f t="shared" si="160"/>
        <v>9.9399999999999988E-2</v>
      </c>
    </row>
    <row r="209" spans="1:24">
      <c r="A209" s="41"/>
      <c r="B209" s="42"/>
      <c r="C209" s="77" t="s">
        <v>54</v>
      </c>
      <c r="D209" s="85">
        <f>SUM(D206:D208)</f>
        <v>15435732579.870001</v>
      </c>
      <c r="E209" s="45">
        <f>(D209/$D$238)</f>
        <v>1.7899723221091962E-3</v>
      </c>
      <c r="F209" s="46"/>
      <c r="G209" s="86"/>
      <c r="H209" s="48">
        <f>SUM(H206:H208)</f>
        <v>15748</v>
      </c>
      <c r="I209" s="104"/>
      <c r="J209" s="104"/>
      <c r="K209" s="85">
        <f>SUM(K206:K208)</f>
        <v>16713684212.59</v>
      </c>
      <c r="L209" s="45">
        <f>(K209/$K$238)</f>
        <v>1.9250662565033813E-3</v>
      </c>
      <c r="M209" s="46"/>
      <c r="N209" s="86"/>
      <c r="O209" s="48">
        <f>SUM(O206:O208)</f>
        <v>15942</v>
      </c>
      <c r="P209" s="104"/>
      <c r="Q209" s="104"/>
      <c r="R209" s="62">
        <f>((K209-D209)/D209)</f>
        <v>8.279177072467539E-2</v>
      </c>
      <c r="S209" s="62" t="e">
        <f t="shared" si="159"/>
        <v>#DIV/0!</v>
      </c>
      <c r="T209" s="62">
        <f t="shared" si="159"/>
        <v>1.2319024638049276E-2</v>
      </c>
      <c r="U209" s="62">
        <f t="shared" si="160"/>
        <v>0</v>
      </c>
      <c r="V209" s="63">
        <f t="shared" si="160"/>
        <v>0</v>
      </c>
    </row>
    <row r="210" spans="1:24" ht="6" customHeight="1">
      <c r="A210" s="41"/>
      <c r="B210" s="190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</row>
    <row r="211" spans="1:24" ht="15" customHeight="1">
      <c r="A211" s="188" t="s">
        <v>252</v>
      </c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</row>
    <row r="212" spans="1:24">
      <c r="A212" s="191" t="s">
        <v>253</v>
      </c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</row>
    <row r="213" spans="1:24">
      <c r="A213" s="181">
        <v>183</v>
      </c>
      <c r="B213" s="148" t="s">
        <v>254</v>
      </c>
      <c r="C213" s="147" t="s">
        <v>255</v>
      </c>
      <c r="D213" s="54">
        <v>14043729969.059999</v>
      </c>
      <c r="E213" s="34">
        <f>(D213/$D$237)</f>
        <v>0.11991783021735419</v>
      </c>
      <c r="F213" s="89">
        <v>3.68</v>
      </c>
      <c r="G213" s="89">
        <v>3.75</v>
      </c>
      <c r="H213" s="52">
        <v>15885</v>
      </c>
      <c r="I213" s="59">
        <v>5.3E-3</v>
      </c>
      <c r="J213" s="59">
        <v>0.24840000000000001</v>
      </c>
      <c r="K213" s="54">
        <v>14725574843.99</v>
      </c>
      <c r="L213" s="34">
        <f>(K213/$K$237)</f>
        <v>0.12213774779442006</v>
      </c>
      <c r="M213" s="89">
        <v>3.85</v>
      </c>
      <c r="N213" s="89">
        <v>3.92</v>
      </c>
      <c r="O213" s="52">
        <v>16241</v>
      </c>
      <c r="P213" s="59">
        <v>4.6199999999999998E-2</v>
      </c>
      <c r="Q213" s="59">
        <v>0.30609999999999998</v>
      </c>
      <c r="R213" s="61">
        <f>((K213-D213)/D213)</f>
        <v>4.8551551221234342E-2</v>
      </c>
      <c r="S213" s="61">
        <f>((N213-G213)/G213)</f>
        <v>4.5333333333333316E-2</v>
      </c>
      <c r="T213" s="61">
        <f>((O213-H213)/H213)</f>
        <v>2.241107963487567E-2</v>
      </c>
      <c r="U213" s="61">
        <f>P213-I213</f>
        <v>4.0899999999999999E-2</v>
      </c>
      <c r="V213" s="108">
        <f>Q213-J213</f>
        <v>5.7699999999999974E-2</v>
      </c>
    </row>
    <row r="214" spans="1:24">
      <c r="A214" s="181">
        <v>184</v>
      </c>
      <c r="B214" s="148" t="s">
        <v>256</v>
      </c>
      <c r="C214" s="147" t="s">
        <v>48</v>
      </c>
      <c r="D214" s="54">
        <v>22515206270.040001</v>
      </c>
      <c r="E214" s="34">
        <f>(D214/$D$237)</f>
        <v>0.19225481326882027</v>
      </c>
      <c r="F214" s="89">
        <v>1264.6400000000001</v>
      </c>
      <c r="G214" s="89">
        <v>1280.22</v>
      </c>
      <c r="H214" s="52">
        <v>5869</v>
      </c>
      <c r="I214" s="59">
        <v>1.3100000000000001E-2</v>
      </c>
      <c r="J214" s="59">
        <v>0.34649999999999997</v>
      </c>
      <c r="K214" s="54">
        <v>24772842395.169998</v>
      </c>
      <c r="L214" s="34">
        <f>(K214/$K$237)</f>
        <v>0.20547239810112264</v>
      </c>
      <c r="M214" s="89">
        <v>1338.65</v>
      </c>
      <c r="N214" s="89">
        <v>1356.07</v>
      </c>
      <c r="O214" s="52">
        <v>6045</v>
      </c>
      <c r="P214" s="59">
        <v>5.9200000000000003E-2</v>
      </c>
      <c r="Q214" s="59">
        <v>0.42620000000000002</v>
      </c>
      <c r="R214" s="61">
        <f>((K214-D214)/D214)</f>
        <v>0.10027161634908648</v>
      </c>
      <c r="S214" s="61">
        <f>((N214-G214)/G214)</f>
        <v>5.9247629313711636E-2</v>
      </c>
      <c r="T214" s="61">
        <f>((O214-H214)/H214)</f>
        <v>2.9988072925540978E-2</v>
      </c>
      <c r="U214" s="61">
        <f>P214-I214</f>
        <v>4.6100000000000002E-2</v>
      </c>
      <c r="V214" s="108">
        <f>Q214-J214</f>
        <v>7.9700000000000049E-2</v>
      </c>
    </row>
    <row r="215" spans="1:24" ht="6" customHeight="1">
      <c r="A215" s="76"/>
      <c r="B215" s="190"/>
      <c r="C215" s="190"/>
      <c r="D215" s="190"/>
      <c r="E215" s="190"/>
      <c r="F215" s="190"/>
      <c r="G215" s="190"/>
      <c r="H215" s="190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</row>
    <row r="216" spans="1:24" ht="15" customHeight="1">
      <c r="A216" s="191" t="s">
        <v>190</v>
      </c>
      <c r="B216" s="191"/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</row>
    <row r="217" spans="1:24">
      <c r="A217" s="181">
        <v>185</v>
      </c>
      <c r="B217" s="148" t="s">
        <v>257</v>
      </c>
      <c r="C217" s="147" t="s">
        <v>23</v>
      </c>
      <c r="D217" s="38">
        <v>1519600232.22</v>
      </c>
      <c r="E217" s="34">
        <f>(D217/$D$237)</f>
        <v>1.297569542045297E-2</v>
      </c>
      <c r="F217" s="88">
        <v>1.1758</v>
      </c>
      <c r="G217" s="88">
        <v>1.1758</v>
      </c>
      <c r="H217" s="35">
        <v>901</v>
      </c>
      <c r="I217" s="56">
        <v>7.9899999999999999E-2</v>
      </c>
      <c r="J217" s="56">
        <v>0.13220000000000001</v>
      </c>
      <c r="K217" s="38">
        <v>1524266429.22</v>
      </c>
      <c r="L217" s="34">
        <f t="shared" ref="L217:L230" si="161">(K217/$K$237)</f>
        <v>1.2642662216990192E-2</v>
      </c>
      <c r="M217" s="88">
        <v>1.1789000000000001</v>
      </c>
      <c r="N217" s="88">
        <v>1.1789000000000001</v>
      </c>
      <c r="O217" s="35">
        <v>904</v>
      </c>
      <c r="P217" s="56">
        <v>0.13750000000000001</v>
      </c>
      <c r="Q217" s="56">
        <v>0.13289999999999999</v>
      </c>
      <c r="R217" s="62">
        <f>((K217-D217)/D217)</f>
        <v>3.0706740503606686E-3</v>
      </c>
      <c r="S217" s="62">
        <f>((N217-G217)/G217)</f>
        <v>2.6365028065998492E-3</v>
      </c>
      <c r="T217" s="62">
        <f>((O217-H217)/H217)</f>
        <v>3.3296337402885681E-3</v>
      </c>
      <c r="U217" s="62">
        <f>P217-I217</f>
        <v>5.7600000000000012E-2</v>
      </c>
      <c r="V217" s="63">
        <f>Q217-J217</f>
        <v>6.9999999999997842E-4</v>
      </c>
      <c r="X217" s="109"/>
    </row>
    <row r="218" spans="1:24">
      <c r="A218" s="181">
        <v>186</v>
      </c>
      <c r="B218" s="148" t="s">
        <v>258</v>
      </c>
      <c r="C218" s="147" t="s">
        <v>259</v>
      </c>
      <c r="D218" s="38">
        <v>372347841.75</v>
      </c>
      <c r="E218" s="34">
        <f>(D218/$D$237)</f>
        <v>3.1794363297461947E-3</v>
      </c>
      <c r="F218" s="88">
        <v>1137.57</v>
      </c>
      <c r="G218" s="88">
        <v>1137.57</v>
      </c>
      <c r="H218" s="35">
        <v>19</v>
      </c>
      <c r="I218" s="56">
        <v>2.5999999999999999E-3</v>
      </c>
      <c r="J218" s="56">
        <v>3.2500000000000001E-2</v>
      </c>
      <c r="K218" s="38">
        <v>372114583.73000002</v>
      </c>
      <c r="L218" s="34">
        <f t="shared" si="161"/>
        <v>3.086415142346019E-3</v>
      </c>
      <c r="M218" s="88">
        <v>1136.8599999999999</v>
      </c>
      <c r="N218" s="88">
        <v>1136.8599999999999</v>
      </c>
      <c r="O218" s="35">
        <v>19</v>
      </c>
      <c r="P218" s="56">
        <v>2.3999999999999998E-3</v>
      </c>
      <c r="Q218" s="56">
        <v>3.4799999999999998E-2</v>
      </c>
      <c r="R218" s="62">
        <f>((K218-D218)/D218)</f>
        <v>-6.264519190004971E-4</v>
      </c>
      <c r="S218" s="62">
        <f>((N218-G218)/G218)</f>
        <v>-6.2413741571950426E-4</v>
      </c>
      <c r="T218" s="62">
        <f>((O218-H218)/H218)</f>
        <v>0</v>
      </c>
      <c r="U218" s="62">
        <f>P218-I218</f>
        <v>-2.0000000000000009E-4</v>
      </c>
      <c r="V218" s="63">
        <f>Q218-J218</f>
        <v>2.2999999999999965E-3</v>
      </c>
      <c r="X218" s="109"/>
    </row>
    <row r="219" spans="1:24">
      <c r="A219" s="181">
        <v>187</v>
      </c>
      <c r="B219" s="148" t="s">
        <v>260</v>
      </c>
      <c r="C219" s="147" t="s">
        <v>71</v>
      </c>
      <c r="D219" s="38">
        <v>337999721.99000001</v>
      </c>
      <c r="E219" s="34">
        <f>(D219/$D$237)</f>
        <v>2.8861415994473664E-3</v>
      </c>
      <c r="F219" s="88">
        <v>127.49</v>
      </c>
      <c r="G219" s="88">
        <v>127.49</v>
      </c>
      <c r="H219" s="35">
        <v>82</v>
      </c>
      <c r="I219" s="56">
        <v>3.0999999999999999E-3</v>
      </c>
      <c r="J219" s="56">
        <v>0.14990000000000001</v>
      </c>
      <c r="K219" s="38">
        <v>338180547.04000002</v>
      </c>
      <c r="L219" s="34">
        <f t="shared" si="161"/>
        <v>2.804957415988981E-3</v>
      </c>
      <c r="M219" s="88">
        <v>127.83</v>
      </c>
      <c r="N219" s="88">
        <v>127.83</v>
      </c>
      <c r="O219" s="35">
        <v>82</v>
      </c>
      <c r="P219" s="56">
        <v>2.7000000000000001E-3</v>
      </c>
      <c r="Q219" s="56">
        <v>0.1482</v>
      </c>
      <c r="R219" s="62">
        <f t="shared" ref="R219:R238" si="162">((K219-D219)/D219)</f>
        <v>5.349857950633515E-4</v>
      </c>
      <c r="S219" s="62">
        <f t="shared" ref="S219:S237" si="163">((N219-G219)/G219)</f>
        <v>2.666875833398725E-3</v>
      </c>
      <c r="T219" s="62">
        <f t="shared" ref="T219:T237" si="164">((O219-H219)/H219)</f>
        <v>0</v>
      </c>
      <c r="U219" s="62">
        <f t="shared" ref="U219:U237" si="165">P219-I219</f>
        <v>-3.9999999999999975E-4</v>
      </c>
      <c r="V219" s="63">
        <f t="shared" ref="V219:V237" si="166">Q219-J219</f>
        <v>-1.7000000000000071E-3</v>
      </c>
    </row>
    <row r="220" spans="1:24">
      <c r="A220" s="181">
        <v>188</v>
      </c>
      <c r="B220" s="185" t="s">
        <v>261</v>
      </c>
      <c r="C220" s="147" t="s">
        <v>262</v>
      </c>
      <c r="D220" s="38">
        <v>53278935.157198399</v>
      </c>
      <c r="E220" s="34">
        <v>0</v>
      </c>
      <c r="F220" s="88">
        <v>104.19</v>
      </c>
      <c r="G220" s="88">
        <v>104.19</v>
      </c>
      <c r="H220" s="35">
        <v>14</v>
      </c>
      <c r="I220" s="56">
        <v>3.0000000000000001E-3</v>
      </c>
      <c r="J220" s="56">
        <v>4.19E-2</v>
      </c>
      <c r="K220" s="38">
        <v>53591033.887712002</v>
      </c>
      <c r="L220" s="34">
        <f t="shared" si="161"/>
        <v>4.4449797378816899E-4</v>
      </c>
      <c r="M220" s="88">
        <v>104.795660983508</v>
      </c>
      <c r="N220" s="88">
        <v>104.795660983508</v>
      </c>
      <c r="O220" s="35">
        <v>14</v>
      </c>
      <c r="P220" s="56">
        <v>6.1000000000000004E-3</v>
      </c>
      <c r="Q220" s="56">
        <v>4.8000000000000001E-2</v>
      </c>
      <c r="R220" s="62">
        <f t="shared" si="162"/>
        <v>5.8578259793061107E-3</v>
      </c>
      <c r="S220" s="62">
        <f t="shared" si="163"/>
        <v>5.8130433199731499E-3</v>
      </c>
      <c r="T220" s="62">
        <f t="shared" si="164"/>
        <v>0</v>
      </c>
      <c r="U220" s="62">
        <f t="shared" si="165"/>
        <v>3.1000000000000003E-3</v>
      </c>
      <c r="V220" s="63">
        <f t="shared" si="166"/>
        <v>6.1000000000000013E-3</v>
      </c>
    </row>
    <row r="221" spans="1:24">
      <c r="A221" s="181">
        <v>189</v>
      </c>
      <c r="B221" s="185" t="s">
        <v>263</v>
      </c>
      <c r="C221" s="147" t="s">
        <v>77</v>
      </c>
      <c r="D221" s="50">
        <v>76404171.359999999</v>
      </c>
      <c r="E221" s="34">
        <f>(D221/$D$237)</f>
        <v>6.5240662339930897E-4</v>
      </c>
      <c r="F221" s="88">
        <v>107.66</v>
      </c>
      <c r="G221" s="88">
        <v>107.66</v>
      </c>
      <c r="H221" s="35">
        <v>17</v>
      </c>
      <c r="I221" s="56">
        <v>6.6E-3</v>
      </c>
      <c r="J221" s="56">
        <v>9.0999999999999998E-2</v>
      </c>
      <c r="K221" s="50">
        <v>77328971.379999995</v>
      </c>
      <c r="L221" s="34">
        <f t="shared" si="161"/>
        <v>6.4138660145190193E-4</v>
      </c>
      <c r="M221" s="88">
        <v>108.97</v>
      </c>
      <c r="N221" s="88">
        <v>108.97</v>
      </c>
      <c r="O221" s="35">
        <v>17</v>
      </c>
      <c r="P221" s="56">
        <v>1.32E-2</v>
      </c>
      <c r="Q221" s="56">
        <v>0.1042</v>
      </c>
      <c r="R221" s="62">
        <f t="shared" si="162"/>
        <v>1.2104051435130908E-2</v>
      </c>
      <c r="S221" s="62">
        <f t="shared" si="163"/>
        <v>1.216793609511427E-2</v>
      </c>
      <c r="T221" s="62">
        <f t="shared" si="164"/>
        <v>0</v>
      </c>
      <c r="U221" s="62">
        <f t="shared" si="165"/>
        <v>6.6E-3</v>
      </c>
      <c r="V221" s="63">
        <f t="shared" si="166"/>
        <v>1.3200000000000003E-2</v>
      </c>
    </row>
    <row r="222" spans="1:24">
      <c r="A222" s="181">
        <v>190</v>
      </c>
      <c r="B222" s="148" t="s">
        <v>264</v>
      </c>
      <c r="C222" s="147" t="s">
        <v>80</v>
      </c>
      <c r="D222" s="50">
        <v>324587365.61000001</v>
      </c>
      <c r="E222" s="34">
        <v>0</v>
      </c>
      <c r="F222" s="88">
        <v>1.2104999999999999</v>
      </c>
      <c r="G222" s="88">
        <v>1.2104999999999999</v>
      </c>
      <c r="H222" s="35">
        <v>64</v>
      </c>
      <c r="I222" s="56">
        <v>0.14050000000000001</v>
      </c>
      <c r="J222" s="56">
        <v>0.13969999999999999</v>
      </c>
      <c r="K222" s="50">
        <v>324423216.91000003</v>
      </c>
      <c r="L222" s="34">
        <f t="shared" si="161"/>
        <v>2.6908505416873441E-3</v>
      </c>
      <c r="M222" s="88">
        <v>1.2104999999999999</v>
      </c>
      <c r="N222" s="88">
        <v>1.2104999999999999</v>
      </c>
      <c r="O222" s="35">
        <v>63</v>
      </c>
      <c r="P222" s="56">
        <v>1.21E-2</v>
      </c>
      <c r="Q222" s="56">
        <v>0.13969999999999999</v>
      </c>
      <c r="R222" s="62">
        <f t="shared" ref="R222:R223" si="167">((K222-D222)/D222)</f>
        <v>-5.0571500123395717E-4</v>
      </c>
      <c r="S222" s="62">
        <f t="shared" ref="S222:S223" si="168">((N222-G222)/G222)</f>
        <v>0</v>
      </c>
      <c r="T222" s="62">
        <f t="shared" ref="T222" si="169">((O222-H222)/H222)</f>
        <v>-1.5625E-2</v>
      </c>
      <c r="U222" s="62">
        <f t="shared" ref="U222" si="170">P222-I222</f>
        <v>-0.12840000000000001</v>
      </c>
      <c r="V222" s="63">
        <f t="shared" ref="V222" si="171">Q222-J222</f>
        <v>0</v>
      </c>
    </row>
    <row r="223" spans="1:24">
      <c r="A223" s="181">
        <v>191</v>
      </c>
      <c r="B223" s="148" t="s">
        <v>265</v>
      </c>
      <c r="C223" s="147" t="s">
        <v>82</v>
      </c>
      <c r="D223" s="38">
        <v>5844331172.6899996</v>
      </c>
      <c r="E223" s="34">
        <f t="shared" ref="E223:E230" si="172">(D223/$D$237)</f>
        <v>4.9904086367700204E-2</v>
      </c>
      <c r="F223" s="88">
        <v>147.62</v>
      </c>
      <c r="G223" s="88">
        <v>147.62</v>
      </c>
      <c r="H223" s="35">
        <v>804</v>
      </c>
      <c r="I223" s="56">
        <v>2.5999999999999999E-3</v>
      </c>
      <c r="J223" s="56">
        <v>3.7499999999999999E-2</v>
      </c>
      <c r="K223" s="38">
        <v>5935934525.4300003</v>
      </c>
      <c r="L223" s="34">
        <f t="shared" si="161"/>
        <v>4.9234184856766894E-2</v>
      </c>
      <c r="M223" s="88">
        <v>147.99</v>
      </c>
      <c r="N223" s="88">
        <v>147.99</v>
      </c>
      <c r="O223" s="35">
        <v>806</v>
      </c>
      <c r="P223" s="56">
        <v>2.5000000000000001E-3</v>
      </c>
      <c r="Q223" s="56">
        <v>4.0099999999999997E-2</v>
      </c>
      <c r="R223" s="62">
        <f t="shared" si="167"/>
        <v>1.5673881242058017E-2</v>
      </c>
      <c r="S223" s="62">
        <f t="shared" si="168"/>
        <v>2.5064354423520157E-3</v>
      </c>
      <c r="T223" s="62">
        <f t="shared" si="164"/>
        <v>2.4875621890547263E-3</v>
      </c>
      <c r="U223" s="62">
        <f t="shared" si="165"/>
        <v>-9.9999999999999829E-5</v>
      </c>
      <c r="V223" s="63">
        <f t="shared" si="166"/>
        <v>2.5999999999999981E-3</v>
      </c>
    </row>
    <row r="224" spans="1:24">
      <c r="A224" s="181">
        <v>192</v>
      </c>
      <c r="B224" s="148" t="s">
        <v>266</v>
      </c>
      <c r="C224" s="147" t="s">
        <v>69</v>
      </c>
      <c r="D224" s="38">
        <v>1022085522.77624</v>
      </c>
      <c r="E224" s="34">
        <f t="shared" si="172"/>
        <v>8.7274732893558096E-3</v>
      </c>
      <c r="F224" s="37">
        <v>1367.50045931158</v>
      </c>
      <c r="G224" s="37">
        <v>1367.50045931158</v>
      </c>
      <c r="H224" s="35">
        <v>348</v>
      </c>
      <c r="I224" s="56">
        <v>0.1159</v>
      </c>
      <c r="J224" s="56">
        <v>0.11749999999999999</v>
      </c>
      <c r="K224" s="38">
        <v>987768380.937204</v>
      </c>
      <c r="L224" s="34">
        <f t="shared" si="161"/>
        <v>8.1928078644379464E-3</v>
      </c>
      <c r="M224" s="37">
        <v>1370.59185523416</v>
      </c>
      <c r="N224" s="37">
        <v>1370.59185523416</v>
      </c>
      <c r="O224" s="35">
        <v>354</v>
      </c>
      <c r="P224" s="56">
        <v>0.1179</v>
      </c>
      <c r="Q224" s="56">
        <v>0.1178</v>
      </c>
      <c r="R224" s="62">
        <f t="shared" si="162"/>
        <v>-3.3575607005783673E-2</v>
      </c>
      <c r="S224" s="62">
        <f t="shared" si="163"/>
        <v>2.26061783126291E-3</v>
      </c>
      <c r="T224" s="62">
        <f t="shared" si="164"/>
        <v>1.7241379310344827E-2</v>
      </c>
      <c r="U224" s="62">
        <f t="shared" si="165"/>
        <v>2.0000000000000018E-3</v>
      </c>
      <c r="V224" s="63">
        <f t="shared" si="166"/>
        <v>3.0000000000000859E-4</v>
      </c>
    </row>
    <row r="225" spans="1:24">
      <c r="A225" s="181">
        <v>193</v>
      </c>
      <c r="B225" s="148" t="s">
        <v>267</v>
      </c>
      <c r="C225" s="147" t="s">
        <v>255</v>
      </c>
      <c r="D225" s="38">
        <v>46074473024.220001</v>
      </c>
      <c r="E225" s="34">
        <f t="shared" si="172"/>
        <v>0.39342474154979068</v>
      </c>
      <c r="F225" s="37">
        <v>1313.27</v>
      </c>
      <c r="G225" s="37">
        <v>1313.27</v>
      </c>
      <c r="H225" s="35">
        <v>12782</v>
      </c>
      <c r="I225" s="56">
        <v>3.0000000000000001E-3</v>
      </c>
      <c r="J225" s="56">
        <v>4.1399999999999999E-2</v>
      </c>
      <c r="K225" s="38">
        <v>45580733776.050003</v>
      </c>
      <c r="L225" s="34">
        <f t="shared" si="161"/>
        <v>0.37805846122848852</v>
      </c>
      <c r="M225" s="37">
        <v>1278.31</v>
      </c>
      <c r="N225" s="37">
        <v>1278.31</v>
      </c>
      <c r="O225" s="35">
        <v>13004</v>
      </c>
      <c r="P225" s="56">
        <v>-2.6599999999999999E-2</v>
      </c>
      <c r="Q225" s="56">
        <v>4.4499999999999998E-2</v>
      </c>
      <c r="R225" s="62">
        <f t="shared" si="162"/>
        <v>-1.0716112757501402E-2</v>
      </c>
      <c r="S225" s="62">
        <f t="shared" si="163"/>
        <v>-2.6620573073320823E-2</v>
      </c>
      <c r="T225" s="62">
        <f t="shared" si="164"/>
        <v>1.736817399468002E-2</v>
      </c>
      <c r="U225" s="62">
        <f t="shared" si="165"/>
        <v>-2.9599999999999998E-2</v>
      </c>
      <c r="V225" s="63">
        <f t="shared" si="166"/>
        <v>3.0999999999999986E-3</v>
      </c>
    </row>
    <row r="226" spans="1:24">
      <c r="A226" s="181">
        <v>194</v>
      </c>
      <c r="B226" s="148" t="s">
        <v>268</v>
      </c>
      <c r="C226" s="147" t="s">
        <v>269</v>
      </c>
      <c r="D226" s="38">
        <v>521388555.87</v>
      </c>
      <c r="E226" s="34">
        <f t="shared" si="172"/>
        <v>4.4520782198060951E-3</v>
      </c>
      <c r="F226" s="89">
        <v>135.43</v>
      </c>
      <c r="G226" s="89">
        <v>135.9</v>
      </c>
      <c r="H226" s="52">
        <v>139</v>
      </c>
      <c r="I226" s="56">
        <v>2.3199999999999998E-2</v>
      </c>
      <c r="J226" s="56">
        <v>0.114</v>
      </c>
      <c r="K226" s="38">
        <v>525384692.69999999</v>
      </c>
      <c r="L226" s="34">
        <f t="shared" si="161"/>
        <v>4.3576772908278773E-3</v>
      </c>
      <c r="M226" s="89">
        <v>135.82</v>
      </c>
      <c r="N226" s="89">
        <v>136.29</v>
      </c>
      <c r="O226" s="52">
        <v>140</v>
      </c>
      <c r="P226" s="56">
        <v>2.8999999999999998E-3</v>
      </c>
      <c r="Q226" s="56">
        <v>0.1172</v>
      </c>
      <c r="R226" s="62">
        <f>((K226-D226)/D226)</f>
        <v>7.6644122411393262E-3</v>
      </c>
      <c r="S226" s="62">
        <f t="shared" si="163"/>
        <v>2.8697571743928354E-3</v>
      </c>
      <c r="T226" s="62">
        <f t="shared" si="164"/>
        <v>7.1942446043165471E-3</v>
      </c>
      <c r="U226" s="62">
        <f t="shared" si="165"/>
        <v>-2.0299999999999999E-2</v>
      </c>
      <c r="V226" s="63">
        <f t="shared" si="166"/>
        <v>3.1999999999999945E-3</v>
      </c>
    </row>
    <row r="227" spans="1:24">
      <c r="A227" s="181">
        <v>195</v>
      </c>
      <c r="B227" s="148" t="s">
        <v>270</v>
      </c>
      <c r="C227" s="147" t="s">
        <v>269</v>
      </c>
      <c r="D227" s="38">
        <v>953797754.44000006</v>
      </c>
      <c r="E227" s="34">
        <f t="shared" si="172"/>
        <v>8.1443717182412712E-3</v>
      </c>
      <c r="F227" s="89">
        <v>142.35</v>
      </c>
      <c r="G227" s="89">
        <v>142.35</v>
      </c>
      <c r="H227" s="52">
        <v>133</v>
      </c>
      <c r="I227" s="56">
        <v>-4.8999999999999998E-3</v>
      </c>
      <c r="J227" s="56">
        <v>4.9599999999999998E-2</v>
      </c>
      <c r="K227" s="38">
        <v>938030186.65999997</v>
      </c>
      <c r="L227" s="34">
        <f t="shared" si="161"/>
        <v>7.7802663444810271E-3</v>
      </c>
      <c r="M227" s="89">
        <v>142.96</v>
      </c>
      <c r="N227" s="89">
        <v>142.96</v>
      </c>
      <c r="O227" s="52">
        <v>133</v>
      </c>
      <c r="P227" s="56">
        <v>-4.3E-3</v>
      </c>
      <c r="Q227" s="56">
        <v>5.4199999999999998E-2</v>
      </c>
      <c r="R227" s="62">
        <f t="shared" si="162"/>
        <v>-1.6531353430641747E-2</v>
      </c>
      <c r="S227" s="62">
        <f t="shared" si="163"/>
        <v>4.2852125043906829E-3</v>
      </c>
      <c r="T227" s="62">
        <f t="shared" si="164"/>
        <v>0</v>
      </c>
      <c r="U227" s="62">
        <f t="shared" si="165"/>
        <v>5.9999999999999984E-4</v>
      </c>
      <c r="V227" s="63">
        <f t="shared" si="166"/>
        <v>4.5999999999999999E-3</v>
      </c>
    </row>
    <row r="228" spans="1:24" ht="13.5" customHeight="1">
      <c r="A228" s="181">
        <v>196</v>
      </c>
      <c r="B228" s="148" t="s">
        <v>271</v>
      </c>
      <c r="C228" s="147" t="s">
        <v>102</v>
      </c>
      <c r="D228" s="38">
        <v>3269165508</v>
      </c>
      <c r="E228" s="34">
        <f t="shared" si="172"/>
        <v>2.791503647567033E-2</v>
      </c>
      <c r="F228" s="66">
        <v>104.89</v>
      </c>
      <c r="G228" s="66">
        <v>104.89</v>
      </c>
      <c r="H228" s="35">
        <v>864</v>
      </c>
      <c r="I228" s="56">
        <v>3.8999999999999998E-3</v>
      </c>
      <c r="J228" s="56">
        <v>0.17499999999999999</v>
      </c>
      <c r="K228" s="38">
        <v>3337672038</v>
      </c>
      <c r="L228" s="34">
        <f t="shared" si="161"/>
        <v>2.7683519992709144E-2</v>
      </c>
      <c r="M228" s="66">
        <v>105.22</v>
      </c>
      <c r="N228" s="66">
        <v>105.22</v>
      </c>
      <c r="O228" s="35">
        <v>871</v>
      </c>
      <c r="P228" s="56">
        <v>3.0999999999999999E-3</v>
      </c>
      <c r="Q228" s="56">
        <v>0.17419999999999999</v>
      </c>
      <c r="R228" s="62">
        <f t="shared" si="162"/>
        <v>2.0955356904493561E-2</v>
      </c>
      <c r="S228" s="62">
        <f t="shared" si="163"/>
        <v>3.1461531127848059E-3</v>
      </c>
      <c r="T228" s="62">
        <f t="shared" si="164"/>
        <v>8.1018518518518514E-3</v>
      </c>
      <c r="U228" s="62">
        <f t="shared" si="165"/>
        <v>-7.9999999999999993E-4</v>
      </c>
      <c r="V228" s="63">
        <f t="shared" si="166"/>
        <v>-7.9999999999999516E-4</v>
      </c>
    </row>
    <row r="229" spans="1:24" ht="15.75" customHeight="1">
      <c r="A229" s="181">
        <v>197</v>
      </c>
      <c r="B229" s="148" t="s">
        <v>272</v>
      </c>
      <c r="C229" s="147" t="s">
        <v>48</v>
      </c>
      <c r="D229" s="38">
        <v>2429306562.48</v>
      </c>
      <c r="E229" s="34">
        <f t="shared" si="172"/>
        <v>2.0743575428122531E-2</v>
      </c>
      <c r="F229" s="66">
        <v>152.47999999999999</v>
      </c>
      <c r="G229" s="66">
        <v>152.47999999999999</v>
      </c>
      <c r="H229" s="35">
        <v>2626</v>
      </c>
      <c r="I229" s="56">
        <v>3.3999999999999998E-3</v>
      </c>
      <c r="J229" s="56">
        <v>5.5800000000000002E-2</v>
      </c>
      <c r="K229" s="38">
        <v>2528009680.7199998</v>
      </c>
      <c r="L229" s="34">
        <f t="shared" si="161"/>
        <v>2.0967969812849055E-2</v>
      </c>
      <c r="M229" s="66">
        <v>152.84</v>
      </c>
      <c r="N229" s="66">
        <v>152.84</v>
      </c>
      <c r="O229" s="35">
        <v>2704</v>
      </c>
      <c r="P229" s="56">
        <v>2.3999999999999998E-3</v>
      </c>
      <c r="Q229" s="56">
        <v>0.19350000000000001</v>
      </c>
      <c r="R229" s="62">
        <f t="shared" si="162"/>
        <v>4.0630161612553735E-2</v>
      </c>
      <c r="S229" s="62">
        <f t="shared" si="163"/>
        <v>2.3609653725079594E-3</v>
      </c>
      <c r="T229" s="62">
        <f t="shared" si="164"/>
        <v>2.9702970297029702E-2</v>
      </c>
      <c r="U229" s="62">
        <f t="shared" si="165"/>
        <v>-1E-3</v>
      </c>
      <c r="V229" s="63">
        <f t="shared" si="166"/>
        <v>0.13769999999999999</v>
      </c>
    </row>
    <row r="230" spans="1:24">
      <c r="A230" s="181">
        <v>198</v>
      </c>
      <c r="B230" s="148" t="s">
        <v>273</v>
      </c>
      <c r="C230" s="147" t="s">
        <v>51</v>
      </c>
      <c r="D230" s="38">
        <v>4172029793.52</v>
      </c>
      <c r="E230" s="34">
        <f t="shared" si="172"/>
        <v>3.5624493033068597E-2</v>
      </c>
      <c r="F230" s="66">
        <v>1.2586999999999999</v>
      </c>
      <c r="G230" s="66">
        <v>1.2586999999999999</v>
      </c>
      <c r="H230" s="35">
        <v>2185</v>
      </c>
      <c r="I230" s="56">
        <v>2.3E-3</v>
      </c>
      <c r="J230" s="56">
        <v>8.6699999999999999E-2</v>
      </c>
      <c r="K230" s="38">
        <v>4180343540.6399999</v>
      </c>
      <c r="L230" s="34">
        <f t="shared" si="161"/>
        <v>3.467285660967627E-2</v>
      </c>
      <c r="M230" s="66">
        <v>1.2613000000000001</v>
      </c>
      <c r="N230" s="66">
        <v>1.2613000000000001</v>
      </c>
      <c r="O230" s="35">
        <v>2194</v>
      </c>
      <c r="P230" s="56">
        <v>2E-3</v>
      </c>
      <c r="Q230" s="56">
        <v>8.8400000000000006E-2</v>
      </c>
      <c r="R230" s="62">
        <f t="shared" si="162"/>
        <v>1.9927343598822819E-3</v>
      </c>
      <c r="S230" s="62">
        <f t="shared" si="163"/>
        <v>2.0656232620959386E-3</v>
      </c>
      <c r="T230" s="62">
        <f t="shared" si="164"/>
        <v>4.1189931350114417E-3</v>
      </c>
      <c r="U230" s="62">
        <f t="shared" si="165"/>
        <v>-2.9999999999999992E-4</v>
      </c>
      <c r="V230" s="63">
        <f t="shared" si="166"/>
        <v>1.7000000000000071E-3</v>
      </c>
    </row>
    <row r="231" spans="1:24" ht="6" customHeight="1">
      <c r="A231" s="41"/>
      <c r="B231" s="190"/>
      <c r="C231" s="190"/>
      <c r="D231" s="190"/>
      <c r="E231" s="190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  <c r="V231" s="190"/>
    </row>
    <row r="232" spans="1:24">
      <c r="A232" s="191" t="s">
        <v>274</v>
      </c>
      <c r="B232" s="191"/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</row>
    <row r="233" spans="1:24">
      <c r="A233" s="181">
        <v>199</v>
      </c>
      <c r="B233" s="148" t="s">
        <v>275</v>
      </c>
      <c r="C233" s="147" t="s">
        <v>19</v>
      </c>
      <c r="D233" s="87">
        <v>576504005.78999996</v>
      </c>
      <c r="E233" s="34">
        <f>(D233/$D$209)</f>
        <v>3.7348665041128569E-2</v>
      </c>
      <c r="F233" s="88">
        <v>115.6597</v>
      </c>
      <c r="G233" s="88">
        <v>115.6597</v>
      </c>
      <c r="H233" s="36">
        <v>110</v>
      </c>
      <c r="I233" s="57">
        <v>5.9999999999999995E-4</v>
      </c>
      <c r="J233" s="57">
        <v>0.1028</v>
      </c>
      <c r="K233" s="87">
        <v>565310274.96000004</v>
      </c>
      <c r="L233" s="60">
        <f>(K233/K234)</f>
        <v>4.2776513067226185E-2</v>
      </c>
      <c r="M233" s="88">
        <v>116.1523</v>
      </c>
      <c r="N233" s="88">
        <v>116.1523</v>
      </c>
      <c r="O233" s="36">
        <v>110</v>
      </c>
      <c r="P233" s="57">
        <v>4.3E-3</v>
      </c>
      <c r="Q233" s="57">
        <v>0.1075</v>
      </c>
      <c r="R233" s="62">
        <f>((K233-D233)/D233)</f>
        <v>-1.9416570774145506E-2</v>
      </c>
      <c r="S233" s="62">
        <f t="shared" ref="S233" si="173">((N233-G233)/G233)</f>
        <v>4.2590461500418546E-3</v>
      </c>
      <c r="T233" s="62">
        <f t="shared" ref="T233" si="174">((O233-H233)/H233)</f>
        <v>0</v>
      </c>
      <c r="U233" s="62">
        <f t="shared" ref="U233" si="175">P233-I233</f>
        <v>3.7000000000000002E-3</v>
      </c>
      <c r="V233" s="63">
        <f t="shared" ref="V233" si="176">Q233-J233</f>
        <v>4.6999999999999958E-3</v>
      </c>
    </row>
    <row r="234" spans="1:24">
      <c r="A234" s="181">
        <v>200</v>
      </c>
      <c r="B234" s="148" t="s">
        <v>276</v>
      </c>
      <c r="C234" s="147" t="s">
        <v>23</v>
      </c>
      <c r="D234" s="87">
        <v>12469639939.780001</v>
      </c>
      <c r="E234" s="34">
        <f>(D234/$D$209)</f>
        <v>0.80784244448766029</v>
      </c>
      <c r="F234" s="88">
        <v>133.83539999999999</v>
      </c>
      <c r="G234" s="88">
        <v>137.8706</v>
      </c>
      <c r="H234" s="36">
        <v>5789</v>
      </c>
      <c r="I234" s="57">
        <v>0.25540000000000002</v>
      </c>
      <c r="J234" s="57">
        <v>1.0410999999999999</v>
      </c>
      <c r="K234" s="87">
        <v>13215436098.58</v>
      </c>
      <c r="L234" s="60">
        <f>(K234/$K$209)</f>
        <v>0.79069557199274731</v>
      </c>
      <c r="M234" s="88">
        <v>138.97710000000001</v>
      </c>
      <c r="N234" s="88">
        <v>143.16739999999999</v>
      </c>
      <c r="O234" s="36">
        <v>5985</v>
      </c>
      <c r="P234" s="57">
        <v>3.8399999999999997E-2</v>
      </c>
      <c r="Q234" s="57">
        <v>0.33460000000000001</v>
      </c>
      <c r="R234" s="62">
        <f>((K234-D234)/D234)</f>
        <v>5.9808956986865267E-2</v>
      </c>
      <c r="S234" s="62">
        <f t="shared" ref="S234" si="177">((N234-G234)/G234)</f>
        <v>3.8418633124103256E-2</v>
      </c>
      <c r="T234" s="62">
        <f t="shared" ref="T234" si="178">((O234-H234)/H234)</f>
        <v>3.3857315598548973E-2</v>
      </c>
      <c r="U234" s="62">
        <f t="shared" ref="U234" si="179">P234-I234</f>
        <v>-0.21700000000000003</v>
      </c>
      <c r="V234" s="63">
        <f t="shared" ref="V234" si="180">Q234-J234</f>
        <v>-0.70649999999999991</v>
      </c>
      <c r="X234" s="134"/>
    </row>
    <row r="235" spans="1:24">
      <c r="A235" s="181">
        <v>201</v>
      </c>
      <c r="B235" s="148" t="s">
        <v>277</v>
      </c>
      <c r="C235" s="147" t="s">
        <v>255</v>
      </c>
      <c r="D235" s="38">
        <v>349082016.32999998</v>
      </c>
      <c r="E235" s="34">
        <f t="shared" ref="E235" si="181">(D235/$D$237)</f>
        <v>2.9807720640041991E-3</v>
      </c>
      <c r="F235" s="37">
        <v>1488.64</v>
      </c>
      <c r="G235" s="37">
        <v>1488.64</v>
      </c>
      <c r="H235" s="35">
        <v>146</v>
      </c>
      <c r="I235" s="56">
        <v>4.0000000000000001E-3</v>
      </c>
      <c r="J235" s="56">
        <v>0.1928</v>
      </c>
      <c r="K235" s="38">
        <v>391955302.94999999</v>
      </c>
      <c r="L235" s="34">
        <f t="shared" ref="L235" si="182">(K235/$K$237)</f>
        <v>3.250979228015061E-3</v>
      </c>
      <c r="M235" s="37">
        <v>1615.15</v>
      </c>
      <c r="N235" s="37">
        <v>1615.15</v>
      </c>
      <c r="O235" s="35">
        <v>146</v>
      </c>
      <c r="P235" s="56">
        <v>8.6999999999999994E-2</v>
      </c>
      <c r="Q235" s="56">
        <v>0.29649999999999999</v>
      </c>
      <c r="R235" s="62">
        <f t="shared" ref="R235" si="183">((K235-D235)/D235)</f>
        <v>0.12281723094973281</v>
      </c>
      <c r="S235" s="62">
        <f t="shared" ref="S235" si="184">((N235-G235)/G235)</f>
        <v>8.4983609200343924E-2</v>
      </c>
      <c r="T235" s="62">
        <f t="shared" ref="T235" si="185">((O235-H235)/H235)</f>
        <v>0</v>
      </c>
      <c r="U235" s="62">
        <f t="shared" ref="U235" si="186">P235-I235</f>
        <v>8.299999999999999E-2</v>
      </c>
      <c r="V235" s="63">
        <f t="shared" ref="V235" si="187">Q235-J235</f>
        <v>0.10369999999999999</v>
      </c>
    </row>
    <row r="236" spans="1:24">
      <c r="A236" s="181">
        <v>202</v>
      </c>
      <c r="B236" s="148" t="s">
        <v>278</v>
      </c>
      <c r="C236" s="147" t="s">
        <v>279</v>
      </c>
      <c r="D236" s="38">
        <v>186316445.72</v>
      </c>
      <c r="E236" s="34">
        <f t="shared" ref="E236" si="188">(D236/$D$237)</f>
        <v>1.5909351684898088E-3</v>
      </c>
      <c r="F236" s="37">
        <v>124.42</v>
      </c>
      <c r="G236" s="37">
        <v>126.98</v>
      </c>
      <c r="H236" s="35">
        <v>307</v>
      </c>
      <c r="I236" s="56">
        <v>4.3799999999999999E-2</v>
      </c>
      <c r="J236" s="56">
        <v>0.14430000000000001</v>
      </c>
      <c r="K236" s="38">
        <v>190404719.65000001</v>
      </c>
      <c r="L236" s="34">
        <f t="shared" ref="L236" si="189">(K236/$K$237)</f>
        <v>1.5792662679630703E-3</v>
      </c>
      <c r="M236" s="37">
        <v>124.92</v>
      </c>
      <c r="N236" s="37">
        <v>124.49</v>
      </c>
      <c r="O236" s="35">
        <v>307</v>
      </c>
      <c r="P236" s="56">
        <v>4.0000000000000001E-3</v>
      </c>
      <c r="Q236" s="56">
        <v>0.14580000000000001</v>
      </c>
      <c r="R236" s="62">
        <f t="shared" ref="R236" si="190">((K236-D236)/D236)</f>
        <v>2.194263589669344E-2</v>
      </c>
      <c r="S236" s="62">
        <f t="shared" ref="S236" si="191">((N236-G236)/G236)</f>
        <v>-1.9609387305087485E-2</v>
      </c>
      <c r="T236" s="62">
        <f t="shared" ref="T236" si="192">((O236-H236)/H236)</f>
        <v>0</v>
      </c>
      <c r="U236" s="62">
        <f t="shared" ref="U236" si="193">P236-I236</f>
        <v>-3.9800000000000002E-2</v>
      </c>
      <c r="V236" s="63">
        <f t="shared" ref="V236" si="194">Q236-J236</f>
        <v>1.5000000000000013E-3</v>
      </c>
    </row>
    <row r="237" spans="1:24">
      <c r="A237" s="41"/>
      <c r="B237" s="42"/>
      <c r="C237" s="77" t="s">
        <v>54</v>
      </c>
      <c r="D237" s="65">
        <f>SUM(D213:D236)</f>
        <v>117111274808.80344</v>
      </c>
      <c r="E237" s="45">
        <f>(D237/$D$238)</f>
        <v>1.3580563114189917E-2</v>
      </c>
      <c r="F237" s="46"/>
      <c r="G237" s="80"/>
      <c r="H237" s="90">
        <f>SUM(H213:H236)</f>
        <v>49084</v>
      </c>
      <c r="I237" s="82"/>
      <c r="J237" s="82"/>
      <c r="K237" s="65">
        <f>SUM(K213:K236)</f>
        <v>120565305238.60492</v>
      </c>
      <c r="L237" s="45">
        <f>(K237/$K$238)</f>
        <v>1.3886597225825076E-2</v>
      </c>
      <c r="M237" s="46"/>
      <c r="N237" s="80"/>
      <c r="O237" s="48">
        <f>SUM(O213:O236)</f>
        <v>50139</v>
      </c>
      <c r="P237" s="82"/>
      <c r="Q237" s="82"/>
      <c r="R237" s="62">
        <f t="shared" si="162"/>
        <v>2.9493577244723481E-2</v>
      </c>
      <c r="S237" s="62" t="e">
        <f t="shared" si="163"/>
        <v>#DIV/0!</v>
      </c>
      <c r="T237" s="62">
        <f t="shared" si="164"/>
        <v>2.1493765789259229E-2</v>
      </c>
      <c r="U237" s="62">
        <f t="shared" si="165"/>
        <v>0</v>
      </c>
      <c r="V237" s="63">
        <f t="shared" si="166"/>
        <v>0</v>
      </c>
    </row>
    <row r="238" spans="1:24">
      <c r="A238" s="91"/>
      <c r="B238" s="91"/>
      <c r="C238" s="92" t="s">
        <v>280</v>
      </c>
      <c r="D238" s="93">
        <f>SUM(D26,D76,D117,D161,D170,D203,D209,D237)</f>
        <v>8623447630565.292</v>
      </c>
      <c r="E238" s="94"/>
      <c r="F238" s="94"/>
      <c r="G238" s="95"/>
      <c r="H238" s="93">
        <f>SUM(H26,H76,H117,H161,H170,H203,H209,H237)</f>
        <v>1287324</v>
      </c>
      <c r="I238" s="105"/>
      <c r="J238" s="105"/>
      <c r="K238" s="93">
        <f>SUM(K26,K76,K117,K161,K170,K203,K209,K237)</f>
        <v>8682134527124.3359</v>
      </c>
      <c r="L238" s="94"/>
      <c r="M238" s="94"/>
      <c r="N238" s="95"/>
      <c r="O238" s="93">
        <f>SUM(O26,O76,O117,O161,O170,O203,O209,O237)</f>
        <v>1302685</v>
      </c>
      <c r="P238" s="106"/>
      <c r="Q238" s="93"/>
      <c r="R238" s="110">
        <f t="shared" si="162"/>
        <v>6.8055027493912953E-3</v>
      </c>
      <c r="S238" s="110"/>
      <c r="T238" s="110"/>
      <c r="U238" s="110"/>
      <c r="V238" s="110"/>
    </row>
    <row r="239" spans="1:24" ht="6.75" customHeight="1">
      <c r="A239" s="41"/>
      <c r="B239" s="190"/>
      <c r="C239" s="190"/>
      <c r="D239" s="190"/>
      <c r="E239" s="190"/>
      <c r="F239" s="190"/>
      <c r="G239" s="190"/>
      <c r="H239" s="190"/>
      <c r="I239" s="190"/>
      <c r="J239" s="190"/>
      <c r="K239" s="190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42"/>
    </row>
    <row r="240" spans="1:24" ht="14.4" customHeight="1">
      <c r="A240" s="188" t="s">
        <v>281</v>
      </c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</row>
    <row r="241" spans="1:22" ht="14.4" customHeight="1">
      <c r="A241" s="181">
        <v>1</v>
      </c>
      <c r="B241" s="148" t="s">
        <v>282</v>
      </c>
      <c r="C241" s="147" t="s">
        <v>23</v>
      </c>
      <c r="D241" s="38">
        <f>1625551.9*FX_RATE</f>
        <v>2184156229.8056197</v>
      </c>
      <c r="E241" s="34">
        <f t="shared" ref="E241:E244" si="195">(D241/$D$237)</f>
        <v>1.8650264318029894E-2</v>
      </c>
      <c r="F241" s="37">
        <f>1.0501*FX_RATE</f>
        <v>1410.95615398</v>
      </c>
      <c r="G241" s="37">
        <f>1.0501*FX_RATE</f>
        <v>1410.95615398</v>
      </c>
      <c r="H241" s="35">
        <v>58</v>
      </c>
      <c r="I241" s="56">
        <v>0.16439999999999999</v>
      </c>
      <c r="J241" s="56">
        <v>4.7500000000000001E-2</v>
      </c>
      <c r="K241" s="38">
        <f>1617279.02*FX_RATE</f>
        <v>2173040458.9769959</v>
      </c>
      <c r="L241" s="34">
        <f>(K241/$K$246)</f>
        <v>6.9012031988188699E-2</v>
      </c>
      <c r="M241" s="37">
        <f>1.0521*FX_RATE</f>
        <v>1413.64343358</v>
      </c>
      <c r="N241" s="37">
        <f>1.0521*FX_RATE</f>
        <v>1413.64343358</v>
      </c>
      <c r="O241" s="35">
        <v>57</v>
      </c>
      <c r="P241" s="56">
        <v>9.9299999999999999E-2</v>
      </c>
      <c r="Q241" s="56">
        <v>5.0999999999999997E-2</v>
      </c>
      <c r="R241" s="62">
        <f t="shared" ref="R241" si="196">((K241-D241)/D241)</f>
        <v>-5.0892746026748401E-3</v>
      </c>
      <c r="S241" s="62">
        <f t="shared" ref="S241" si="197">((N241-G241)/G241)</f>
        <v>1.9045805161413275E-3</v>
      </c>
      <c r="T241" s="62">
        <f t="shared" ref="T241" si="198">((O241-H241)/H241)</f>
        <v>-1.7241379310344827E-2</v>
      </c>
      <c r="U241" s="62">
        <f t="shared" ref="U241" si="199">P241-I241</f>
        <v>-6.5099999999999991E-2</v>
      </c>
      <c r="V241" s="63">
        <f t="shared" ref="V241" si="200">Q241-J241</f>
        <v>3.4999999999999962E-3</v>
      </c>
    </row>
    <row r="242" spans="1:22" ht="14.4" customHeight="1">
      <c r="A242" s="181">
        <v>2</v>
      </c>
      <c r="B242" s="148" t="s">
        <v>283</v>
      </c>
      <c r="C242" s="147" t="s">
        <v>211</v>
      </c>
      <c r="D242" s="38">
        <v>15407016447.870001</v>
      </c>
      <c r="E242" s="34">
        <f t="shared" ref="E242" si="201">(D242/$D$237)</f>
        <v>0.13155878008350252</v>
      </c>
      <c r="F242" s="37">
        <v>123.2</v>
      </c>
      <c r="G242" s="37">
        <v>123.2</v>
      </c>
      <c r="H242" s="35">
        <v>9</v>
      </c>
      <c r="I242" s="56">
        <v>6.1000000000000004E-3</v>
      </c>
      <c r="J242" s="56">
        <v>0.74</v>
      </c>
      <c r="K242" s="38">
        <v>15464587969.42</v>
      </c>
      <c r="L242" s="34">
        <f>(K242/$K$246)</f>
        <v>0.49112874784310173</v>
      </c>
      <c r="M242" s="37">
        <v>123.2</v>
      </c>
      <c r="N242" s="37">
        <v>123.2</v>
      </c>
      <c r="O242" s="35">
        <v>9</v>
      </c>
      <c r="P242" s="56">
        <v>3.7000000000000002E-3</v>
      </c>
      <c r="Q242" s="56">
        <v>0.75949999999999995</v>
      </c>
      <c r="R242" s="62">
        <f t="shared" ref="R242" si="202">((K242-D242)/D242)</f>
        <v>3.73670799565859E-3</v>
      </c>
      <c r="S242" s="62">
        <f t="shared" ref="S242" si="203">((N242-G242)/G242)</f>
        <v>0</v>
      </c>
      <c r="T242" s="62">
        <f t="shared" ref="T242" si="204">((O242-H242)/H242)</f>
        <v>0</v>
      </c>
      <c r="U242" s="62">
        <f t="shared" ref="U242" si="205">P242-I242</f>
        <v>-2.4000000000000002E-3</v>
      </c>
      <c r="V242" s="63">
        <f t="shared" ref="V242" si="206">Q242-J242</f>
        <v>1.9499999999999962E-2</v>
      </c>
    </row>
    <row r="243" spans="1:22" ht="14.4" customHeight="1">
      <c r="A243" s="181">
        <v>3</v>
      </c>
      <c r="B243" s="148" t="s">
        <v>284</v>
      </c>
      <c r="C243" s="147" t="s">
        <v>82</v>
      </c>
      <c r="D243" s="38">
        <f>912747.55*1359</f>
        <v>1240423920.45</v>
      </c>
      <c r="E243" s="34">
        <f>(D243/$D$237)</f>
        <v>1.0591840302952243E-2</v>
      </c>
      <c r="F243" s="37">
        <f>111.93*1359</f>
        <v>152112.87</v>
      </c>
      <c r="G243" s="37">
        <f>111.93*1359</f>
        <v>152112.87</v>
      </c>
      <c r="H243" s="35">
        <v>17</v>
      </c>
      <c r="I243" s="56">
        <v>7.7999999999999996E-3</v>
      </c>
      <c r="J243" s="56">
        <v>1.2999999999999999E-3</v>
      </c>
      <c r="K243" s="38">
        <f>918147.37*1345.25</f>
        <v>1235137749.4925001</v>
      </c>
      <c r="L243" s="34">
        <f>(K243/$K$246)</f>
        <v>3.9225853124669398E-2</v>
      </c>
      <c r="M243" s="37">
        <f>112.59*1345.25</f>
        <v>151461.69750000001</v>
      </c>
      <c r="N243" s="37">
        <f>112.59*1345.25</f>
        <v>151461.69750000001</v>
      </c>
      <c r="O243" s="35">
        <v>18</v>
      </c>
      <c r="P243" s="56">
        <v>5.8999999999999999E-3</v>
      </c>
      <c r="Q243" s="56">
        <v>7.1999999999999998E-3</v>
      </c>
      <c r="R243" s="62">
        <f t="shared" ref="R243:R244" si="207">((K243-D243)/D243)</f>
        <v>-4.2615841813033305E-3</v>
      </c>
      <c r="S243" s="62">
        <f t="shared" ref="S243:S244" si="208">((N243-G243)/G243)</f>
        <v>-4.280850791915149E-3</v>
      </c>
      <c r="T243" s="62">
        <f t="shared" ref="T243:T244" si="209">((O243-H243)/H243)</f>
        <v>5.8823529411764705E-2</v>
      </c>
      <c r="U243" s="62">
        <f t="shared" ref="U243:U244" si="210">P243-I243</f>
        <v>-1.8999999999999998E-3</v>
      </c>
      <c r="V243" s="63">
        <f t="shared" ref="V243:V244" si="211">Q243-J243</f>
        <v>5.8999999999999999E-3</v>
      </c>
    </row>
    <row r="244" spans="1:22" ht="14.4" customHeight="1">
      <c r="A244" s="181">
        <v>4</v>
      </c>
      <c r="B244" s="148" t="s">
        <v>285</v>
      </c>
      <c r="C244" s="147" t="s">
        <v>40</v>
      </c>
      <c r="D244" s="38">
        <v>12263252683.940001</v>
      </c>
      <c r="E244" s="34">
        <f t="shared" si="195"/>
        <v>0.10471453499213512</v>
      </c>
      <c r="F244" s="37">
        <v>1.18</v>
      </c>
      <c r="G244" s="37">
        <v>1.18</v>
      </c>
      <c r="H244" s="35">
        <v>16</v>
      </c>
      <c r="I244" s="56">
        <v>2.5700000000000001E-2</v>
      </c>
      <c r="J244" s="56">
        <v>-0.29399999999999998</v>
      </c>
      <c r="K244" s="38">
        <v>12329283393.879999</v>
      </c>
      <c r="L244" s="34">
        <f>(K244/$K$246)</f>
        <v>0.39155686055217509</v>
      </c>
      <c r="M244" s="37">
        <v>1.18</v>
      </c>
      <c r="N244" s="37">
        <v>1.18</v>
      </c>
      <c r="O244" s="35">
        <v>16</v>
      </c>
      <c r="P244" s="56">
        <v>3.1199999999999999E-2</v>
      </c>
      <c r="Q244" s="56">
        <v>-0.25779999999999997</v>
      </c>
      <c r="R244" s="62">
        <f t="shared" si="207"/>
        <v>5.3844368734628362E-3</v>
      </c>
      <c r="S244" s="62">
        <f t="shared" si="208"/>
        <v>0</v>
      </c>
      <c r="T244" s="62">
        <f t="shared" si="209"/>
        <v>0</v>
      </c>
      <c r="U244" s="62">
        <f t="shared" si="210"/>
        <v>5.4999999999999979E-3</v>
      </c>
      <c r="V244" s="63">
        <f t="shared" si="211"/>
        <v>3.620000000000001E-2</v>
      </c>
    </row>
    <row r="245" spans="1:22" ht="14.4" customHeight="1">
      <c r="A245" s="181">
        <v>5</v>
      </c>
      <c r="B245" s="148" t="s">
        <v>286</v>
      </c>
      <c r="C245" s="147" t="s">
        <v>51</v>
      </c>
      <c r="D245" s="38">
        <v>274267156.47000003</v>
      </c>
      <c r="E245" s="34">
        <f t="shared" ref="E245" si="212">(D245/$D$237)</f>
        <v>2.3419363926980574E-3</v>
      </c>
      <c r="F245" s="37">
        <v>1.39296</v>
      </c>
      <c r="G245" s="37">
        <v>1.39296</v>
      </c>
      <c r="H245" s="35">
        <v>27</v>
      </c>
      <c r="I245" s="56">
        <v>0.02</v>
      </c>
      <c r="J245" s="56">
        <v>0.2492</v>
      </c>
      <c r="K245" s="38">
        <v>285799668.04000002</v>
      </c>
      <c r="L245" s="34">
        <f>(K245/$K$246)</f>
        <v>9.0765064918650867E-3</v>
      </c>
      <c r="M245" s="37">
        <v>1.43</v>
      </c>
      <c r="N245" s="37">
        <v>1.43</v>
      </c>
      <c r="O245" s="35">
        <v>27</v>
      </c>
      <c r="P245" s="56">
        <v>2.63E-2</v>
      </c>
      <c r="Q245" s="56">
        <v>0.28239999999999998</v>
      </c>
      <c r="R245" s="62">
        <f t="shared" ref="R245:R246" si="213">((K245-D245)/D245)</f>
        <v>4.2048460043233232E-2</v>
      </c>
      <c r="S245" s="62">
        <f t="shared" ref="S245" si="214">((N245-G245)/G245)</f>
        <v>2.6590856880312402E-2</v>
      </c>
      <c r="T245" s="62">
        <f t="shared" ref="T245" si="215">((O245-H245)/H245)</f>
        <v>0</v>
      </c>
      <c r="U245" s="62">
        <f t="shared" ref="U245" si="216">P245-I245</f>
        <v>6.3E-3</v>
      </c>
      <c r="V245" s="63">
        <f t="shared" ref="V245" si="217">Q245-J245</f>
        <v>3.319999999999998E-2</v>
      </c>
    </row>
    <row r="246" spans="1:22" ht="14.4" customHeight="1">
      <c r="A246" s="96"/>
      <c r="B246" s="96"/>
      <c r="C246" s="96" t="s">
        <v>54</v>
      </c>
      <c r="D246" s="96">
        <f>SUM(D241:D245)</f>
        <v>31369116438.535622</v>
      </c>
      <c r="E246" s="96"/>
      <c r="F246" s="96"/>
      <c r="G246" s="96"/>
      <c r="H246" s="96">
        <f>SUM(H241:H245)</f>
        <v>127</v>
      </c>
      <c r="I246" s="96"/>
      <c r="J246" s="96"/>
      <c r="K246" s="96">
        <f>SUM(K241:K245)</f>
        <v>31487849239.809494</v>
      </c>
      <c r="L246" s="45"/>
      <c r="M246" s="96"/>
      <c r="N246" s="96"/>
      <c r="O246" s="96">
        <f>SUM(O241:O245)</f>
        <v>127</v>
      </c>
      <c r="P246" s="96"/>
      <c r="Q246" s="96"/>
      <c r="R246" s="110">
        <f t="shared" si="213"/>
        <v>3.7850221732102785E-3</v>
      </c>
      <c r="S246" s="96"/>
      <c r="T246" s="96"/>
      <c r="U246" s="96"/>
      <c r="V246" s="96"/>
    </row>
    <row r="247" spans="1:22" ht="6" customHeight="1">
      <c r="A247" s="41"/>
      <c r="B247" s="49"/>
      <c r="C247" s="77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2"/>
    </row>
    <row r="248" spans="1:22" ht="15.6">
      <c r="A248" s="188" t="s">
        <v>287</v>
      </c>
      <c r="B248" s="188"/>
      <c r="C248" s="188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</row>
    <row r="249" spans="1:22">
      <c r="A249" s="181">
        <v>1</v>
      </c>
      <c r="B249" s="148" t="s">
        <v>288</v>
      </c>
      <c r="C249" s="147" t="s">
        <v>289</v>
      </c>
      <c r="D249" s="38">
        <v>134147737268</v>
      </c>
      <c r="E249" s="34">
        <f>(D249/$D$251)</f>
        <v>0.91334481646422605</v>
      </c>
      <c r="F249" s="66">
        <v>108.35</v>
      </c>
      <c r="G249" s="66">
        <v>108.35</v>
      </c>
      <c r="H249" s="35">
        <v>0</v>
      </c>
      <c r="I249" s="56">
        <v>1.2800000000000001E-2</v>
      </c>
      <c r="J249" s="56">
        <v>0.1363</v>
      </c>
      <c r="K249" s="38">
        <v>130535438849</v>
      </c>
      <c r="L249" s="34">
        <f>(K249/$K$251)</f>
        <v>0.91089541303248933</v>
      </c>
      <c r="M249" s="66">
        <v>108.35</v>
      </c>
      <c r="N249" s="66">
        <v>108.35</v>
      </c>
      <c r="O249" s="35">
        <v>0</v>
      </c>
      <c r="P249" s="56">
        <v>1.2800000000000001E-2</v>
      </c>
      <c r="Q249" s="56">
        <v>0.1363</v>
      </c>
      <c r="R249" s="62">
        <f>((K249-D249)/D249)</f>
        <v>-2.692776257405937E-2</v>
      </c>
      <c r="S249" s="62">
        <f>((N249-G249)/G249)</f>
        <v>0</v>
      </c>
      <c r="T249" s="62" t="e">
        <f>((O249-H249)/H249)</f>
        <v>#DIV/0!</v>
      </c>
      <c r="U249" s="62">
        <f>P249-I249</f>
        <v>0</v>
      </c>
      <c r="V249" s="63">
        <f>Q249-J249</f>
        <v>0</v>
      </c>
    </row>
    <row r="250" spans="1:22" ht="14.4" customHeight="1">
      <c r="A250" s="181">
        <v>2</v>
      </c>
      <c r="B250" s="148" t="s">
        <v>290</v>
      </c>
      <c r="C250" s="147" t="s">
        <v>51</v>
      </c>
      <c r="D250" s="38">
        <v>12727500703.26</v>
      </c>
      <c r="E250" s="34">
        <f>(D250/$D$251)</f>
        <v>8.665518353577388E-2</v>
      </c>
      <c r="F250" s="97">
        <v>1000000</v>
      </c>
      <c r="G250" s="97">
        <v>1000000</v>
      </c>
      <c r="H250" s="35">
        <v>26</v>
      </c>
      <c r="I250" s="56">
        <v>0.17019999999999999</v>
      </c>
      <c r="J250" s="56">
        <v>0.17019999999999999</v>
      </c>
      <c r="K250" s="38">
        <v>12769090937.17</v>
      </c>
      <c r="L250" s="34">
        <f>(K250/$K$251)</f>
        <v>8.9104586967510613E-2</v>
      </c>
      <c r="M250" s="97">
        <v>1000000</v>
      </c>
      <c r="N250" s="97">
        <v>1000000</v>
      </c>
      <c r="O250" s="35">
        <v>26</v>
      </c>
      <c r="P250" s="56">
        <v>0.17050000000000001</v>
      </c>
      <c r="Q250" s="56">
        <v>0.17050000000000001</v>
      </c>
      <c r="R250" s="62">
        <f>((K250-D250)/D250)</f>
        <v>3.2677455597662623E-3</v>
      </c>
      <c r="S250" s="62">
        <f>((N250-G250)/G250)</f>
        <v>0</v>
      </c>
      <c r="T250" s="62">
        <f>((O250-H250)/H250)</f>
        <v>0</v>
      </c>
      <c r="U250" s="62">
        <f>P250-I250</f>
        <v>3.0000000000002247E-4</v>
      </c>
      <c r="V250" s="63">
        <f>Q250-J250</f>
        <v>3.0000000000002247E-4</v>
      </c>
    </row>
    <row r="251" spans="1:22" ht="15" customHeight="1">
      <c r="A251" s="91"/>
      <c r="B251" s="91"/>
      <c r="C251" s="92" t="s">
        <v>291</v>
      </c>
      <c r="D251" s="96">
        <f>SUM(D249:D250)</f>
        <v>146875237971.26001</v>
      </c>
      <c r="E251" s="98"/>
      <c r="F251" s="99"/>
      <c r="G251" s="99"/>
      <c r="H251" s="96">
        <f>SUM(H249:H250)</f>
        <v>26</v>
      </c>
      <c r="I251" s="107"/>
      <c r="J251" s="107"/>
      <c r="K251" s="96">
        <f>SUM(K249:K250)</f>
        <v>143304529786.17001</v>
      </c>
      <c r="L251" s="98"/>
      <c r="M251" s="99"/>
      <c r="N251" s="99"/>
      <c r="O251" s="96">
        <f>SUM(O249:O250)</f>
        <v>26</v>
      </c>
      <c r="P251" s="107"/>
      <c r="Q251" s="96"/>
      <c r="R251" s="110">
        <f>((K251-D251)/D251)</f>
        <v>-2.4311165274766729E-2</v>
      </c>
      <c r="S251" s="111"/>
      <c r="T251" s="111"/>
      <c r="U251" s="110"/>
      <c r="V251" s="112"/>
    </row>
    <row r="252" spans="1:22" ht="4.5" customHeight="1">
      <c r="A252" s="41"/>
      <c r="B252" s="189"/>
      <c r="C252" s="189"/>
      <c r="D252" s="189"/>
      <c r="E252" s="189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</row>
    <row r="253" spans="1:22" ht="15.6">
      <c r="A253" s="188" t="s">
        <v>292</v>
      </c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 s="188"/>
      <c r="Q253" s="188"/>
      <c r="R253" s="188"/>
      <c r="S253" s="188"/>
      <c r="T253" s="188"/>
      <c r="U253" s="188"/>
      <c r="V253" s="188"/>
    </row>
    <row r="254" spans="1:22">
      <c r="A254" s="181">
        <v>1</v>
      </c>
      <c r="B254" s="148" t="s">
        <v>293</v>
      </c>
      <c r="C254" s="147" t="s">
        <v>92</v>
      </c>
      <c r="D254" s="100">
        <v>1901915691.75</v>
      </c>
      <c r="E254" s="101">
        <f t="shared" ref="E254:E265" si="218">(D254/$D$266)</f>
        <v>7.5331169885737376E-2</v>
      </c>
      <c r="F254" s="97">
        <v>464.69216061999998</v>
      </c>
      <c r="G254" s="97">
        <v>464.69216061999998</v>
      </c>
      <c r="H254" s="102">
        <v>266</v>
      </c>
      <c r="I254" s="58">
        <v>9.5999999999999992E-3</v>
      </c>
      <c r="J254" s="58">
        <v>0.31640000000000001</v>
      </c>
      <c r="K254" s="100">
        <v>2010950987.98</v>
      </c>
      <c r="L254" s="101">
        <f t="shared" ref="L254:L265" si="219">(K254/$K$266)</f>
        <v>7.2742078632170193E-2</v>
      </c>
      <c r="M254" s="97">
        <v>491.41473051000003</v>
      </c>
      <c r="N254" s="97">
        <v>491.41473051000003</v>
      </c>
      <c r="O254" s="102">
        <v>266</v>
      </c>
      <c r="P254" s="58">
        <v>5.7500000000000002E-2</v>
      </c>
      <c r="Q254" s="58">
        <v>0.3921</v>
      </c>
      <c r="R254" s="62">
        <f>((K254-D254)/D254)</f>
        <v>5.7329195349176562E-2</v>
      </c>
      <c r="S254" s="62">
        <f>((N254-G254)/G254)</f>
        <v>5.7505962343643476E-2</v>
      </c>
      <c r="T254" s="62">
        <f>((O254-H254)/H254)</f>
        <v>0</v>
      </c>
      <c r="U254" s="62">
        <f>P254-I254</f>
        <v>4.7900000000000005E-2</v>
      </c>
      <c r="V254" s="63">
        <f>Q254-J254</f>
        <v>7.569999999999999E-2</v>
      </c>
    </row>
    <row r="255" spans="1:22">
      <c r="A255" s="181">
        <v>2</v>
      </c>
      <c r="B255" s="148" t="s">
        <v>294</v>
      </c>
      <c r="C255" s="147" t="s">
        <v>255</v>
      </c>
      <c r="D255" s="100">
        <v>2975436355.27</v>
      </c>
      <c r="E255" s="101">
        <f t="shared" si="218"/>
        <v>0.11785122891372958</v>
      </c>
      <c r="F255" s="97">
        <v>84.63</v>
      </c>
      <c r="G255" s="97">
        <v>93.54</v>
      </c>
      <c r="H255" s="102">
        <v>1805</v>
      </c>
      <c r="I255" s="58">
        <v>7.3000000000000001E-3</v>
      </c>
      <c r="J255" s="58">
        <v>0.44330000000000003</v>
      </c>
      <c r="K255" s="100">
        <v>3238565547.1700001</v>
      </c>
      <c r="L255" s="101">
        <f t="shared" si="219"/>
        <v>0.11714854866966076</v>
      </c>
      <c r="M255" s="97">
        <v>92.11</v>
      </c>
      <c r="N255" s="97">
        <v>101.81</v>
      </c>
      <c r="O255" s="102">
        <v>1805</v>
      </c>
      <c r="P255" s="58">
        <v>8.8499999999999995E-2</v>
      </c>
      <c r="Q255" s="58">
        <v>0.57099999999999995</v>
      </c>
      <c r="R255" s="62">
        <f t="shared" ref="R255:R266" si="220">((K255-D255)/D255)</f>
        <v>8.8433816248145891E-2</v>
      </c>
      <c r="S255" s="62">
        <f t="shared" ref="S255:S266" si="221">((N255-G255)/G255)</f>
        <v>8.8411374812914209E-2</v>
      </c>
      <c r="T255" s="62">
        <f t="shared" ref="T255:T266" si="222">((O255-H255)/H255)</f>
        <v>0</v>
      </c>
      <c r="U255" s="62">
        <f t="shared" ref="U255:U266" si="223">P255-I255</f>
        <v>8.1199999999999994E-2</v>
      </c>
      <c r="V255" s="63">
        <f t="shared" ref="V255:V266" si="224">Q255-J255</f>
        <v>0.12769999999999992</v>
      </c>
    </row>
    <row r="256" spans="1:22">
      <c r="A256" s="181">
        <v>3</v>
      </c>
      <c r="B256" s="148" t="s">
        <v>295</v>
      </c>
      <c r="C256" s="147" t="s">
        <v>42</v>
      </c>
      <c r="D256" s="100">
        <v>693021935.61000001</v>
      </c>
      <c r="E256" s="101">
        <f t="shared" si="218"/>
        <v>2.7449246773890001E-2</v>
      </c>
      <c r="F256" s="97">
        <v>57.739798999999998</v>
      </c>
      <c r="G256" s="97">
        <v>57.962322999999998</v>
      </c>
      <c r="H256" s="102">
        <v>871</v>
      </c>
      <c r="I256" s="58">
        <v>1.8499999999999999E-2</v>
      </c>
      <c r="J256" s="58">
        <v>0.42820000000000003</v>
      </c>
      <c r="K256" s="100">
        <v>745563895.33000004</v>
      </c>
      <c r="L256" s="101">
        <f t="shared" si="219"/>
        <v>2.6969263708351184E-2</v>
      </c>
      <c r="M256" s="97">
        <v>62.12</v>
      </c>
      <c r="N256" s="97">
        <v>62.35</v>
      </c>
      <c r="O256" s="102">
        <v>871</v>
      </c>
      <c r="P256" s="58">
        <v>7.5800000000000006E-2</v>
      </c>
      <c r="Q256" s="58">
        <v>0.53639999999999999</v>
      </c>
      <c r="R256" s="62">
        <f t="shared" si="220"/>
        <v>7.5815723890113859E-2</v>
      </c>
      <c r="S256" s="62">
        <f t="shared" si="221"/>
        <v>7.5698777635258063E-2</v>
      </c>
      <c r="T256" s="62">
        <f t="shared" si="222"/>
        <v>0</v>
      </c>
      <c r="U256" s="62">
        <f t="shared" si="223"/>
        <v>5.7300000000000004E-2</v>
      </c>
      <c r="V256" s="63">
        <f t="shared" si="224"/>
        <v>0.10819999999999996</v>
      </c>
    </row>
    <row r="257" spans="1:26">
      <c r="A257" s="181">
        <v>4</v>
      </c>
      <c r="B257" s="148" t="s">
        <v>296</v>
      </c>
      <c r="C257" s="147" t="s">
        <v>42</v>
      </c>
      <c r="D257" s="100">
        <v>1339587208.51</v>
      </c>
      <c r="E257" s="101">
        <f t="shared" si="218"/>
        <v>5.3058435775444515E-2</v>
      </c>
      <c r="F257" s="97">
        <v>113.754741</v>
      </c>
      <c r="G257" s="97">
        <v>114.194852</v>
      </c>
      <c r="H257" s="102">
        <v>981</v>
      </c>
      <c r="I257" s="58">
        <v>0.03</v>
      </c>
      <c r="J257" s="58">
        <v>0.36549999999999999</v>
      </c>
      <c r="K257" s="100">
        <v>1480419746.75</v>
      </c>
      <c r="L257" s="101">
        <f t="shared" si="219"/>
        <v>5.3551185618342378E-2</v>
      </c>
      <c r="M257" s="97">
        <v>125.713925</v>
      </c>
      <c r="N257" s="97">
        <v>126.177845</v>
      </c>
      <c r="O257" s="102">
        <v>981</v>
      </c>
      <c r="P257" s="58">
        <v>0.1051</v>
      </c>
      <c r="Q257" s="58">
        <v>0.5091</v>
      </c>
      <c r="R257" s="62">
        <f t="shared" si="220"/>
        <v>0.10513129518207751</v>
      </c>
      <c r="S257" s="62">
        <f t="shared" si="221"/>
        <v>0.10493461649216909</v>
      </c>
      <c r="T257" s="62">
        <f t="shared" si="222"/>
        <v>0</v>
      </c>
      <c r="U257" s="62">
        <f t="shared" si="223"/>
        <v>7.51E-2</v>
      </c>
      <c r="V257" s="63">
        <f t="shared" si="224"/>
        <v>0.14360000000000001</v>
      </c>
    </row>
    <row r="258" spans="1:26">
      <c r="A258" s="181">
        <v>5</v>
      </c>
      <c r="B258" s="148" t="s">
        <v>297</v>
      </c>
      <c r="C258" s="147" t="s">
        <v>298</v>
      </c>
      <c r="D258" s="100">
        <v>2021212701.1800001</v>
      </c>
      <c r="E258" s="101">
        <f t="shared" si="218"/>
        <v>8.0056291679102873E-2</v>
      </c>
      <c r="F258" s="97">
        <v>58120</v>
      </c>
      <c r="G258" s="97">
        <v>64050</v>
      </c>
      <c r="H258" s="102">
        <v>386</v>
      </c>
      <c r="I258" s="58">
        <v>1.2999999999999999E-2</v>
      </c>
      <c r="J258" s="58">
        <v>0.03</v>
      </c>
      <c r="K258" s="100">
        <v>2038228657.8</v>
      </c>
      <c r="L258" s="101">
        <f t="shared" si="219"/>
        <v>7.372879308459053E-2</v>
      </c>
      <c r="M258" s="97">
        <v>58050</v>
      </c>
      <c r="N258" s="97">
        <v>64900</v>
      </c>
      <c r="O258" s="102">
        <v>604</v>
      </c>
      <c r="P258" s="58">
        <v>8.0000000000000002E-3</v>
      </c>
      <c r="Q258" s="58">
        <v>0.04</v>
      </c>
      <c r="R258" s="62">
        <f t="shared" si="220"/>
        <v>8.4186867666455074E-3</v>
      </c>
      <c r="S258" s="62">
        <f t="shared" si="221"/>
        <v>1.3270882123341141E-2</v>
      </c>
      <c r="T258" s="62">
        <f t="shared" si="222"/>
        <v>0.56476683937823835</v>
      </c>
      <c r="U258" s="62">
        <f t="shared" si="223"/>
        <v>-4.9999999999999992E-3</v>
      </c>
      <c r="V258" s="63">
        <f t="shared" si="224"/>
        <v>1.0000000000000002E-2</v>
      </c>
    </row>
    <row r="259" spans="1:26">
      <c r="A259" s="181">
        <v>6</v>
      </c>
      <c r="B259" s="148" t="s">
        <v>299</v>
      </c>
      <c r="C259" s="147" t="s">
        <v>300</v>
      </c>
      <c r="D259" s="100">
        <v>1341435672.73</v>
      </c>
      <c r="E259" s="101">
        <f t="shared" si="218"/>
        <v>5.3131649836818812E-2</v>
      </c>
      <c r="F259" s="97">
        <v>10350</v>
      </c>
      <c r="G259" s="97">
        <v>10350</v>
      </c>
      <c r="H259" s="102">
        <v>777</v>
      </c>
      <c r="I259" s="58">
        <v>2.4799999999999999E-2</v>
      </c>
      <c r="J259" s="58">
        <v>0.36159999999999998</v>
      </c>
      <c r="K259" s="100">
        <v>1481729656.04</v>
      </c>
      <c r="L259" s="101">
        <f t="shared" si="219"/>
        <v>5.3598568933571712E-2</v>
      </c>
      <c r="M259" s="97">
        <v>12299</v>
      </c>
      <c r="N259" s="97">
        <v>12299</v>
      </c>
      <c r="O259" s="102">
        <v>777</v>
      </c>
      <c r="P259" s="58">
        <v>0.1045</v>
      </c>
      <c r="Q259" s="58">
        <v>0.50390000000000001</v>
      </c>
      <c r="R259" s="62">
        <f t="shared" si="220"/>
        <v>0.10458495040949897</v>
      </c>
      <c r="S259" s="62">
        <f t="shared" si="221"/>
        <v>0.18830917874396136</v>
      </c>
      <c r="T259" s="62">
        <f t="shared" si="222"/>
        <v>0</v>
      </c>
      <c r="U259" s="62">
        <f t="shared" si="223"/>
        <v>7.9699999999999993E-2</v>
      </c>
      <c r="V259" s="63">
        <f t="shared" si="224"/>
        <v>0.14230000000000004</v>
      </c>
    </row>
    <row r="260" spans="1:26">
      <c r="A260" s="181">
        <v>7</v>
      </c>
      <c r="B260" s="148" t="s">
        <v>301</v>
      </c>
      <c r="C260" s="147" t="s">
        <v>300</v>
      </c>
      <c r="D260" s="100">
        <v>1391704001.6400001</v>
      </c>
      <c r="E260" s="101">
        <f t="shared" si="218"/>
        <v>5.5122680270721508E-2</v>
      </c>
      <c r="F260" s="97">
        <v>4177.3</v>
      </c>
      <c r="G260" s="97">
        <v>4177.3</v>
      </c>
      <c r="H260" s="102">
        <v>5505</v>
      </c>
      <c r="I260" s="58">
        <v>1.0699999999999999E-2</v>
      </c>
      <c r="J260" s="58">
        <v>0.28079999999999999</v>
      </c>
      <c r="K260" s="100">
        <v>1498548271.5699999</v>
      </c>
      <c r="L260" s="101">
        <f t="shared" si="219"/>
        <v>5.4206948282785203E-2</v>
      </c>
      <c r="M260" s="97">
        <v>4117.8900000000003</v>
      </c>
      <c r="N260" s="97">
        <v>4117.8900000000003</v>
      </c>
      <c r="O260" s="102">
        <v>5505</v>
      </c>
      <c r="P260" s="58">
        <v>7.6700000000000004E-2</v>
      </c>
      <c r="Q260" s="58">
        <v>0.37909999999999999</v>
      </c>
      <c r="R260" s="62">
        <f t="shared" si="220"/>
        <v>7.6772266088258212E-2</v>
      </c>
      <c r="S260" s="62">
        <f t="shared" si="221"/>
        <v>-1.4222105187561307E-2</v>
      </c>
      <c r="T260" s="62">
        <f t="shared" si="222"/>
        <v>0</v>
      </c>
      <c r="U260" s="62">
        <f t="shared" si="223"/>
        <v>6.6000000000000003E-2</v>
      </c>
      <c r="V260" s="63">
        <f t="shared" si="224"/>
        <v>9.8299999999999998E-2</v>
      </c>
    </row>
    <row r="261" spans="1:26">
      <c r="A261" s="181">
        <v>8</v>
      </c>
      <c r="B261" s="148" t="s">
        <v>302</v>
      </c>
      <c r="C261" s="147" t="s">
        <v>303</v>
      </c>
      <c r="D261" s="100">
        <v>515906331.69</v>
      </c>
      <c r="E261" s="101">
        <f t="shared" si="218"/>
        <v>2.0434043257673208E-2</v>
      </c>
      <c r="F261" s="97">
        <v>43.16</v>
      </c>
      <c r="G261" s="97">
        <v>43.26</v>
      </c>
      <c r="H261" s="102">
        <v>3175</v>
      </c>
      <c r="I261" s="58">
        <v>4.2099999999999999E-2</v>
      </c>
      <c r="J261" s="58">
        <v>0.67669999999999997</v>
      </c>
      <c r="K261" s="100">
        <v>624104404.38</v>
      </c>
      <c r="L261" s="101">
        <f t="shared" si="219"/>
        <v>2.2575712650111199E-2</v>
      </c>
      <c r="M261" s="97">
        <v>44.63</v>
      </c>
      <c r="N261" s="97">
        <v>44.73</v>
      </c>
      <c r="O261" s="102">
        <v>3486</v>
      </c>
      <c r="P261" s="58">
        <v>-0.16200000000000001</v>
      </c>
      <c r="Q261" s="58">
        <v>0.40510000000000002</v>
      </c>
      <c r="R261" s="62">
        <f t="shared" si="220"/>
        <v>0.20972425815276582</v>
      </c>
      <c r="S261" s="62">
        <f t="shared" si="221"/>
        <v>3.3980582524271823E-2</v>
      </c>
      <c r="T261" s="62">
        <f t="shared" si="222"/>
        <v>9.7952755905511807E-2</v>
      </c>
      <c r="U261" s="62">
        <f t="shared" si="223"/>
        <v>-0.2041</v>
      </c>
      <c r="V261" s="63">
        <f t="shared" si="224"/>
        <v>-0.27159999999999995</v>
      </c>
    </row>
    <row r="262" spans="1:26">
      <c r="A262" s="181">
        <v>9</v>
      </c>
      <c r="B262" s="148" t="s">
        <v>304</v>
      </c>
      <c r="C262" s="147" t="s">
        <v>303</v>
      </c>
      <c r="D262" s="103">
        <v>1543678229.1600001</v>
      </c>
      <c r="E262" s="101">
        <f t="shared" si="218"/>
        <v>6.114208291891611E-2</v>
      </c>
      <c r="F262" s="97">
        <v>20.16</v>
      </c>
      <c r="G262" s="97">
        <v>20.260000000000002</v>
      </c>
      <c r="H262" s="102">
        <v>3439</v>
      </c>
      <c r="I262" s="58">
        <v>-8.6999999999999994E-3</v>
      </c>
      <c r="J262" s="58">
        <v>0.98270000000000002</v>
      </c>
      <c r="K262" s="103">
        <v>1825937482.8399999</v>
      </c>
      <c r="L262" s="101">
        <f t="shared" si="219"/>
        <v>6.6049589844849654E-2</v>
      </c>
      <c r="M262" s="97">
        <v>22.56</v>
      </c>
      <c r="N262" s="97">
        <v>22.66</v>
      </c>
      <c r="O262" s="102">
        <v>3723</v>
      </c>
      <c r="P262" s="58">
        <v>-5.8500000000000003E-2</v>
      </c>
      <c r="Q262" s="58">
        <v>0.86670000000000003</v>
      </c>
      <c r="R262" s="62">
        <f t="shared" si="220"/>
        <v>0.18284850323606142</v>
      </c>
      <c r="S262" s="62">
        <f t="shared" si="221"/>
        <v>0.11846001974333654</v>
      </c>
      <c r="T262" s="62">
        <f t="shared" si="222"/>
        <v>8.2582145972666471E-2</v>
      </c>
      <c r="U262" s="62">
        <f t="shared" si="223"/>
        <v>-4.9800000000000004E-2</v>
      </c>
      <c r="V262" s="63">
        <f t="shared" si="224"/>
        <v>-0.11599999999999999</v>
      </c>
    </row>
    <row r="263" spans="1:26" ht="15" customHeight="1">
      <c r="A263" s="181">
        <v>10</v>
      </c>
      <c r="B263" s="148" t="s">
        <v>305</v>
      </c>
      <c r="C263" s="147" t="s">
        <v>303</v>
      </c>
      <c r="D263" s="100">
        <v>337601062.51999998</v>
      </c>
      <c r="E263" s="101">
        <f t="shared" si="218"/>
        <v>1.3371719421957686E-2</v>
      </c>
      <c r="F263" s="97">
        <v>147.47999999999999</v>
      </c>
      <c r="G263" s="97">
        <v>149.47999999999999</v>
      </c>
      <c r="H263" s="102">
        <v>1646</v>
      </c>
      <c r="I263" s="58">
        <v>0.1014</v>
      </c>
      <c r="J263" s="58">
        <v>0.75519999999999998</v>
      </c>
      <c r="K263" s="100">
        <v>337303301.19999999</v>
      </c>
      <c r="L263" s="101">
        <f t="shared" si="219"/>
        <v>1.2201263683421512E-2</v>
      </c>
      <c r="M263" s="97">
        <v>147.35</v>
      </c>
      <c r="N263" s="97">
        <v>149.35</v>
      </c>
      <c r="O263" s="102">
        <v>1646</v>
      </c>
      <c r="P263" s="58">
        <v>-0.1368</v>
      </c>
      <c r="Q263" s="58">
        <v>0.51500000000000001</v>
      </c>
      <c r="R263" s="62">
        <f t="shared" si="220"/>
        <v>-8.8199165540941689E-4</v>
      </c>
      <c r="S263" s="62">
        <f t="shared" si="221"/>
        <v>-8.6968156275083928E-4</v>
      </c>
      <c r="T263" s="62">
        <f t="shared" si="222"/>
        <v>0</v>
      </c>
      <c r="U263" s="62">
        <f t="shared" si="223"/>
        <v>-0.23820000000000002</v>
      </c>
      <c r="V263" s="63">
        <f t="shared" si="224"/>
        <v>-0.24019999999999997</v>
      </c>
    </row>
    <row r="264" spans="1:26">
      <c r="A264" s="181">
        <v>11</v>
      </c>
      <c r="B264" s="148" t="s">
        <v>306</v>
      </c>
      <c r="C264" s="147" t="s">
        <v>303</v>
      </c>
      <c r="D264" s="100">
        <v>10814296785.889999</v>
      </c>
      <c r="E264" s="101">
        <f t="shared" si="218"/>
        <v>0.42833319684274757</v>
      </c>
      <c r="F264" s="97">
        <v>74.239999999999995</v>
      </c>
      <c r="G264" s="97">
        <v>74.44</v>
      </c>
      <c r="H264" s="102">
        <v>3976</v>
      </c>
      <c r="I264" s="58">
        <v>1E-4</v>
      </c>
      <c r="J264" s="58">
        <v>0.7591</v>
      </c>
      <c r="K264" s="100">
        <v>11848960532.870001</v>
      </c>
      <c r="L264" s="101">
        <f t="shared" si="219"/>
        <v>0.42861214616538584</v>
      </c>
      <c r="M264" s="97">
        <v>79.41</v>
      </c>
      <c r="N264" s="97">
        <v>79.61</v>
      </c>
      <c r="O264" s="102">
        <v>4310</v>
      </c>
      <c r="P264" s="58">
        <v>-3.1699999999999999E-2</v>
      </c>
      <c r="Q264" s="58">
        <v>0.70340000000000003</v>
      </c>
      <c r="R264" s="62">
        <f t="shared" si="220"/>
        <v>9.567554575809159E-2</v>
      </c>
      <c r="S264" s="62">
        <f t="shared" si="221"/>
        <v>6.9451907576571756E-2</v>
      </c>
      <c r="T264" s="62">
        <f t="shared" si="222"/>
        <v>8.400402414486921E-2</v>
      </c>
      <c r="U264" s="62">
        <f t="shared" si="223"/>
        <v>-3.1800000000000002E-2</v>
      </c>
      <c r="V264" s="63">
        <f t="shared" si="224"/>
        <v>-5.5699999999999972E-2</v>
      </c>
    </row>
    <row r="265" spans="1:26">
      <c r="A265" s="181">
        <v>12</v>
      </c>
      <c r="B265" s="148" t="s">
        <v>307</v>
      </c>
      <c r="C265" s="147" t="s">
        <v>303</v>
      </c>
      <c r="D265" s="103">
        <v>371597561.61000001</v>
      </c>
      <c r="E265" s="101">
        <f t="shared" si="218"/>
        <v>1.4718254423260857E-2</v>
      </c>
      <c r="F265" s="97">
        <v>88.37</v>
      </c>
      <c r="G265" s="97">
        <v>88.57</v>
      </c>
      <c r="H265" s="102">
        <v>2834</v>
      </c>
      <c r="I265" s="58">
        <v>-7.6700000000000004E-2</v>
      </c>
      <c r="J265" s="58">
        <v>1.75</v>
      </c>
      <c r="K265" s="103">
        <v>514635609.30000001</v>
      </c>
      <c r="L265" s="101">
        <f t="shared" si="219"/>
        <v>1.86159007267599E-2</v>
      </c>
      <c r="M265" s="97">
        <v>89.48</v>
      </c>
      <c r="N265" s="97">
        <v>89.68</v>
      </c>
      <c r="O265" s="102">
        <v>2967</v>
      </c>
      <c r="P265" s="58">
        <v>-9.0899999999999995E-2</v>
      </c>
      <c r="Q265" s="58">
        <v>0.5</v>
      </c>
      <c r="R265" s="62">
        <f t="shared" si="220"/>
        <v>0.38492730434039191</v>
      </c>
      <c r="S265" s="62">
        <f t="shared" si="221"/>
        <v>1.2532460200971138E-2</v>
      </c>
      <c r="T265" s="62">
        <f t="shared" si="222"/>
        <v>4.6930134086097391E-2</v>
      </c>
      <c r="U265" s="62">
        <f t="shared" si="223"/>
        <v>-1.419999999999999E-2</v>
      </c>
      <c r="V265" s="63">
        <f t="shared" si="224"/>
        <v>-1.25</v>
      </c>
    </row>
    <row r="266" spans="1:26">
      <c r="A266" s="113"/>
      <c r="B266" s="113"/>
      <c r="C266" s="114" t="s">
        <v>308</v>
      </c>
      <c r="D266" s="96">
        <f>SUM(D254:D265)</f>
        <v>25247393537.559998</v>
      </c>
      <c r="E266" s="98"/>
      <c r="F266" s="98"/>
      <c r="G266" s="99"/>
      <c r="H266" s="96">
        <f>SUM(H254:H265)</f>
        <v>25661</v>
      </c>
      <c r="I266" s="107"/>
      <c r="J266" s="107"/>
      <c r="K266" s="96">
        <f>SUM(K254:K265)</f>
        <v>27644948093.23</v>
      </c>
      <c r="L266" s="98"/>
      <c r="M266" s="98"/>
      <c r="N266" s="99"/>
      <c r="O266" s="96">
        <f>SUM(O254:O265)</f>
        <v>26941</v>
      </c>
      <c r="P266" s="107"/>
      <c r="Q266" s="107"/>
      <c r="R266" s="62">
        <f t="shared" si="220"/>
        <v>9.4962458287157936E-2</v>
      </c>
      <c r="S266" s="62" t="e">
        <f t="shared" si="221"/>
        <v>#DIV/0!</v>
      </c>
      <c r="T266" s="62">
        <f t="shared" si="222"/>
        <v>4.9881142589922448E-2</v>
      </c>
      <c r="U266" s="62">
        <f t="shared" si="223"/>
        <v>0</v>
      </c>
      <c r="V266" s="63">
        <f t="shared" si="224"/>
        <v>0</v>
      </c>
      <c r="Z266" s="71"/>
    </row>
    <row r="267" spans="1:26">
      <c r="A267" s="115"/>
      <c r="B267" s="115"/>
      <c r="C267" s="116" t="s">
        <v>309</v>
      </c>
      <c r="D267" s="117">
        <f>SUM(D238,D246,D251,D266)</f>
        <v>8826939378512.6484</v>
      </c>
      <c r="E267" s="118"/>
      <c r="F267" s="118"/>
      <c r="G267" s="119"/>
      <c r="H267" s="117">
        <f>SUM(H238,H246,H251,H266)</f>
        <v>1313138</v>
      </c>
      <c r="I267" s="130"/>
      <c r="J267" s="130"/>
      <c r="K267" s="117">
        <f>SUM(K238,K246,K251,K266)</f>
        <v>8884571854243.5469</v>
      </c>
      <c r="L267" s="118"/>
      <c r="M267" s="118"/>
      <c r="N267" s="117"/>
      <c r="O267" s="117">
        <f>SUM(O238,O246,O251,O266)</f>
        <v>1329779</v>
      </c>
      <c r="P267" s="131"/>
      <c r="Q267" s="117"/>
      <c r="R267" s="135"/>
      <c r="S267" s="136"/>
      <c r="T267" s="136"/>
      <c r="U267" s="137"/>
      <c r="V267" s="137"/>
      <c r="Z267" s="71"/>
    </row>
    <row r="268" spans="1:26">
      <c r="A268" s="120" t="s">
        <v>310</v>
      </c>
      <c r="B268" s="121" t="s">
        <v>342</v>
      </c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</row>
    <row r="269" spans="1:26">
      <c r="B269" s="123"/>
    </row>
    <row r="270" spans="1:26">
      <c r="B270" s="123"/>
      <c r="C270" s="124"/>
      <c r="D270" s="125"/>
      <c r="K270" s="125"/>
    </row>
    <row r="271" spans="1:26" ht="15">
      <c r="B271" s="126"/>
      <c r="C271" s="127"/>
      <c r="D271" s="128"/>
      <c r="F271" s="129"/>
      <c r="G271" s="129"/>
      <c r="I271" s="132"/>
      <c r="J271" s="133"/>
    </row>
    <row r="272" spans="1:26">
      <c r="C272" s="123"/>
    </row>
    <row r="273" spans="2:11">
      <c r="K273" s="109"/>
    </row>
    <row r="274" spans="2:11">
      <c r="B274" s="124"/>
    </row>
    <row r="275" spans="2:11">
      <c r="K275" s="134"/>
    </row>
  </sheetData>
  <sheetProtection algorithmName="SHA-512" hashValue="OVofZ9AkJJtx509KHnEQX2p/MbInIN02Xkl/Q46arL7Zs70DvGt2qXwqoqTIY01GtAGIA97DFVaj4Lm9n2QqxA==" saltValue="c3/hg2t+WdKHvIcK2wjPdg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7:V77"/>
    <mergeCell ref="A78:V78"/>
    <mergeCell ref="B118:V118"/>
    <mergeCell ref="A119:V119"/>
    <mergeCell ref="A120:V120"/>
    <mergeCell ref="B139:V139"/>
    <mergeCell ref="A140:V140"/>
    <mergeCell ref="B162:V162"/>
    <mergeCell ref="A163:V163"/>
    <mergeCell ref="B171:V171"/>
    <mergeCell ref="A172:V172"/>
    <mergeCell ref="B204:V204"/>
    <mergeCell ref="A205:V205"/>
    <mergeCell ref="B210:V210"/>
    <mergeCell ref="A211:V211"/>
    <mergeCell ref="A212:V212"/>
    <mergeCell ref="A240:V240"/>
    <mergeCell ref="A248:V248"/>
    <mergeCell ref="B252:V252"/>
    <mergeCell ref="A253:V253"/>
    <mergeCell ref="B215:V215"/>
    <mergeCell ref="A216:V216"/>
    <mergeCell ref="B231:V231"/>
    <mergeCell ref="A232:V232"/>
    <mergeCell ref="B239:U239"/>
  </mergeCells>
  <pageMargins left="0.7" right="0.7" top="0.75" bottom="0.75" header="0.3" footer="0.3"/>
  <pageSetup paperSize="9" orientation="portrait" horizontalDpi="300" verticalDpi="300" r:id="rId1"/>
  <ignoredErrors>
    <ignoredError sqref="E103 E83 L53 L37 E37 L146 E146" formula="1"/>
    <ignoredError sqref="S170 S26 S76 S117 S161 S203 S209 S237 S266 T249:T250 R54:T54 R146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K15" sqref="K15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4"/>
      <c r="B1" s="154"/>
      <c r="C1" s="154"/>
      <c r="D1" s="154"/>
      <c r="E1" s="15"/>
      <c r="F1" s="15"/>
      <c r="G1" s="15"/>
      <c r="H1" s="20"/>
    </row>
    <row r="2" spans="1:8" ht="27.6">
      <c r="A2" s="171" t="s">
        <v>311</v>
      </c>
      <c r="B2" s="172" t="s">
        <v>340</v>
      </c>
      <c r="C2" s="172" t="s">
        <v>344</v>
      </c>
      <c r="D2" s="173"/>
      <c r="E2" s="15"/>
      <c r="F2" s="15"/>
      <c r="G2" s="15"/>
      <c r="H2" s="20"/>
    </row>
    <row r="3" spans="1:8">
      <c r="A3" s="174" t="s">
        <v>17</v>
      </c>
      <c r="B3" s="175">
        <f t="shared" ref="B3:C10" si="0">B13</f>
        <v>183.8473763187514</v>
      </c>
      <c r="C3" s="175">
        <f t="shared" si="0"/>
        <v>198.1022539740199</v>
      </c>
      <c r="D3" s="173"/>
      <c r="E3" s="15"/>
      <c r="F3" s="15"/>
      <c r="G3" s="15"/>
      <c r="H3" s="20"/>
    </row>
    <row r="4" spans="1:8" ht="15.6" customHeight="1">
      <c r="A4" s="171" t="s">
        <v>55</v>
      </c>
      <c r="B4" s="176">
        <f t="shared" si="0"/>
        <v>5619.0014664436776</v>
      </c>
      <c r="C4" s="176">
        <f t="shared" si="0"/>
        <v>5663.6463496105916</v>
      </c>
      <c r="D4" s="173"/>
      <c r="E4" s="15"/>
      <c r="F4" s="15"/>
      <c r="G4" s="15"/>
      <c r="H4" s="20"/>
    </row>
    <row r="5" spans="1:8" ht="16.2" customHeight="1">
      <c r="A5" s="171" t="s">
        <v>312</v>
      </c>
      <c r="B5" s="175">
        <f t="shared" si="0"/>
        <v>237.02551254387481</v>
      </c>
      <c r="C5" s="175">
        <f t="shared" si="0"/>
        <v>237.15404274345843</v>
      </c>
      <c r="D5" s="173"/>
      <c r="E5" s="15"/>
      <c r="F5" s="15"/>
      <c r="G5" s="15"/>
      <c r="H5" s="20"/>
    </row>
    <row r="6" spans="1:8">
      <c r="A6" s="171" t="s">
        <v>171</v>
      </c>
      <c r="B6" s="176">
        <f t="shared" si="0"/>
        <v>1821.1793663458789</v>
      </c>
      <c r="C6" s="176">
        <f t="shared" si="0"/>
        <v>1809.9686364740674</v>
      </c>
      <c r="D6" s="173"/>
      <c r="E6" s="15"/>
      <c r="F6" s="15"/>
      <c r="G6" s="15"/>
      <c r="H6" s="20"/>
    </row>
    <row r="7" spans="1:8">
      <c r="A7" s="171" t="s">
        <v>313</v>
      </c>
      <c r="B7" s="175">
        <f t="shared" si="0"/>
        <v>504.64319293491315</v>
      </c>
      <c r="C7" s="175">
        <f t="shared" si="0"/>
        <v>505.0606137544417</v>
      </c>
      <c r="D7" s="173"/>
      <c r="E7" s="15"/>
      <c r="F7" s="15"/>
      <c r="G7" s="15"/>
      <c r="H7" s="20"/>
    </row>
    <row r="8" spans="1:8">
      <c r="A8" s="171" t="s">
        <v>216</v>
      </c>
      <c r="B8" s="177">
        <f t="shared" si="0"/>
        <v>125.20370858952214</v>
      </c>
      <c r="C8" s="177">
        <f t="shared" si="0"/>
        <v>130.92364111656394</v>
      </c>
      <c r="D8" s="173"/>
      <c r="E8" s="15"/>
      <c r="F8" s="15"/>
      <c r="G8" s="15"/>
      <c r="H8" s="20"/>
    </row>
    <row r="9" spans="1:8">
      <c r="A9" s="171" t="s">
        <v>248</v>
      </c>
      <c r="B9" s="175">
        <f t="shared" si="0"/>
        <v>15.435732579870001</v>
      </c>
      <c r="C9" s="175">
        <f t="shared" si="0"/>
        <v>16.71368421259</v>
      </c>
      <c r="D9" s="173"/>
      <c r="E9" s="15"/>
      <c r="F9" s="15"/>
      <c r="G9" s="15"/>
      <c r="H9" s="20"/>
    </row>
    <row r="10" spans="1:8">
      <c r="A10" s="171" t="s">
        <v>314</v>
      </c>
      <c r="B10" s="175">
        <f t="shared" si="0"/>
        <v>117.11127480880343</v>
      </c>
      <c r="C10" s="175">
        <f t="shared" si="0"/>
        <v>120.56530523860492</v>
      </c>
      <c r="D10" s="173"/>
      <c r="E10" s="15"/>
      <c r="F10" s="15"/>
      <c r="G10" s="15"/>
      <c r="H10" s="20"/>
    </row>
    <row r="11" spans="1:8">
      <c r="A11" s="171" t="s">
        <v>281</v>
      </c>
      <c r="B11" s="175">
        <f>B21</f>
        <v>31.36911643853562</v>
      </c>
      <c r="C11" s="175">
        <f>C21</f>
        <v>31.487849239809496</v>
      </c>
      <c r="D11" s="173"/>
      <c r="E11" s="15"/>
      <c r="F11" s="15"/>
      <c r="G11" s="15"/>
      <c r="H11" s="20"/>
    </row>
    <row r="12" spans="1:8">
      <c r="A12" s="154"/>
      <c r="B12" s="154"/>
      <c r="C12" s="154"/>
      <c r="D12" s="154"/>
      <c r="E12" s="15"/>
      <c r="F12" s="15"/>
      <c r="G12" s="15"/>
      <c r="H12" s="20"/>
    </row>
    <row r="13" spans="1:8">
      <c r="A13" s="178" t="s">
        <v>17</v>
      </c>
      <c r="B13" s="155">
        <f>'Weekly Valuation'!D26/1000000000</f>
        <v>183.8473763187514</v>
      </c>
      <c r="C13" s="156">
        <f>'Weekly Valuation'!K26/1000000000</f>
        <v>198.1022539740199</v>
      </c>
      <c r="D13" s="154"/>
      <c r="E13" s="15"/>
      <c r="F13" s="15"/>
      <c r="G13" s="15"/>
      <c r="H13" s="20"/>
    </row>
    <row r="14" spans="1:8">
      <c r="A14" s="157" t="s">
        <v>55</v>
      </c>
      <c r="B14" s="155">
        <f>'Weekly Valuation'!D76/1000000000</f>
        <v>5619.0014664436776</v>
      </c>
      <c r="C14" s="179">
        <f>'Weekly Valuation'!K76/1000000000</f>
        <v>5663.6463496105916</v>
      </c>
      <c r="D14" s="154"/>
      <c r="E14" s="15"/>
      <c r="F14" s="15"/>
      <c r="G14" s="15"/>
      <c r="H14" s="20"/>
    </row>
    <row r="15" spans="1:8">
      <c r="A15" s="157" t="s">
        <v>312</v>
      </c>
      <c r="B15" s="155">
        <f>'Weekly Valuation'!D117/1000000000</f>
        <v>237.02551254387481</v>
      </c>
      <c r="C15" s="156">
        <f>'Weekly Valuation'!K117/1000000000</f>
        <v>237.15404274345843</v>
      </c>
      <c r="D15" s="154"/>
      <c r="E15" s="15"/>
      <c r="F15" s="15"/>
      <c r="G15" s="15"/>
      <c r="H15" s="20"/>
    </row>
    <row r="16" spans="1:8">
      <c r="A16" s="157" t="s">
        <v>171</v>
      </c>
      <c r="B16" s="155">
        <f>'Weekly Valuation'!D161/1000000000</f>
        <v>1821.1793663458789</v>
      </c>
      <c r="C16" s="179">
        <f>'Weekly Valuation'!K161/1000000000</f>
        <v>1809.9686364740674</v>
      </c>
      <c r="D16" s="154"/>
      <c r="E16" s="15"/>
      <c r="F16" s="15"/>
      <c r="G16" s="15"/>
      <c r="H16" s="20"/>
    </row>
    <row r="17" spans="1:8">
      <c r="A17" s="157" t="s">
        <v>313</v>
      </c>
      <c r="B17" s="155">
        <f>'Weekly Valuation'!D170/1000000000</f>
        <v>504.64319293491315</v>
      </c>
      <c r="C17" s="156">
        <f>'Weekly Valuation'!K170/1000000000</f>
        <v>505.0606137544417</v>
      </c>
      <c r="D17" s="154"/>
      <c r="E17" s="15"/>
      <c r="F17" s="15"/>
      <c r="G17" s="15"/>
      <c r="H17" s="20"/>
    </row>
    <row r="18" spans="1:8">
      <c r="A18" s="157" t="s">
        <v>216</v>
      </c>
      <c r="B18" s="155">
        <f>'Weekly Valuation'!D203/1000000000</f>
        <v>125.20370858952214</v>
      </c>
      <c r="C18" s="180">
        <f>'Weekly Valuation'!K203/1000000000</f>
        <v>130.92364111656394</v>
      </c>
      <c r="D18" s="154"/>
      <c r="E18" s="15"/>
      <c r="F18" s="15"/>
      <c r="G18" s="15"/>
      <c r="H18" s="20"/>
    </row>
    <row r="19" spans="1:8">
      <c r="A19" s="157" t="s">
        <v>248</v>
      </c>
      <c r="B19" s="155">
        <f>'Weekly Valuation'!D209/1000000000</f>
        <v>15.435732579870001</v>
      </c>
      <c r="C19" s="156">
        <f>'Weekly Valuation'!K209/1000000000</f>
        <v>16.71368421259</v>
      </c>
      <c r="D19" s="154"/>
      <c r="E19" s="15"/>
      <c r="F19" s="15"/>
      <c r="G19" s="15"/>
      <c r="H19" s="20"/>
    </row>
    <row r="20" spans="1:8">
      <c r="A20" s="157" t="s">
        <v>314</v>
      </c>
      <c r="B20" s="155">
        <f>'Weekly Valuation'!D237/1000000000</f>
        <v>117.11127480880343</v>
      </c>
      <c r="C20" s="156">
        <f>'Weekly Valuation'!K237/1000000000</f>
        <v>120.56530523860492</v>
      </c>
      <c r="D20" s="154"/>
      <c r="E20" s="15"/>
      <c r="F20" s="15"/>
      <c r="G20" s="15"/>
      <c r="H20" s="20"/>
    </row>
    <row r="21" spans="1:8">
      <c r="A21" s="157" t="s">
        <v>281</v>
      </c>
      <c r="B21" s="155">
        <f>'Weekly Valuation'!D246/1000000000</f>
        <v>31.36911643853562</v>
      </c>
      <c r="C21" s="156">
        <f>'Weekly Valuation'!K246/1000000000</f>
        <v>31.487849239809496</v>
      </c>
      <c r="D21" s="154"/>
      <c r="E21" s="15"/>
      <c r="F21" s="15"/>
      <c r="G21" s="15"/>
      <c r="H21" s="20"/>
    </row>
    <row r="22" spans="1:8">
      <c r="A22" s="158"/>
      <c r="B22" s="154"/>
      <c r="C22" s="21"/>
      <c r="D22" s="154"/>
      <c r="E22" s="15"/>
      <c r="F22" s="15"/>
      <c r="G22" s="15"/>
      <c r="H22" s="20"/>
    </row>
    <row r="23" spans="1:8">
      <c r="A23" s="22"/>
      <c r="B23" s="21"/>
      <c r="C23" s="159"/>
      <c r="E23" s="15"/>
      <c r="F23" s="15"/>
      <c r="G23" s="15"/>
      <c r="H23" s="20"/>
    </row>
    <row r="24" spans="1:8">
      <c r="A24" s="22"/>
      <c r="B24" s="21"/>
      <c r="C24" s="21"/>
      <c r="E24" s="15"/>
      <c r="F24" s="15"/>
      <c r="G24" s="20"/>
      <c r="H24" s="20"/>
    </row>
    <row r="25" spans="1:8">
      <c r="A25" s="151"/>
      <c r="B25" s="152"/>
      <c r="C25" s="152"/>
      <c r="D25" s="15"/>
      <c r="E25" s="15"/>
      <c r="F25" s="15"/>
      <c r="G25" s="20"/>
      <c r="H25" s="20"/>
    </row>
    <row r="26" spans="1:8">
      <c r="A26" s="151"/>
      <c r="B26" s="152"/>
      <c r="C26" s="152"/>
      <c r="D26" s="15"/>
      <c r="E26" s="15"/>
      <c r="F26" s="15"/>
      <c r="G26" s="20"/>
      <c r="H26" s="20"/>
    </row>
    <row r="27" spans="1:8">
      <c r="A27" s="151"/>
      <c r="B27" s="152"/>
      <c r="C27" s="152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jcICx6V0Jkdt27OpSse8w6g7zP9vSPf5eVmXth7qGUYMJqWulJnNZ9mFWtkh9JWOWcw5RDwROQ+vonamb6fXMQ==" saltValue="iEzcb0h5u4lHpLStLdN6+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K15" sqref="K15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7" t="s">
        <v>311</v>
      </c>
      <c r="B1" s="168">
        <v>46129</v>
      </c>
      <c r="C1" s="154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8" t="s">
        <v>248</v>
      </c>
      <c r="B2" s="21">
        <f>'Weekly Valuation'!K209</f>
        <v>16713684212.59</v>
      </c>
      <c r="C2" s="154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8" t="s">
        <v>281</v>
      </c>
      <c r="B3" s="21">
        <f>'Weekly Valuation'!K246</f>
        <v>31487849239.809494</v>
      </c>
      <c r="C3" s="154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8" t="s">
        <v>314</v>
      </c>
      <c r="B4" s="21">
        <f>'Weekly Valuation'!K237</f>
        <v>120565305238.60492</v>
      </c>
      <c r="C4" s="154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58" t="s">
        <v>216</v>
      </c>
      <c r="B5" s="159">
        <f>'Weekly Valuation'!K203</f>
        <v>130923641116.56393</v>
      </c>
      <c r="C5" s="154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58" t="s">
        <v>17</v>
      </c>
      <c r="B6" s="21">
        <f>'Weekly Valuation'!K26</f>
        <v>198102253974.0199</v>
      </c>
      <c r="C6" s="154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58" t="s">
        <v>312</v>
      </c>
      <c r="B7" s="21">
        <f>'Weekly Valuation'!K117</f>
        <v>237154042743.45844</v>
      </c>
      <c r="C7" s="154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58" t="s">
        <v>313</v>
      </c>
      <c r="B8" s="21">
        <f>'Weekly Valuation'!K170</f>
        <v>505060613754.44171</v>
      </c>
      <c r="C8" s="154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58" t="s">
        <v>171</v>
      </c>
      <c r="B9" s="169">
        <f>'Weekly Valuation'!K161</f>
        <v>1809968636474.0674</v>
      </c>
      <c r="C9" s="154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8" t="s">
        <v>55</v>
      </c>
      <c r="B10" s="169">
        <f>'Weekly Valuation'!K76</f>
        <v>5663646349610.5918</v>
      </c>
      <c r="C10" s="154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4"/>
      <c r="B11" s="154"/>
      <c r="C11" s="154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58"/>
      <c r="B12" s="170"/>
      <c r="C12" s="154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8"/>
      <c r="B13" s="154"/>
      <c r="C13" s="154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4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52"/>
      <c r="B15" s="15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1"/>
      <c r="B16" s="16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2"/>
      <c r="B17" s="15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2"/>
      <c r="B18" s="15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3"/>
      <c r="B19" s="15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3"/>
      <c r="B20" s="15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3"/>
      <c r="B21" s="153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1"/>
      <c r="B22" s="15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23"/>
    </row>
    <row r="34" spans="1:17" ht="1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23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qt9x8FY9lrJiFa8VWuCYSNx1ky4NOszWt0PN6jPHo+0DN4VZs2oFHiV14GuhfcGQalH91YZpzPDbS6khpH5FsA==" saltValue="80hhi6jeYoDVeAGI/ZbFE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K15" sqref="K15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50"/>
    </row>
    <row r="2" spans="1:15">
      <c r="A2" s="162" t="s">
        <v>315</v>
      </c>
      <c r="B2" s="163">
        <v>46080</v>
      </c>
      <c r="C2" s="163">
        <v>46087</v>
      </c>
      <c r="D2" s="163">
        <v>46094</v>
      </c>
      <c r="E2" s="163">
        <v>46099</v>
      </c>
      <c r="F2" s="163">
        <v>46108</v>
      </c>
      <c r="G2" s="163">
        <v>46114</v>
      </c>
      <c r="H2" s="163">
        <v>46122</v>
      </c>
      <c r="I2" s="163">
        <v>46129</v>
      </c>
      <c r="J2" s="20"/>
      <c r="K2" s="20"/>
      <c r="L2" s="15"/>
      <c r="M2" s="15"/>
      <c r="N2" s="15"/>
      <c r="O2" s="150"/>
    </row>
    <row r="3" spans="1:15">
      <c r="A3" s="162" t="s">
        <v>316</v>
      </c>
      <c r="B3" s="164">
        <f t="shared" ref="B3:I3" si="0">B4</f>
        <v>8244.4012797571122</v>
      </c>
      <c r="C3" s="164">
        <f t="shared" si="0"/>
        <v>8344.3102028916874</v>
      </c>
      <c r="D3" s="164">
        <f t="shared" si="0"/>
        <v>8362.1373987365132</v>
      </c>
      <c r="E3" s="164">
        <f t="shared" si="0"/>
        <v>8418.7881429582667</v>
      </c>
      <c r="F3" s="164">
        <f t="shared" si="0"/>
        <v>8440.5567676688224</v>
      </c>
      <c r="G3" s="164">
        <f t="shared" si="0"/>
        <v>8593.7769156229697</v>
      </c>
      <c r="H3" s="164">
        <f t="shared" si="0"/>
        <v>8654.8382855665022</v>
      </c>
      <c r="I3" s="164">
        <f t="shared" si="0"/>
        <v>8713.6223763641447</v>
      </c>
      <c r="J3" s="20"/>
      <c r="K3" s="20"/>
      <c r="L3" s="15"/>
      <c r="M3" s="15"/>
      <c r="N3" s="15"/>
      <c r="O3" s="150"/>
    </row>
    <row r="4" spans="1:15">
      <c r="A4" s="20"/>
      <c r="B4" s="165">
        <f>'NAV Trend'!C11/1000000000</f>
        <v>8244.4012797571122</v>
      </c>
      <c r="C4" s="165">
        <f>'NAV Trend'!D11/1000000000</f>
        <v>8344.3102028916874</v>
      </c>
      <c r="D4" s="165">
        <f>'NAV Trend'!E11/1000000000</f>
        <v>8362.1373987365132</v>
      </c>
      <c r="E4" s="165">
        <f>'NAV Trend'!F11/1000000000</f>
        <v>8418.7881429582667</v>
      </c>
      <c r="F4" s="165">
        <f>'NAV Trend'!G11/1000000000</f>
        <v>8440.5567676688224</v>
      </c>
      <c r="G4" s="165">
        <f>'NAV Trend'!H11/1000000000</f>
        <v>8593.7769156229697</v>
      </c>
      <c r="H4" s="166">
        <f>'NAV Trend'!I11/1000000000</f>
        <v>8654.8382855665022</v>
      </c>
      <c r="I4" s="166">
        <f>'NAV Trend'!J11/1000000000</f>
        <v>8713.6223763641447</v>
      </c>
      <c r="J4" s="20"/>
      <c r="K4" s="20"/>
      <c r="L4" s="15"/>
      <c r="M4" s="15"/>
      <c r="N4" s="15"/>
      <c r="O4" s="150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50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50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0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0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0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0"/>
      <c r="O10" s="150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0"/>
      <c r="O11" s="150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0"/>
      <c r="O12" s="150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0"/>
      <c r="O13" s="150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0"/>
      <c r="O14" s="150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0"/>
      <c r="O15" s="150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0"/>
      <c r="N16" s="150"/>
      <c r="O16" s="15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0"/>
      <c r="N17" s="150"/>
      <c r="O17" s="150"/>
    </row>
    <row r="18" spans="1:15"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</row>
    <row r="19" spans="1:15"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</row>
    <row r="20" spans="1:15"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</row>
  </sheetData>
  <sheetProtection algorithmName="SHA-512" hashValue="xn8cwyl96OFKZGnz2jRBoXSlHiXveHiYYWHq9vQIQ4z13hsk3Iz0jB2TTJkcAuNOLy+UjKHAWj0nzNw0dcOz6Q==" saltValue="1StZT5Y4cRtScb4CVb3JT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K15" sqref="K15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20"/>
      <c r="O1" s="20"/>
      <c r="P1" s="141"/>
    </row>
    <row r="2" spans="1:16">
      <c r="A2" s="162" t="s">
        <v>315</v>
      </c>
      <c r="B2" s="163">
        <v>46080</v>
      </c>
      <c r="C2" s="163">
        <v>46087</v>
      </c>
      <c r="D2" s="163">
        <v>46094</v>
      </c>
      <c r="E2" s="163">
        <v>46099</v>
      </c>
      <c r="F2" s="163">
        <v>46108</v>
      </c>
      <c r="G2" s="163">
        <v>46114</v>
      </c>
      <c r="H2" s="163">
        <v>46122</v>
      </c>
      <c r="I2" s="163">
        <v>46129</v>
      </c>
      <c r="J2" s="20"/>
      <c r="K2" s="20"/>
      <c r="L2" s="15"/>
      <c r="M2" s="15"/>
      <c r="N2" s="20"/>
      <c r="O2" s="20"/>
      <c r="P2" s="141"/>
    </row>
    <row r="3" spans="1:16">
      <c r="A3" s="162" t="s">
        <v>317</v>
      </c>
      <c r="B3" s="164">
        <f t="shared" ref="B3:I3" si="0">B4</f>
        <v>23.429388175410001</v>
      </c>
      <c r="C3" s="164">
        <f t="shared" si="0"/>
        <v>23.933072983509998</v>
      </c>
      <c r="D3" s="164">
        <f t="shared" si="0"/>
        <v>24.024073678480001</v>
      </c>
      <c r="E3" s="164">
        <f t="shared" si="0"/>
        <v>24.06611184246</v>
      </c>
      <c r="F3" s="164">
        <f t="shared" si="0"/>
        <v>24.226803601379999</v>
      </c>
      <c r="G3" s="164">
        <f t="shared" si="0"/>
        <v>24.882508960419997</v>
      </c>
      <c r="H3" s="164">
        <f t="shared" si="0"/>
        <v>25.247393537559997</v>
      </c>
      <c r="I3" s="164">
        <f t="shared" si="0"/>
        <v>27.644948093229999</v>
      </c>
      <c r="J3" s="20"/>
      <c r="K3" s="20"/>
      <c r="L3" s="15"/>
      <c r="M3" s="15"/>
      <c r="N3" s="20"/>
      <c r="O3" s="20"/>
      <c r="P3" s="141"/>
    </row>
    <row r="4" spans="1:16">
      <c r="A4" s="20"/>
      <c r="B4" s="165">
        <f>'NAV Trend'!C17/1000000000</f>
        <v>23.429388175410001</v>
      </c>
      <c r="C4" s="165">
        <f>'NAV Trend'!D17/1000000000</f>
        <v>23.933072983509998</v>
      </c>
      <c r="D4" s="165">
        <f>'NAV Trend'!E17/1000000000</f>
        <v>24.024073678480001</v>
      </c>
      <c r="E4" s="165">
        <f>'NAV Trend'!F17/1000000000</f>
        <v>24.06611184246</v>
      </c>
      <c r="F4" s="165">
        <f>'NAV Trend'!G17/1000000000</f>
        <v>24.226803601379999</v>
      </c>
      <c r="G4" s="165">
        <f>'NAV Trend'!H17/1000000000</f>
        <v>24.882508960419997</v>
      </c>
      <c r="H4" s="165">
        <f>'NAV Trend'!I17/1000000000</f>
        <v>25.247393537559997</v>
      </c>
      <c r="I4" s="166">
        <f>'NAV Trend'!J17/1000000000</f>
        <v>27.644948093229999</v>
      </c>
      <c r="J4" s="20"/>
      <c r="K4" s="20"/>
      <c r="L4" s="15"/>
      <c r="M4" s="15"/>
      <c r="N4" s="20"/>
      <c r="O4" s="20"/>
      <c r="P4" s="141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20"/>
      <c r="O5" s="20"/>
      <c r="P5" s="141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39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39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39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39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39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9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9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9"/>
    </row>
    <row r="18" spans="1:15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</sheetData>
  <sheetProtection algorithmName="SHA-512" hashValue="dBomEKkuf+hNyWNMG5/ITsomuV3LR7+pW8Pt0EXXxDm0FrmVn+qhTIIlBCs6HNsx8HxFnFASTFD52v/G74hopw==" saltValue="4qajlot5zm/gjeB0n9pv3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2" sqref="K2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311</v>
      </c>
      <c r="B1" s="2">
        <v>46073</v>
      </c>
      <c r="C1" s="2">
        <v>46080</v>
      </c>
      <c r="D1" s="2">
        <v>46087</v>
      </c>
      <c r="E1" s="2">
        <v>46094</v>
      </c>
      <c r="F1" s="2">
        <v>46099</v>
      </c>
      <c r="G1" s="2">
        <v>46108</v>
      </c>
      <c r="H1" s="2">
        <v>46114</v>
      </c>
      <c r="I1" s="2">
        <v>46122</v>
      </c>
      <c r="J1" s="2">
        <v>46129</v>
      </c>
    </row>
    <row r="2" spans="1:11">
      <c r="A2" s="3" t="s">
        <v>17</v>
      </c>
      <c r="B2" s="4">
        <v>139857154415.89801</v>
      </c>
      <c r="C2" s="4">
        <v>148191654431.43802</v>
      </c>
      <c r="D2" s="4">
        <v>159211652092.74878</v>
      </c>
      <c r="E2" s="4">
        <v>163538120041.90128</v>
      </c>
      <c r="F2" s="4">
        <v>167362604727.21579</v>
      </c>
      <c r="G2" s="4">
        <v>170736602967.8475</v>
      </c>
      <c r="H2" s="4">
        <v>176153465596.20389</v>
      </c>
      <c r="I2" s="4">
        <v>183847376318.7514</v>
      </c>
      <c r="J2" s="4">
        <v>198102253974.0199</v>
      </c>
    </row>
    <row r="3" spans="1:11">
      <c r="A3" s="3" t="s">
        <v>55</v>
      </c>
      <c r="B3" s="4">
        <v>5272968475352.1689</v>
      </c>
      <c r="C3" s="4">
        <v>5290967255505.7646</v>
      </c>
      <c r="D3" s="4">
        <v>5336290181627.8701</v>
      </c>
      <c r="E3" s="4">
        <v>5391387940295.4883</v>
      </c>
      <c r="F3" s="4">
        <v>5463853896039.3164</v>
      </c>
      <c r="G3" s="4">
        <v>5448379818849.8945</v>
      </c>
      <c r="H3" s="4">
        <v>5577381495616.4316</v>
      </c>
      <c r="I3" s="4">
        <v>5619001466443.6777</v>
      </c>
      <c r="J3" s="4">
        <v>5663646349610.5918</v>
      </c>
    </row>
    <row r="4" spans="1:11">
      <c r="A4" s="3" t="s">
        <v>312</v>
      </c>
      <c r="B4" s="5">
        <v>244284723034.70218</v>
      </c>
      <c r="C4" s="5">
        <v>246072284820.23425</v>
      </c>
      <c r="D4" s="5">
        <v>242895635845.56708</v>
      </c>
      <c r="E4" s="5">
        <v>242725393719.77261</v>
      </c>
      <c r="F4" s="5">
        <v>241723605867.83209</v>
      </c>
      <c r="G4" s="5">
        <v>241168824723.06894</v>
      </c>
      <c r="H4" s="5">
        <v>240228161185.21439</v>
      </c>
      <c r="I4" s="5">
        <v>237025512543.87482</v>
      </c>
      <c r="J4" s="5">
        <v>237154042743.45844</v>
      </c>
    </row>
    <row r="5" spans="1:11">
      <c r="A5" s="3" t="s">
        <v>171</v>
      </c>
      <c r="B5" s="4">
        <v>1821080718904.251</v>
      </c>
      <c r="C5" s="4">
        <v>1833915688463.2009</v>
      </c>
      <c r="D5" s="4">
        <v>1871197469152.2844</v>
      </c>
      <c r="E5" s="4">
        <v>1825820397268.7412</v>
      </c>
      <c r="F5" s="4">
        <v>1804490357211.8433</v>
      </c>
      <c r="G5" s="4">
        <v>1836846387271.8889</v>
      </c>
      <c r="H5" s="4">
        <v>1846414762120.1338</v>
      </c>
      <c r="I5" s="4">
        <v>1821179366345.8789</v>
      </c>
      <c r="J5" s="4">
        <v>1809968636474.0674</v>
      </c>
    </row>
    <row r="6" spans="1:11">
      <c r="A6" s="3" t="s">
        <v>313</v>
      </c>
      <c r="B6" s="5">
        <v>505882627163.35651</v>
      </c>
      <c r="C6" s="5">
        <v>491072409821.2135</v>
      </c>
      <c r="D6" s="5">
        <v>492232053531.7984</v>
      </c>
      <c r="E6" s="5">
        <v>492695374746.03168</v>
      </c>
      <c r="F6" s="5">
        <v>493149888469.67896</v>
      </c>
      <c r="G6" s="5">
        <v>493584500319.52655</v>
      </c>
      <c r="H6" s="5">
        <v>502059408571.63251</v>
      </c>
      <c r="I6" s="5">
        <v>504643192934.91315</v>
      </c>
      <c r="J6" s="5">
        <v>505060613754.44171</v>
      </c>
    </row>
    <row r="7" spans="1:11">
      <c r="A7" s="3" t="s">
        <v>216</v>
      </c>
      <c r="B7" s="7">
        <v>112022899742.21411</v>
      </c>
      <c r="C7" s="7">
        <v>115751455134.97435</v>
      </c>
      <c r="D7" s="7">
        <v>119284434936.1797</v>
      </c>
      <c r="E7" s="7">
        <v>120029792761.26135</v>
      </c>
      <c r="F7" s="7">
        <v>121922044985.49959</v>
      </c>
      <c r="G7" s="7">
        <v>122320890754.34761</v>
      </c>
      <c r="H7" s="7">
        <v>121950048807.84406</v>
      </c>
      <c r="I7" s="7">
        <v>125203708589.52214</v>
      </c>
      <c r="J7" s="7">
        <v>130923641116.56393</v>
      </c>
    </row>
    <row r="8" spans="1:11">
      <c r="A8" s="3" t="s">
        <v>248</v>
      </c>
      <c r="B8" s="6">
        <v>13490483321.859869</v>
      </c>
      <c r="C8" s="6">
        <v>14050360664.833527</v>
      </c>
      <c r="D8" s="6">
        <v>14784118823.610147</v>
      </c>
      <c r="E8" s="6">
        <v>14898817340.940001</v>
      </c>
      <c r="F8" s="6">
        <v>14938804220.809999</v>
      </c>
      <c r="G8" s="6">
        <v>14939585769.67</v>
      </c>
      <c r="H8" s="6">
        <v>15037578574.93964</v>
      </c>
      <c r="I8" s="6">
        <v>15435732579.870001</v>
      </c>
      <c r="J8" s="6">
        <v>16713684212.59</v>
      </c>
    </row>
    <row r="9" spans="1:11">
      <c r="A9" s="3" t="s">
        <v>314</v>
      </c>
      <c r="B9" s="6">
        <v>100428812833.26227</v>
      </c>
      <c r="C9" s="6">
        <v>104380170915.45007</v>
      </c>
      <c r="D9" s="6">
        <v>108414656881.62793</v>
      </c>
      <c r="E9" s="6">
        <v>111041562562.37579</v>
      </c>
      <c r="F9" s="6">
        <v>111346941436.07184</v>
      </c>
      <c r="G9" s="6">
        <v>112580157012.57768</v>
      </c>
      <c r="H9" s="6">
        <v>114551995150.56964</v>
      </c>
      <c r="I9" s="6">
        <v>117111274808.80344</v>
      </c>
      <c r="J9" s="6">
        <v>120565305238.60492</v>
      </c>
    </row>
    <row r="10" spans="1:11">
      <c r="A10" s="3" t="s">
        <v>281</v>
      </c>
      <c r="B10" s="6">
        <v>19639536605.41069</v>
      </c>
      <c r="C10" s="6">
        <v>19763627528.168037</v>
      </c>
      <c r="D10" s="6">
        <v>31180088808.191078</v>
      </c>
      <c r="E10" s="6">
        <v>30929893185.840004</v>
      </c>
      <c r="F10" s="6">
        <v>30888527279.779999</v>
      </c>
      <c r="G10" s="6">
        <v>31122132963.085693</v>
      </c>
      <c r="H10" s="6">
        <v>31240648592.305443</v>
      </c>
      <c r="I10" s="6">
        <v>31390655001.210625</v>
      </c>
      <c r="J10" s="6">
        <v>31487849239.809494</v>
      </c>
    </row>
    <row r="11" spans="1:11" ht="15.6">
      <c r="A11" s="8" t="s">
        <v>318</v>
      </c>
      <c r="B11" s="9">
        <f t="shared" ref="B11:H11" si="0">SUM(B2:B9)</f>
        <v>8210015894767.7139</v>
      </c>
      <c r="C11" s="9">
        <f t="shared" si="0"/>
        <v>8244401279757.1113</v>
      </c>
      <c r="D11" s="9">
        <f t="shared" si="0"/>
        <v>8344310202891.6875</v>
      </c>
      <c r="E11" s="9">
        <f t="shared" si="0"/>
        <v>8362137398736.5127</v>
      </c>
      <c r="F11" s="9">
        <f t="shared" si="0"/>
        <v>8418788142958.2676</v>
      </c>
      <c r="G11" s="9">
        <f t="shared" si="0"/>
        <v>8440556767668.8223</v>
      </c>
      <c r="H11" s="9">
        <f t="shared" si="0"/>
        <v>8593776915622.9697</v>
      </c>
      <c r="I11" s="9">
        <f>SUM(I2:I10)</f>
        <v>8654838285566.5029</v>
      </c>
      <c r="J11" s="9">
        <f>SUM(J2:J10)</f>
        <v>8713622376364.1455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319</v>
      </c>
      <c r="B13" s="138" t="s">
        <v>320</v>
      </c>
      <c r="C13" s="13">
        <f>(B11+C11)/2</f>
        <v>8227208587262.4121</v>
      </c>
      <c r="D13" s="14">
        <f t="shared" ref="D13:J13" si="1">(C11+D11)/2</f>
        <v>8294355741324.3994</v>
      </c>
      <c r="E13" s="14">
        <f t="shared" si="1"/>
        <v>8353223800814.0996</v>
      </c>
      <c r="F13" s="14">
        <f t="shared" si="1"/>
        <v>8390462770847.3906</v>
      </c>
      <c r="G13" s="14">
        <f t="shared" si="1"/>
        <v>8429672455313.5449</v>
      </c>
      <c r="H13" s="14">
        <f t="shared" si="1"/>
        <v>8517166841645.8965</v>
      </c>
      <c r="I13" s="14">
        <f t="shared" si="1"/>
        <v>8624307600594.7363</v>
      </c>
      <c r="J13" s="14">
        <f t="shared" si="1"/>
        <v>8684230330965.3242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46073</v>
      </c>
      <c r="C16" s="2">
        <v>46080</v>
      </c>
      <c r="D16" s="2">
        <v>46087</v>
      </c>
      <c r="E16" s="2">
        <v>46094</v>
      </c>
      <c r="F16" s="2">
        <v>46099</v>
      </c>
      <c r="G16" s="2">
        <v>46108</v>
      </c>
      <c r="H16" s="2">
        <v>46114</v>
      </c>
      <c r="I16" s="2">
        <v>46122</v>
      </c>
      <c r="J16" s="2">
        <v>46129</v>
      </c>
      <c r="K16" s="15"/>
    </row>
    <row r="17" spans="1:11">
      <c r="A17" s="16" t="s">
        <v>321</v>
      </c>
      <c r="B17" s="17">
        <v>23060251227.759998</v>
      </c>
      <c r="C17" s="17">
        <v>23429388175.41</v>
      </c>
      <c r="D17" s="17">
        <v>23933072983.509998</v>
      </c>
      <c r="E17" s="17">
        <v>24024073678.48</v>
      </c>
      <c r="F17" s="17">
        <v>24066111842.459999</v>
      </c>
      <c r="G17" s="17">
        <v>24226803601.379997</v>
      </c>
      <c r="H17" s="17">
        <v>24882508960.419998</v>
      </c>
      <c r="I17" s="17">
        <v>25247393537.559998</v>
      </c>
      <c r="J17" s="17">
        <v>27644948093.23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LK+23NRyu7I6YeiGU+2e4Nc1or347kYDJB3TDwWoqgXr0Z7GF7SgXw2LZ688j8lZ0z2oYm5d0edP3cCfc261vA==" saltValue="Q2ovhbUjMH+BEAnV9F30A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2026-04-23T10:19:08Z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