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10248" yWindow="0" windowWidth="10248" windowHeight="1092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Valuation'!$W$141</definedName>
    <definedName name="NFEM_RATE" localSheetId="0">'Weekly Valuation'!$W$141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7" i="1" l="1"/>
  <c r="U107" i="1"/>
  <c r="T107" i="1"/>
  <c r="S107" i="1"/>
  <c r="R107" i="1"/>
  <c r="E107" i="1"/>
  <c r="K133" i="1" l="1"/>
  <c r="N126" i="1" l="1"/>
  <c r="M126" i="1"/>
  <c r="K126" i="1"/>
  <c r="M127" i="1"/>
  <c r="K127" i="1"/>
  <c r="N161" i="1"/>
  <c r="M161" i="1"/>
  <c r="K161" i="1"/>
  <c r="N138" i="1" l="1"/>
  <c r="M138" i="1"/>
  <c r="K138" i="1"/>
  <c r="N152" i="1"/>
  <c r="M152" i="1"/>
  <c r="K152" i="1"/>
  <c r="K151" i="1"/>
  <c r="N153" i="1"/>
  <c r="M153" i="1"/>
  <c r="N143" i="1"/>
  <c r="M143" i="1"/>
  <c r="K143" i="1"/>
  <c r="N145" i="1"/>
  <c r="M145" i="1"/>
  <c r="K145" i="1"/>
  <c r="N155" i="1"/>
  <c r="M155" i="1"/>
  <c r="K155" i="1"/>
  <c r="N144" i="1"/>
  <c r="M144" i="1"/>
  <c r="K144" i="1"/>
  <c r="N157" i="1"/>
  <c r="M157" i="1"/>
  <c r="K157" i="1"/>
  <c r="N129" i="1"/>
  <c r="M129" i="1"/>
  <c r="K129" i="1"/>
  <c r="N147" i="1" l="1"/>
  <c r="M147" i="1"/>
  <c r="K147" i="1"/>
  <c r="N137" i="1"/>
  <c r="M137" i="1"/>
  <c r="K137" i="1"/>
  <c r="N150" i="1"/>
  <c r="M150" i="1"/>
  <c r="N128" i="1"/>
  <c r="M128" i="1"/>
  <c r="K128" i="1"/>
  <c r="N134" i="1"/>
  <c r="M134" i="1"/>
  <c r="K134" i="1"/>
  <c r="N123" i="1"/>
  <c r="M123" i="1"/>
  <c r="K123" i="1"/>
  <c r="N136" i="1" l="1"/>
  <c r="M136" i="1"/>
  <c r="K136" i="1"/>
  <c r="V136" i="1"/>
  <c r="U136" i="1"/>
  <c r="T136" i="1"/>
  <c r="S136" i="1"/>
  <c r="R136" i="1"/>
  <c r="V193" i="1"/>
  <c r="U193" i="1"/>
  <c r="T193" i="1"/>
  <c r="S193" i="1"/>
  <c r="R193" i="1"/>
  <c r="N154" i="1" l="1"/>
  <c r="M154" i="1"/>
  <c r="K154" i="1"/>
  <c r="N122" i="1"/>
  <c r="M122" i="1"/>
  <c r="K122" i="1"/>
  <c r="N160" i="1"/>
  <c r="M160" i="1"/>
  <c r="K160" i="1"/>
  <c r="N242" i="1"/>
  <c r="M242" i="1"/>
  <c r="K242" i="1"/>
  <c r="N125" i="1"/>
  <c r="M125" i="1"/>
  <c r="K125" i="1"/>
  <c r="N124" i="1"/>
  <c r="M124" i="1"/>
  <c r="K124" i="1"/>
  <c r="K142" i="1"/>
  <c r="K149" i="1"/>
  <c r="N135" i="1"/>
  <c r="M135" i="1"/>
  <c r="K135" i="1"/>
  <c r="N158" i="1"/>
  <c r="M158" i="1"/>
  <c r="K158" i="1"/>
  <c r="N139" i="1"/>
  <c r="M139" i="1"/>
  <c r="K139" i="1"/>
  <c r="K244" i="1"/>
  <c r="N244" i="1"/>
  <c r="M244" i="1"/>
  <c r="N132" i="1"/>
  <c r="M132" i="1"/>
  <c r="K132" i="1"/>
  <c r="K131" i="1"/>
  <c r="N131" i="1"/>
  <c r="M131" i="1"/>
  <c r="N159" i="1"/>
  <c r="M159" i="1"/>
  <c r="K159" i="1"/>
  <c r="M142" i="1" l="1"/>
  <c r="N142" i="1"/>
  <c r="V59" i="1" l="1"/>
  <c r="U59" i="1"/>
  <c r="T59" i="1"/>
  <c r="S59" i="1"/>
  <c r="R59" i="1"/>
  <c r="N151" i="1"/>
  <c r="M151" i="1"/>
  <c r="K204" i="1" l="1"/>
  <c r="L177" i="1" s="1"/>
  <c r="L193" i="1" l="1"/>
  <c r="L191" i="1"/>
  <c r="B5" i="3"/>
  <c r="N149" i="1"/>
  <c r="M149" i="1"/>
  <c r="R261" i="1" l="1"/>
  <c r="R181" i="1"/>
  <c r="R88" i="1"/>
  <c r="K26" i="1" l="1"/>
  <c r="B6" i="3" s="1"/>
  <c r="L10" i="1" l="1"/>
  <c r="L23" i="1"/>
  <c r="R227" i="1"/>
  <c r="V31" i="1" l="1"/>
  <c r="U31" i="1"/>
  <c r="T31" i="1"/>
  <c r="S31" i="1"/>
  <c r="R31" i="1"/>
  <c r="V143" i="1" l="1"/>
  <c r="U143" i="1"/>
  <c r="T143" i="1"/>
  <c r="S143" i="1"/>
  <c r="R143" i="1"/>
  <c r="R33" i="1" l="1"/>
  <c r="S33" i="1"/>
  <c r="T33" i="1"/>
  <c r="U33" i="1"/>
  <c r="V33" i="1"/>
  <c r="K162" i="1" l="1"/>
  <c r="L136" i="1" s="1"/>
  <c r="L132" i="1" l="1"/>
  <c r="L143" i="1"/>
  <c r="L133" i="1"/>
  <c r="N127" i="1"/>
  <c r="V67" i="1" l="1"/>
  <c r="U67" i="1"/>
  <c r="T67" i="1"/>
  <c r="S67" i="1"/>
  <c r="R67" i="1"/>
  <c r="H210" i="1" l="1"/>
  <c r="O210" i="1"/>
  <c r="K210" i="1"/>
  <c r="D210" i="1"/>
  <c r="V207" i="1" l="1"/>
  <c r="U207" i="1"/>
  <c r="T207" i="1"/>
  <c r="S207" i="1"/>
  <c r="R207" i="1"/>
  <c r="L207" i="1"/>
  <c r="S199" i="1" l="1"/>
  <c r="S85" i="1" l="1"/>
  <c r="I11" i="4" l="1"/>
  <c r="L234" i="1" l="1"/>
  <c r="R234" i="1"/>
  <c r="R158" i="1" l="1"/>
  <c r="J11" i="4" l="1"/>
  <c r="L174" i="1"/>
  <c r="L184" i="1" l="1"/>
  <c r="L192" i="1"/>
  <c r="S221" i="1"/>
  <c r="S169" i="1"/>
  <c r="R37" i="1" l="1"/>
  <c r="V24" i="1"/>
  <c r="U24" i="1"/>
  <c r="T24" i="1"/>
  <c r="S24" i="1"/>
  <c r="R24" i="1"/>
  <c r="L208" i="1" l="1"/>
  <c r="L235" i="1" l="1"/>
  <c r="N133" i="1"/>
  <c r="V197" i="1" l="1"/>
  <c r="U197" i="1"/>
  <c r="T197" i="1"/>
  <c r="S197" i="1"/>
  <c r="R197" i="1"/>
  <c r="R149" i="1" l="1"/>
  <c r="S137" i="1"/>
  <c r="S132" i="1"/>
  <c r="S131" i="1"/>
  <c r="S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7" i="1"/>
  <c r="U267" i="1"/>
  <c r="S267" i="1"/>
  <c r="O267" i="1"/>
  <c r="K267" i="1"/>
  <c r="H267" i="1"/>
  <c r="D267" i="1"/>
  <c r="E265" i="1" s="1"/>
  <c r="V266" i="1"/>
  <c r="U266" i="1"/>
  <c r="T266" i="1"/>
  <c r="S266" i="1"/>
  <c r="R266" i="1"/>
  <c r="V265" i="1"/>
  <c r="U265" i="1"/>
  <c r="T265" i="1"/>
  <c r="S265" i="1"/>
  <c r="R265" i="1"/>
  <c r="V264" i="1"/>
  <c r="U264" i="1"/>
  <c r="T264" i="1"/>
  <c r="S264" i="1"/>
  <c r="R264" i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O252" i="1"/>
  <c r="K252" i="1"/>
  <c r="L251" i="1" s="1"/>
  <c r="H252" i="1"/>
  <c r="D252" i="1"/>
  <c r="E251" i="1" s="1"/>
  <c r="V251" i="1"/>
  <c r="U251" i="1"/>
  <c r="T251" i="1"/>
  <c r="S251" i="1"/>
  <c r="R251" i="1"/>
  <c r="V250" i="1"/>
  <c r="U250" i="1"/>
  <c r="T250" i="1"/>
  <c r="S250" i="1"/>
  <c r="R250" i="1"/>
  <c r="O247" i="1"/>
  <c r="H247" i="1"/>
  <c r="D247" i="1"/>
  <c r="B21" i="2" s="1"/>
  <c r="B11" i="2" s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R244" i="1"/>
  <c r="V243" i="1"/>
  <c r="U243" i="1"/>
  <c r="T243" i="1"/>
  <c r="S243" i="1"/>
  <c r="R243" i="1"/>
  <c r="V242" i="1"/>
  <c r="U242" i="1"/>
  <c r="T242" i="1"/>
  <c r="S242" i="1"/>
  <c r="K247" i="1"/>
  <c r="V238" i="1"/>
  <c r="U238" i="1"/>
  <c r="S238" i="1"/>
  <c r="O238" i="1"/>
  <c r="K238" i="1"/>
  <c r="L222" i="1" s="1"/>
  <c r="H238" i="1"/>
  <c r="D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5" i="1"/>
  <c r="U215" i="1"/>
  <c r="T215" i="1"/>
  <c r="S215" i="1"/>
  <c r="R215" i="1"/>
  <c r="V214" i="1"/>
  <c r="U214" i="1"/>
  <c r="T214" i="1"/>
  <c r="S214" i="1"/>
  <c r="R214" i="1"/>
  <c r="V210" i="1"/>
  <c r="U210" i="1"/>
  <c r="S210" i="1"/>
  <c r="B2" i="3"/>
  <c r="B19" i="2"/>
  <c r="B9" i="2" s="1"/>
  <c r="V209" i="1"/>
  <c r="U209" i="1"/>
  <c r="T209" i="1"/>
  <c r="S209" i="1"/>
  <c r="R209" i="1"/>
  <c r="V208" i="1"/>
  <c r="U208" i="1"/>
  <c r="T208" i="1"/>
  <c r="S208" i="1"/>
  <c r="R208" i="1"/>
  <c r="V204" i="1"/>
  <c r="U204" i="1"/>
  <c r="S204" i="1"/>
  <c r="O204" i="1"/>
  <c r="H204" i="1"/>
  <c r="D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R199" i="1"/>
  <c r="V198" i="1"/>
  <c r="U198" i="1"/>
  <c r="T198" i="1"/>
  <c r="S198" i="1"/>
  <c r="R198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1" i="1"/>
  <c r="U171" i="1"/>
  <c r="S171" i="1"/>
  <c r="O171" i="1"/>
  <c r="K171" i="1"/>
  <c r="H171" i="1"/>
  <c r="D171" i="1"/>
  <c r="B17" i="2" s="1"/>
  <c r="B7" i="2" s="1"/>
  <c r="V170" i="1"/>
  <c r="U170" i="1"/>
  <c r="T170" i="1"/>
  <c r="S170" i="1"/>
  <c r="R170" i="1"/>
  <c r="V169" i="1"/>
  <c r="U169" i="1"/>
  <c r="T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2" i="1"/>
  <c r="U162" i="1"/>
  <c r="S162" i="1"/>
  <c r="O162" i="1"/>
  <c r="H162" i="1"/>
  <c r="D162" i="1"/>
  <c r="E136" i="1" s="1"/>
  <c r="V161" i="1"/>
  <c r="U161" i="1"/>
  <c r="T161" i="1"/>
  <c r="R161" i="1"/>
  <c r="S161" i="1"/>
  <c r="V160" i="1"/>
  <c r="U160" i="1"/>
  <c r="T160" i="1"/>
  <c r="R160" i="1"/>
  <c r="S160" i="1"/>
  <c r="V159" i="1"/>
  <c r="U159" i="1"/>
  <c r="T159" i="1"/>
  <c r="S159" i="1"/>
  <c r="V158" i="1"/>
  <c r="U158" i="1"/>
  <c r="T158" i="1"/>
  <c r="S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R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R150" i="1"/>
  <c r="S150" i="1"/>
  <c r="V149" i="1"/>
  <c r="U149" i="1"/>
  <c r="T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V144" i="1"/>
  <c r="U144" i="1"/>
  <c r="T144" i="1"/>
  <c r="S144" i="1"/>
  <c r="R144" i="1"/>
  <c r="V142" i="1"/>
  <c r="U142" i="1"/>
  <c r="T142" i="1"/>
  <c r="S142" i="1"/>
  <c r="R142" i="1"/>
  <c r="V139" i="1"/>
  <c r="U139" i="1"/>
  <c r="T139" i="1"/>
  <c r="S139" i="1"/>
  <c r="R139" i="1"/>
  <c r="V138" i="1"/>
  <c r="U138" i="1"/>
  <c r="T138" i="1"/>
  <c r="S138" i="1"/>
  <c r="R138" i="1"/>
  <c r="V137" i="1"/>
  <c r="U137" i="1"/>
  <c r="T137" i="1"/>
  <c r="R137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S133" i="1"/>
  <c r="M133" i="1"/>
  <c r="V132" i="1"/>
  <c r="U132" i="1"/>
  <c r="T132" i="1"/>
  <c r="V131" i="1"/>
  <c r="U131" i="1"/>
  <c r="T131" i="1"/>
  <c r="V130" i="1"/>
  <c r="U130" i="1"/>
  <c r="T130" i="1"/>
  <c r="S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V122" i="1"/>
  <c r="U122" i="1"/>
  <c r="T122" i="1"/>
  <c r="S122" i="1"/>
  <c r="V118" i="1"/>
  <c r="U118" i="1"/>
  <c r="S118" i="1"/>
  <c r="O118" i="1"/>
  <c r="K118" i="1"/>
  <c r="L107" i="1" s="1"/>
  <c r="H118" i="1"/>
  <c r="D118" i="1"/>
  <c r="B15" i="2" s="1"/>
  <c r="B5" i="2" s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6" i="1"/>
  <c r="U76" i="1"/>
  <c r="S76" i="1"/>
  <c r="O76" i="1"/>
  <c r="K76" i="1"/>
  <c r="L39" i="1" s="1"/>
  <c r="H76" i="1"/>
  <c r="D76" i="1"/>
  <c r="B14" i="2" s="1"/>
  <c r="B4" i="2" s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174" i="1" l="1"/>
  <c r="E193" i="1"/>
  <c r="L103" i="1"/>
  <c r="L116" i="1"/>
  <c r="B4" i="3"/>
  <c r="L229" i="1"/>
  <c r="L266" i="1"/>
  <c r="L261" i="1"/>
  <c r="L167" i="1"/>
  <c r="B8" i="3"/>
  <c r="L86" i="1"/>
  <c r="B7" i="3"/>
  <c r="E59" i="1"/>
  <c r="L59" i="1"/>
  <c r="L48" i="1"/>
  <c r="L74" i="1"/>
  <c r="L88" i="1"/>
  <c r="L99" i="1"/>
  <c r="L72" i="1"/>
  <c r="L224" i="1"/>
  <c r="L41" i="1"/>
  <c r="L68" i="1"/>
  <c r="L73" i="1"/>
  <c r="L49" i="1"/>
  <c r="E31" i="1"/>
  <c r="L31" i="1"/>
  <c r="B16" i="2"/>
  <c r="B6" i="2" s="1"/>
  <c r="E143" i="1"/>
  <c r="L33" i="1"/>
  <c r="L98" i="1"/>
  <c r="L66" i="1"/>
  <c r="L67" i="1"/>
  <c r="L22" i="1"/>
  <c r="L35" i="1"/>
  <c r="E67" i="1"/>
  <c r="L75" i="1"/>
  <c r="L117" i="1"/>
  <c r="L236" i="1"/>
  <c r="B3" i="3"/>
  <c r="C21" i="2"/>
  <c r="C11" i="2" s="1"/>
  <c r="L60" i="1"/>
  <c r="F13" i="4"/>
  <c r="E37" i="1"/>
  <c r="E24" i="1"/>
  <c r="E9" i="1"/>
  <c r="L82" i="1"/>
  <c r="L12" i="1"/>
  <c r="L24" i="1"/>
  <c r="E7" i="1"/>
  <c r="E11" i="1"/>
  <c r="E15" i="1"/>
  <c r="L30" i="1"/>
  <c r="E103" i="1"/>
  <c r="L221" i="1"/>
  <c r="E116" i="1"/>
  <c r="E21" i="1"/>
  <c r="E19" i="1"/>
  <c r="T204" i="1"/>
  <c r="E17" i="1"/>
  <c r="E102" i="1"/>
  <c r="E182" i="1"/>
  <c r="E180" i="1"/>
  <c r="E178" i="1"/>
  <c r="E176" i="1"/>
  <c r="L169" i="1"/>
  <c r="L197" i="1"/>
  <c r="L186" i="1"/>
  <c r="L47" i="1"/>
  <c r="E250" i="1"/>
  <c r="E98" i="1"/>
  <c r="E100" i="1"/>
  <c r="E96" i="1"/>
  <c r="E80" i="1"/>
  <c r="E94" i="1"/>
  <c r="E92" i="1"/>
  <c r="E104" i="1"/>
  <c r="B18" i="2"/>
  <c r="B8" i="2" s="1"/>
  <c r="E197" i="1"/>
  <c r="E167" i="1"/>
  <c r="E165" i="1"/>
  <c r="E61" i="1"/>
  <c r="E63" i="1"/>
  <c r="E70" i="1"/>
  <c r="E168" i="1"/>
  <c r="E170" i="1"/>
  <c r="E90" i="1"/>
  <c r="E114" i="1"/>
  <c r="E88" i="1"/>
  <c r="E112" i="1"/>
  <c r="E68" i="1"/>
  <c r="E86" i="1"/>
  <c r="E110" i="1"/>
  <c r="L62" i="1"/>
  <c r="L64" i="1"/>
  <c r="L69" i="1"/>
  <c r="L71" i="1"/>
  <c r="E84" i="1"/>
  <c r="E108" i="1"/>
  <c r="E65" i="1"/>
  <c r="E82" i="1"/>
  <c r="E106" i="1"/>
  <c r="E72" i="1"/>
  <c r="E74" i="1"/>
  <c r="L81" i="1"/>
  <c r="L34" i="1"/>
  <c r="B20" i="2"/>
  <c r="B10" i="2" s="1"/>
  <c r="E244" i="1"/>
  <c r="T210" i="1"/>
  <c r="E234" i="1"/>
  <c r="E209" i="1"/>
  <c r="E184" i="1"/>
  <c r="E169" i="1"/>
  <c r="E23" i="1"/>
  <c r="D13" i="4"/>
  <c r="T238" i="1"/>
  <c r="L89" i="1"/>
  <c r="E54" i="1"/>
  <c r="L55" i="1"/>
  <c r="E56" i="1"/>
  <c r="L57" i="1"/>
  <c r="E58" i="1"/>
  <c r="L37" i="1"/>
  <c r="E160" i="1"/>
  <c r="L129" i="1"/>
  <c r="T267" i="1"/>
  <c r="R267" i="1"/>
  <c r="E256" i="1"/>
  <c r="E258" i="1"/>
  <c r="E260" i="1"/>
  <c r="E262" i="1"/>
  <c r="E266" i="1"/>
  <c r="E264" i="1"/>
  <c r="E255" i="1"/>
  <c r="E257" i="1"/>
  <c r="E259" i="1"/>
  <c r="E261" i="1"/>
  <c r="E263" i="1"/>
  <c r="R252" i="1"/>
  <c r="E220" i="1"/>
  <c r="E218" i="1"/>
  <c r="E214" i="1"/>
  <c r="E236" i="1"/>
  <c r="E230" i="1"/>
  <c r="E228" i="1"/>
  <c r="E226" i="1"/>
  <c r="E224" i="1"/>
  <c r="E208" i="1"/>
  <c r="E202" i="1"/>
  <c r="E200" i="1"/>
  <c r="E198" i="1"/>
  <c r="E195" i="1"/>
  <c r="E192" i="1"/>
  <c r="E175" i="1"/>
  <c r="E177" i="1"/>
  <c r="E190" i="1"/>
  <c r="E188" i="1"/>
  <c r="E186" i="1"/>
  <c r="T171" i="1"/>
  <c r="T162" i="1"/>
  <c r="E134" i="1"/>
  <c r="E151" i="1"/>
  <c r="E153" i="1"/>
  <c r="E122" i="1"/>
  <c r="E124" i="1"/>
  <c r="E132" i="1"/>
  <c r="E130" i="1"/>
  <c r="E139" i="1"/>
  <c r="E157" i="1"/>
  <c r="E126" i="1"/>
  <c r="E144" i="1"/>
  <c r="E146" i="1"/>
  <c r="E148" i="1"/>
  <c r="E159" i="1"/>
  <c r="E150" i="1"/>
  <c r="E133" i="1"/>
  <c r="E152" i="1"/>
  <c r="E161" i="1"/>
  <c r="E123" i="1"/>
  <c r="E135" i="1"/>
  <c r="E154" i="1"/>
  <c r="E125" i="1"/>
  <c r="E129" i="1"/>
  <c r="E131" i="1"/>
  <c r="E138" i="1"/>
  <c r="E156" i="1"/>
  <c r="E158" i="1"/>
  <c r="E137" i="1"/>
  <c r="E155" i="1"/>
  <c r="E127" i="1"/>
  <c r="E142" i="1"/>
  <c r="E145" i="1"/>
  <c r="E149" i="1"/>
  <c r="H239" i="1"/>
  <c r="H268" i="1" s="1"/>
  <c r="T118" i="1"/>
  <c r="R118" i="1"/>
  <c r="E85" i="1"/>
  <c r="E87" i="1"/>
  <c r="E89" i="1"/>
  <c r="E105" i="1"/>
  <c r="E109" i="1"/>
  <c r="E111" i="1"/>
  <c r="E113" i="1"/>
  <c r="E115" i="1"/>
  <c r="E117" i="1"/>
  <c r="E79" i="1"/>
  <c r="E81" i="1"/>
  <c r="E91" i="1"/>
  <c r="E93" i="1"/>
  <c r="E95" i="1"/>
  <c r="E97" i="1"/>
  <c r="E99" i="1"/>
  <c r="E101" i="1"/>
  <c r="T76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4" i="1"/>
  <c r="L215" i="1"/>
  <c r="L220" i="1"/>
  <c r="L223" i="1"/>
  <c r="L226" i="1"/>
  <c r="L227" i="1"/>
  <c r="L230" i="1"/>
  <c r="L231" i="1"/>
  <c r="L237" i="1"/>
  <c r="L97" i="1"/>
  <c r="L109" i="1"/>
  <c r="L79" i="1"/>
  <c r="L85" i="1"/>
  <c r="L93" i="1"/>
  <c r="L101" i="1"/>
  <c r="L105" i="1"/>
  <c r="L113" i="1"/>
  <c r="L83" i="1"/>
  <c r="L87" i="1"/>
  <c r="L91" i="1"/>
  <c r="L95" i="1"/>
  <c r="L111" i="1"/>
  <c r="L115" i="1"/>
  <c r="L180" i="1"/>
  <c r="L181" i="1"/>
  <c r="L185" i="1"/>
  <c r="L188" i="1"/>
  <c r="L189" i="1"/>
  <c r="L194" i="1"/>
  <c r="L198" i="1"/>
  <c r="L199" i="1"/>
  <c r="L202" i="1"/>
  <c r="L203" i="1"/>
  <c r="L175" i="1"/>
  <c r="L258" i="1"/>
  <c r="L262" i="1"/>
  <c r="L256" i="1"/>
  <c r="L260" i="1"/>
  <c r="L264" i="1"/>
  <c r="L255" i="1"/>
  <c r="L257" i="1"/>
  <c r="L259" i="1"/>
  <c r="L263" i="1"/>
  <c r="L265" i="1"/>
  <c r="L53" i="1"/>
  <c r="L176" i="1"/>
  <c r="L178" i="1"/>
  <c r="L179" i="1"/>
  <c r="L182" i="1"/>
  <c r="L183" i="1"/>
  <c r="L187" i="1"/>
  <c r="L190" i="1"/>
  <c r="L195" i="1"/>
  <c r="L196" i="1"/>
  <c r="L200" i="1"/>
  <c r="L201" i="1"/>
  <c r="E29" i="1"/>
  <c r="E32" i="1"/>
  <c r="E35" i="1"/>
  <c r="L36" i="1"/>
  <c r="L6" i="1"/>
  <c r="L14" i="1"/>
  <c r="L8" i="1"/>
  <c r="L16" i="1"/>
  <c r="L7" i="1"/>
  <c r="L9" i="1"/>
  <c r="L11" i="1"/>
  <c r="L13" i="1"/>
  <c r="L15" i="1"/>
  <c r="L19" i="1"/>
  <c r="L17" i="1"/>
  <c r="L21" i="1"/>
  <c r="L80" i="1"/>
  <c r="E83" i="1"/>
  <c r="L84" i="1"/>
  <c r="L90" i="1"/>
  <c r="L92" i="1"/>
  <c r="L94" i="1"/>
  <c r="L96" i="1"/>
  <c r="L100" i="1"/>
  <c r="L102" i="1"/>
  <c r="L104" i="1"/>
  <c r="L106" i="1"/>
  <c r="L108" i="1"/>
  <c r="L110" i="1"/>
  <c r="L112" i="1"/>
  <c r="L114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9" i="1"/>
  <c r="O268" i="1" s="1"/>
  <c r="L218" i="1"/>
  <c r="L219" i="1"/>
  <c r="L225" i="1"/>
  <c r="L228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60" i="1"/>
  <c r="L61" i="1"/>
  <c r="E62" i="1"/>
  <c r="L63" i="1"/>
  <c r="E64" i="1"/>
  <c r="L65" i="1"/>
  <c r="E66" i="1"/>
  <c r="E69" i="1"/>
  <c r="L70" i="1"/>
  <c r="E71" i="1"/>
  <c r="E73" i="1"/>
  <c r="E75" i="1"/>
  <c r="C13" i="2"/>
  <c r="C3" i="2" s="1"/>
  <c r="R76" i="1"/>
  <c r="R122" i="1"/>
  <c r="R123" i="1"/>
  <c r="R124" i="1"/>
  <c r="R131" i="1"/>
  <c r="R132" i="1"/>
  <c r="R133" i="1"/>
  <c r="R159" i="1"/>
  <c r="C17" i="2"/>
  <c r="C7" i="2" s="1"/>
  <c r="R171" i="1"/>
  <c r="L170" i="1"/>
  <c r="L168" i="1"/>
  <c r="L166" i="1"/>
  <c r="L165" i="1"/>
  <c r="L245" i="1"/>
  <c r="L242" i="1"/>
  <c r="R247" i="1"/>
  <c r="L246" i="1"/>
  <c r="L243" i="1"/>
  <c r="L25" i="1"/>
  <c r="B13" i="2"/>
  <c r="B3" i="2" s="1"/>
  <c r="D239" i="1"/>
  <c r="E238" i="1" s="1"/>
  <c r="R26" i="1"/>
  <c r="T26" i="1"/>
  <c r="B10" i="3"/>
  <c r="C14" i="2"/>
  <c r="C4" i="2" s="1"/>
  <c r="C15" i="2"/>
  <c r="C5" i="2" s="1"/>
  <c r="L146" i="1"/>
  <c r="E147" i="1"/>
  <c r="L147" i="1"/>
  <c r="E179" i="1"/>
  <c r="E181" i="1"/>
  <c r="E183" i="1"/>
  <c r="E185" i="1"/>
  <c r="E187" i="1"/>
  <c r="E189" i="1"/>
  <c r="E191" i="1"/>
  <c r="E194" i="1"/>
  <c r="E196" i="1"/>
  <c r="E199" i="1"/>
  <c r="E201" i="1"/>
  <c r="E203" i="1"/>
  <c r="L209" i="1"/>
  <c r="R210" i="1"/>
  <c r="E215" i="1"/>
  <c r="E219" i="1"/>
  <c r="E222" i="1"/>
  <c r="E225" i="1"/>
  <c r="E227" i="1"/>
  <c r="E229" i="1"/>
  <c r="E231" i="1"/>
  <c r="E235" i="1"/>
  <c r="E237" i="1"/>
  <c r="R242" i="1"/>
  <c r="L244" i="1"/>
  <c r="E245" i="1"/>
  <c r="L250" i="1"/>
  <c r="C18" i="2"/>
  <c r="C8" i="2" s="1"/>
  <c r="C19" i="2"/>
  <c r="C9" i="2" s="1"/>
  <c r="C20" i="2"/>
  <c r="C10" i="2" s="1"/>
  <c r="C13" i="4"/>
  <c r="E13" i="4"/>
  <c r="G13" i="4"/>
  <c r="I13" i="4"/>
  <c r="R204" i="1"/>
  <c r="R238" i="1"/>
  <c r="E242" i="1"/>
  <c r="E243" i="1"/>
  <c r="E246" i="1"/>
  <c r="B9" i="3" l="1"/>
  <c r="L161" i="1"/>
  <c r="L149" i="1"/>
  <c r="L135" i="1"/>
  <c r="L124" i="1"/>
  <c r="L151" i="1"/>
  <c r="L126" i="1"/>
  <c r="L142" i="1"/>
  <c r="L158" i="1"/>
  <c r="L155" i="1"/>
  <c r="K239" i="1"/>
  <c r="L162" i="1" s="1"/>
  <c r="L123" i="1"/>
  <c r="L153" i="1"/>
  <c r="L130" i="1"/>
  <c r="L138" i="1"/>
  <c r="L145" i="1"/>
  <c r="L156" i="1"/>
  <c r="C16" i="2"/>
  <c r="C6" i="2" s="1"/>
  <c r="L160" i="1"/>
  <c r="L122" i="1"/>
  <c r="L154" i="1"/>
  <c r="L128" i="1"/>
  <c r="L159" i="1"/>
  <c r="L131" i="1"/>
  <c r="L148" i="1"/>
  <c r="L125" i="1"/>
  <c r="L127" i="1"/>
  <c r="L134" i="1"/>
  <c r="L137" i="1"/>
  <c r="L139" i="1"/>
  <c r="L144" i="1"/>
  <c r="L150" i="1"/>
  <c r="L152" i="1"/>
  <c r="L157" i="1"/>
  <c r="R162" i="1"/>
  <c r="E204" i="1"/>
  <c r="E118" i="1"/>
  <c r="D268" i="1"/>
  <c r="E210" i="1"/>
  <c r="E162" i="1"/>
  <c r="E171" i="1"/>
  <c r="E26" i="1"/>
  <c r="E76" i="1"/>
  <c r="L210" i="1" l="1"/>
  <c r="R239" i="1"/>
  <c r="L76" i="1"/>
  <c r="L238" i="1"/>
  <c r="L171" i="1"/>
  <c r="L204" i="1"/>
  <c r="K268" i="1"/>
  <c r="L118" i="1"/>
  <c r="L26" i="1"/>
</calcChain>
</file>

<file path=xl/sharedStrings.xml><?xml version="1.0" encoding="utf-8"?>
<sst xmlns="http://schemas.openxmlformats.org/spreadsheetml/2006/main" count="552" uniqueCount="346">
  <si>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</si>
  <si>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</si>
  <si>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</si>
  <si>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</si>
  <si>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</si>
  <si>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</si>
  <si>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</si>
  <si>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</si>
  <si>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</si>
  <si>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</si>
  <si>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</si>
  <si>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</si>
  <si>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</si>
  <si>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</si>
  <si>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</si>
  <si>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</si>
  <si>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</si>
  <si>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</si>
  <si>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</si>
  <si>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</si>
  <si>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</si>
  <si>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</si>
  <si>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</si>
  <si>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</si>
  <si>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</si>
  <si>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</si>
  <si>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</si>
  <si>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</si>
  <si>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</si>
  <si>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</si>
  <si>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</si>
  <si>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</si>
  <si>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</si>
  <si>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</si>
  <si>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</si>
  <si>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</si>
  <si>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</si>
  <si>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</si>
  <si>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</si>
  <si>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</si>
  <si>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</si>
  <si>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</si>
  <si>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</si>
  <si>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</si>
  <si>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</si>
  <si>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</si>
  <si>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</si>
  <si>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</si>
  <si>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</si>
  <si>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</si>
  <si>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</si>
  <si>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</si>
  <si>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</si>
  <si>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</si>
  <si>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</si>
  <si>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</si>
  <si>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</si>
  <si>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</si>
  <si>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</si>
  <si>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</si>
  <si>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</si>
  <si>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</si>
  <si>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</si>
  <si>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</si>
  <si>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</si>
  <si>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</si>
  <si>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</si>
  <si>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</si>
  <si>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</si>
  <si>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</si>
  <si>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</si>
  <si>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</si>
  <si>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</si>
  <si>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</si>
  <si>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</si>
  <si>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</si>
  <si>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</si>
  <si>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</si>
  <si>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</si>
  <si>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</si>
  <si>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</si>
  <si>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</si>
  <si>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</si>
  <si>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</si>
  <si>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</si>
  <si>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</si>
  <si>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</si>
  <si>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</si>
  <si>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</si>
  <si>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</si>
  <si>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</si>
  <si>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</si>
  <si>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</si>
  <si>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</si>
  <si>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</si>
  <si>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</si>
  <si>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</si>
  <si>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</si>
  <si>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</si>
  <si>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</si>
  <si>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</si>
  <si>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</si>
  <si>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</si>
  <si>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</si>
  <si>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</si>
  <si>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</si>
  <si>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</si>
  <si>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</si>
  <si>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</si>
  <si>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</si>
  <si>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</si>
  <si>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</si>
  <si>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</si>
  <si>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</si>
  <si>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</si>
  <si>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</si>
  <si>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</si>
  <si>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</si>
  <si>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</si>
  <si>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</si>
  <si>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</si>
  <si>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</si>
  <si>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</si>
  <si>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</si>
  <si>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</si>
  <si>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</si>
  <si>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</si>
  <si>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</si>
  <si>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</si>
  <si>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</si>
  <si>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</si>
  <si>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</si>
  <si>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</si>
  <si>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</si>
  <si>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</si>
  <si>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</si>
  <si>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</si>
  <si>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</si>
  <si>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</si>
  <si>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</si>
  <si>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</si>
  <si>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</si>
  <si>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</si>
  <si>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</si>
  <si>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</si>
  <si>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</si>
  <si>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</si>
  <si>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</si>
  <si>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</si>
  <si>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</si>
  <si>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</si>
  <si>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</si>
  <si>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</si>
  <si>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</si>
  <si>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</si>
  <si>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</si>
  <si>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</si>
  <si>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</si>
  <si>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</si>
  <si>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</si>
  <si>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</si>
  <si>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</si>
  <si>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</si>
  <si>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</si>
  <si>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</si>
  <si>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</si>
  <si>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</si>
  <si>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</si>
  <si>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</si>
  <si>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</si>
  <si>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</si>
  <si>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</si>
  <si>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</si>
  <si>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</si>
  <si>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</si>
  <si>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</si>
  <si>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</si>
  <si>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</si>
  <si>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</si>
  <si>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</si>
  <si>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</si>
  <si>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</si>
  <si>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</si>
  <si>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</si>
  <si>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</si>
  <si>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</si>
  <si>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</si>
  <si>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</si>
  <si>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</si>
  <si>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</si>
  <si>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</si>
  <si>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</si>
  <si>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</si>
  <si>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</si>
  <si>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</si>
  <si>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</si>
  <si>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</si>
  <si>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</si>
  <si>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</si>
  <si>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</si>
  <si>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</si>
  <si>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</si>
  <si>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</si>
  <si>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</si>
  <si>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</si>
  <si>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</si>
  <si>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</si>
  <si>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</si>
  <si>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</si>
  <si>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</si>
  <si>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</si>
  <si>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</si>
  <si>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</si>
  <si>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</si>
  <si>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</si>
  <si>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</si>
  <si>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</si>
  <si>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</si>
  <si>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</si>
  <si>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</si>
  <si>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</si>
  <si>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</si>
  <si>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</si>
  <si>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</si>
  <si>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</si>
  <si>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</si>
  <si>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</si>
  <si>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</si>
  <si>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</si>
  <si>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</si>
  <si>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</si>
  <si>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</si>
  <si>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</si>
  <si>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</si>
  <si>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</si>
  <si>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</si>
  <si>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</si>
  <si>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</si>
  <si>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</si>
  <si>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</si>
  <si>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</si>
  <si>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</si>
  <si>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</si>
  <si>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</si>
  <si>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</si>
  <si>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</si>
  <si>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</si>
  <si>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</si>
  <si>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</si>
  <si>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</si>
  <si>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</si>
  <si>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</si>
  <si>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</si>
  <si>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</si>
  <si>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</si>
  <si>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</si>
  <si>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</si>
  <si>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</si>
  <si>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</si>
  <si>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</si>
  <si>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</si>
  <si>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</si>
  <si>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</si>
  <si>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</si>
  <si>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</si>
  <si>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</si>
  <si>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</si>
  <si>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</si>
  <si>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</si>
  <si>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</si>
  <si>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</si>
  <si>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</si>
  <si>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</si>
  <si>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</si>
  <si>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</si>
  <si>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</si>
  <si>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</si>
  <si>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</si>
  <si>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</si>
  <si>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</si>
  <si>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</si>
  <si>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</si>
  <si>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</si>
  <si>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</si>
  <si>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</si>
  <si>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</si>
  <si>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</si>
  <si>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</si>
  <si>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</si>
  <si>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</si>
  <si>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</si>
  <si>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</si>
  <si>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</si>
  <si>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</si>
  <si>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</si>
  <si>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</si>
  <si>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</si>
  <si>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</si>
  <si>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</si>
  <si>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</si>
  <si>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</si>
  <si>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</si>
  <si>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</si>
  <si>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</si>
  <si>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</si>
  <si>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</si>
  <si>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</si>
  <si>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</si>
  <si>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</si>
  <si>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</si>
  <si>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</si>
  <si>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</si>
  <si>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</si>
  <si>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</si>
  <si>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</si>
  <si>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</si>
  <si>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</si>
  <si>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</si>
  <si>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</si>
  <si>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</si>
  <si>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</si>
  <si>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</si>
  <si>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</si>
  <si>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</si>
  <si>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</si>
  <si>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</si>
  <si>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</si>
  <si>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</si>
  <si>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</si>
  <si>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</si>
  <si>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</si>
  <si>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</si>
  <si>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</si>
  <si>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</si>
  <si>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</si>
  <si>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NAV, Unit Price and Yield as at Week Ended April 2, 2026</t>
  </si>
  <si>
    <t>Myrtle Asset Management Limited</t>
  </si>
  <si>
    <t>Myrtle Mynest Money Market Fund</t>
  </si>
  <si>
    <t>Week Ended April 2, 2026</t>
  </si>
  <si>
    <t>NAV, Unit Price and Yield as at Week Ended April 10, 2026</t>
  </si>
  <si>
    <t>WEEKLY VALUATION REPORT OF COLLECTIVE INVESTMENT SCHEMES AS AT WEEK ENDED FRIDAY, APRIL 10, 2026</t>
  </si>
  <si>
    <t>NFEM RATE NG₦/US$ as at 10th April, 2026 = N1356.8898</t>
  </si>
  <si>
    <t>Myrtle Balanced Plus Fund</t>
  </si>
  <si>
    <t>Myrtle Dollar Shield Fund</t>
  </si>
  <si>
    <t>Stanbic IBTC Absolute Fund (Sub Fund)</t>
  </si>
  <si>
    <t>Week Ended April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</si>
</sst>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10" fontId="24" fillId="10" borderId="0" xfId="2" applyNumberFormat="1" applyFont="1" applyFill="1" applyAlignment="1">
      <alignment horizontal="right" vertical="center" wrapText="1"/>
    </xf>
    <xf numFmtId="164" fontId="4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2,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176.15346559620389</c:v>
                </c:pt>
                <c:pt idx="1">
                  <c:v>5577.3814956164315</c:v>
                </c:pt>
                <c:pt idx="2">
                  <c:v>240.22816118521439</c:v>
                </c:pt>
                <c:pt idx="3">
                  <c:v>1846.4147621201339</c:v>
                </c:pt>
                <c:pt idx="4">
                  <c:v>502.0594085716325</c:v>
                </c:pt>
                <c:pt idx="5" formatCode="_-* #,##0.00_-;\-* #,##0.00_-;_-* &quot;-&quot;??_-;_-@_-">
                  <c:v>121.95004880784406</c:v>
                </c:pt>
                <c:pt idx="6">
                  <c:v>15.037578574939641</c:v>
                </c:pt>
                <c:pt idx="7">
                  <c:v>114.55199515056964</c:v>
                </c:pt>
                <c:pt idx="8">
                  <c:v>31.240648592305444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183.8473763187514</c:v>
                </c:pt>
                <c:pt idx="1">
                  <c:v>5619.0014664436776</c:v>
                </c:pt>
                <c:pt idx="2">
                  <c:v>237.02551254387481</c:v>
                </c:pt>
                <c:pt idx="3">
                  <c:v>1821.1793663458789</c:v>
                </c:pt>
                <c:pt idx="4">
                  <c:v>504.64319293491315</c:v>
                </c:pt>
                <c:pt idx="5" formatCode="_-* #,##0.00_-;\-* #,##0.00_-;_-* &quot;-&quot;??_-;_-@_-">
                  <c:v>125.20370858952214</c:v>
                </c:pt>
                <c:pt idx="6">
                  <c:v>15.435732579870001</c:v>
                </c:pt>
                <c:pt idx="7">
                  <c:v>117.11127480880343</c:v>
                </c:pt>
                <c:pt idx="8">
                  <c:v>31.390655001210625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APRIL,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15435732579.870001</c:v>
                </c:pt>
                <c:pt idx="1">
                  <c:v>31390655001.210625</c:v>
                </c:pt>
                <c:pt idx="2">
                  <c:v>117111274808.80344</c:v>
                </c:pt>
                <c:pt idx="3" formatCode="_-* #,##0.00_-;\-* #,##0.00_-;_-* &quot;-&quot;??_-;_-@_-">
                  <c:v>125203708589.52214</c:v>
                </c:pt>
                <c:pt idx="4">
                  <c:v>183847376318.7514</c:v>
                </c:pt>
                <c:pt idx="5">
                  <c:v>237025512543.87482</c:v>
                </c:pt>
                <c:pt idx="6">
                  <c:v>504643192934.91315</c:v>
                </c:pt>
                <c:pt idx="7">
                  <c:v>1821179366345.8789</c:v>
                </c:pt>
                <c:pt idx="8">
                  <c:v>5619001466443.6777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46073</c:v>
                </c:pt>
                <c:pt idx="1">
                  <c:v>46080</c:v>
                </c:pt>
                <c:pt idx="2">
                  <c:v>46087</c:v>
                </c:pt>
                <c:pt idx="3">
                  <c:v>46094</c:v>
                </c:pt>
                <c:pt idx="4">
                  <c:v>46099</c:v>
                </c:pt>
                <c:pt idx="5">
                  <c:v>46108</c:v>
                </c:pt>
                <c:pt idx="6">
                  <c:v>46114</c:v>
                </c:pt>
                <c:pt idx="7">
                  <c:v>46122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8210.0158947677137</c:v>
                </c:pt>
                <c:pt idx="1">
                  <c:v>8244.4012797571122</c:v>
                </c:pt>
                <c:pt idx="2">
                  <c:v>8344.3102028916874</c:v>
                </c:pt>
                <c:pt idx="3">
                  <c:v>8362.1373987365132</c:v>
                </c:pt>
                <c:pt idx="4">
                  <c:v>8418.7881429582667</c:v>
                </c:pt>
                <c:pt idx="5">
                  <c:v>8440.5567676688224</c:v>
                </c:pt>
                <c:pt idx="6">
                  <c:v>8625.0175642152753</c:v>
                </c:pt>
                <c:pt idx="7">
                  <c:v>8654.8382855665022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46073</c:v>
                </c:pt>
                <c:pt idx="1">
                  <c:v>46080</c:v>
                </c:pt>
                <c:pt idx="2">
                  <c:v>46087</c:v>
                </c:pt>
                <c:pt idx="3">
                  <c:v>46094</c:v>
                </c:pt>
                <c:pt idx="4">
                  <c:v>46099</c:v>
                </c:pt>
                <c:pt idx="5">
                  <c:v>46108</c:v>
                </c:pt>
                <c:pt idx="6">
                  <c:v>46114</c:v>
                </c:pt>
                <c:pt idx="7">
                  <c:v>46122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23.060251227759998</c:v>
                </c:pt>
                <c:pt idx="1">
                  <c:v>23.429388175410001</c:v>
                </c:pt>
                <c:pt idx="2">
                  <c:v>23.933072983509998</c:v>
                </c:pt>
                <c:pt idx="3">
                  <c:v>24.024073678480001</c:v>
                </c:pt>
                <c:pt idx="4">
                  <c:v>24.06611184246</c:v>
                </c:pt>
                <c:pt idx="5">
                  <c:v>24.226803601379999</c:v>
                </c:pt>
                <c:pt idx="6">
                  <c:v>24.882508960419997</c:v>
                </c:pt>
                <c:pt idx="7">
                  <c:v>25.247393537559997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6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8" t="s">
        <v>340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5" ht="14.4" customHeight="1">
      <c r="A2" s="24"/>
      <c r="B2" s="25"/>
      <c r="C2" s="26"/>
      <c r="D2" s="189" t="s">
        <v>335</v>
      </c>
      <c r="E2" s="189"/>
      <c r="F2" s="189"/>
      <c r="G2" s="189"/>
      <c r="H2" s="189"/>
      <c r="I2" s="189"/>
      <c r="J2" s="189"/>
      <c r="K2" s="189" t="s">
        <v>339</v>
      </c>
      <c r="L2" s="189"/>
      <c r="M2" s="189"/>
      <c r="N2" s="189"/>
      <c r="O2" s="189"/>
      <c r="P2" s="189"/>
      <c r="Q2" s="189"/>
      <c r="R2" s="189" t="s">
        <v>0</v>
      </c>
      <c r="S2" s="189"/>
      <c r="T2" s="189"/>
      <c r="U2" s="189" t="s">
        <v>1</v>
      </c>
      <c r="V2" s="189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5" ht="15" customHeight="1">
      <c r="A5" s="191" t="s">
        <v>17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5">
      <c r="A6" s="184">
        <v>1</v>
      </c>
      <c r="B6" s="148" t="s">
        <v>18</v>
      </c>
      <c r="C6" s="147" t="s">
        <v>19</v>
      </c>
      <c r="D6" s="144">
        <v>10196027074.07</v>
      </c>
      <c r="E6" s="142">
        <f t="shared" ref="E6:E24" si="0">(D6/$D$26)</f>
        <v>5.788150144852855E-2</v>
      </c>
      <c r="F6" s="144">
        <v>790.64700000000005</v>
      </c>
      <c r="G6" s="144">
        <v>794.15459999999996</v>
      </c>
      <c r="H6" s="36">
        <v>1705</v>
      </c>
      <c r="I6" s="57">
        <v>1.5E-3</v>
      </c>
      <c r="J6" s="57">
        <v>0.27739999999999998</v>
      </c>
      <c r="K6" s="144">
        <v>10385460485.780001</v>
      </c>
      <c r="L6" s="142">
        <f t="shared" ref="L6:L25" si="1">(K6/$K$26)</f>
        <v>5.6489576809482821E-2</v>
      </c>
      <c r="M6" s="144">
        <v>802.13239999999996</v>
      </c>
      <c r="N6" s="144">
        <v>805.70619999999997</v>
      </c>
      <c r="O6" s="36">
        <v>1705</v>
      </c>
      <c r="P6" s="57">
        <v>1.4500000000000001E-2</v>
      </c>
      <c r="Q6" s="57">
        <v>0.29599999999999999</v>
      </c>
      <c r="R6" s="62">
        <f>((K6-D6)/D6)</f>
        <v>1.8579139730979931E-2</v>
      </c>
      <c r="S6" s="62">
        <f>((N6-G6)/G6)</f>
        <v>1.4545782395518465E-2</v>
      </c>
      <c r="T6" s="62">
        <f>((O6-H6)/H6)</f>
        <v>0</v>
      </c>
      <c r="U6" s="62">
        <f>P6-I6</f>
        <v>1.3000000000000001E-2</v>
      </c>
      <c r="V6" s="63">
        <f>Q6-J6</f>
        <v>1.8600000000000005E-2</v>
      </c>
      <c r="W6" s="145"/>
    </row>
    <row r="7" spans="1:25">
      <c r="A7" s="184">
        <v>2</v>
      </c>
      <c r="B7" s="148" t="s">
        <v>20</v>
      </c>
      <c r="C7" s="147" t="s">
        <v>21</v>
      </c>
      <c r="D7" s="33">
        <v>1794091931.8499999</v>
      </c>
      <c r="E7" s="34">
        <f t="shared" si="0"/>
        <v>1.0184823362843124E-2</v>
      </c>
      <c r="F7" s="33">
        <v>532.74789999999996</v>
      </c>
      <c r="G7" s="33">
        <v>539.63369999999998</v>
      </c>
      <c r="H7" s="35">
        <v>739</v>
      </c>
      <c r="I7" s="56">
        <v>3.434E-3</v>
      </c>
      <c r="J7" s="56">
        <v>0.30049999999999999</v>
      </c>
      <c r="K7" s="33">
        <v>1807192968.54</v>
      </c>
      <c r="L7" s="34">
        <f t="shared" si="1"/>
        <v>9.8298545496059726E-3</v>
      </c>
      <c r="M7" s="33">
        <v>536.96990000000005</v>
      </c>
      <c r="N7" s="33">
        <v>543.92250000000001</v>
      </c>
      <c r="O7" s="35">
        <v>743</v>
      </c>
      <c r="P7" s="56">
        <v>7.0159999999999997E-3</v>
      </c>
      <c r="Q7" s="56">
        <v>0.31080000000000002</v>
      </c>
      <c r="R7" s="61">
        <f t="shared" ref="R7:R26" si="2">((K7-D7)/D7)</f>
        <v>7.3023218361451311E-3</v>
      </c>
      <c r="S7" s="61">
        <f t="shared" ref="S7:S26" si="3">((N7-G7)/G7)</f>
        <v>7.9476133532802671E-3</v>
      </c>
      <c r="T7" s="61">
        <f t="shared" ref="T7:T26" si="4">((O7-H7)/H7)</f>
        <v>5.4127198917456026E-3</v>
      </c>
      <c r="U7" s="62">
        <f t="shared" ref="U7:U26" si="5">P7-I7</f>
        <v>3.5819999999999997E-3</v>
      </c>
      <c r="V7" s="63">
        <f t="shared" ref="V7:V26" si="6">Q7-J7</f>
        <v>1.0300000000000031E-2</v>
      </c>
    </row>
    <row r="8" spans="1:25">
      <c r="A8" s="184">
        <v>3</v>
      </c>
      <c r="B8" s="148" t="s">
        <v>22</v>
      </c>
      <c r="C8" s="147" t="s">
        <v>23</v>
      </c>
      <c r="D8" s="33">
        <v>13390572116.610001</v>
      </c>
      <c r="E8" s="34">
        <f t="shared" si="0"/>
        <v>7.6016512484092552E-2</v>
      </c>
      <c r="F8" s="33">
        <v>67.167400000000001</v>
      </c>
      <c r="G8" s="146">
        <v>69.192499999999995</v>
      </c>
      <c r="H8" s="36">
        <v>10240</v>
      </c>
      <c r="I8" s="57">
        <v>0.4879</v>
      </c>
      <c r="J8" s="57">
        <v>1.0525</v>
      </c>
      <c r="K8" s="33">
        <v>14089650102.389999</v>
      </c>
      <c r="L8" s="34">
        <f t="shared" si="1"/>
        <v>7.6637754557680543E-2</v>
      </c>
      <c r="M8" s="33">
        <v>68.412099999999995</v>
      </c>
      <c r="N8" s="146">
        <v>70.474800000000002</v>
      </c>
      <c r="O8" s="36">
        <v>10414</v>
      </c>
      <c r="P8" s="57">
        <v>0.96630000000000005</v>
      </c>
      <c r="Q8" s="57">
        <v>1.0646</v>
      </c>
      <c r="R8" s="61">
        <f t="shared" si="2"/>
        <v>5.2206730204816636E-2</v>
      </c>
      <c r="S8" s="61">
        <f t="shared" si="3"/>
        <v>1.8532355385338102E-2</v>
      </c>
      <c r="T8" s="61">
        <f t="shared" si="4"/>
        <v>1.6992187499999999E-2</v>
      </c>
      <c r="U8" s="62">
        <f t="shared" si="5"/>
        <v>0.47840000000000005</v>
      </c>
      <c r="V8" s="63">
        <f t="shared" si="6"/>
        <v>1.21E-2</v>
      </c>
      <c r="X8" s="160"/>
      <c r="Y8" s="64"/>
    </row>
    <row r="9" spans="1:25">
      <c r="A9" s="184">
        <v>4</v>
      </c>
      <c r="B9" s="148" t="s">
        <v>24</v>
      </c>
      <c r="C9" s="147" t="s">
        <v>25</v>
      </c>
      <c r="D9" s="33">
        <v>2299920059.6500001</v>
      </c>
      <c r="E9" s="34">
        <f t="shared" si="0"/>
        <v>1.305634295564812E-2</v>
      </c>
      <c r="F9" s="33">
        <v>316.08269999999999</v>
      </c>
      <c r="G9" s="33">
        <v>316.08269999999999</v>
      </c>
      <c r="H9" s="35">
        <v>2506</v>
      </c>
      <c r="I9" s="56">
        <v>1.9E-3</v>
      </c>
      <c r="J9" s="56">
        <v>0.26300000000000001</v>
      </c>
      <c r="K9" s="33">
        <v>2439502334.1300001</v>
      </c>
      <c r="L9" s="34">
        <f t="shared" si="1"/>
        <v>1.3269171325569712E-2</v>
      </c>
      <c r="M9" s="33">
        <v>322.70729999999998</v>
      </c>
      <c r="N9" s="33">
        <v>322.70729999999998</v>
      </c>
      <c r="O9" s="35">
        <v>2509</v>
      </c>
      <c r="P9" s="56">
        <v>2.1000000000000001E-2</v>
      </c>
      <c r="Q9" s="56">
        <v>0.28949999999999998</v>
      </c>
      <c r="R9" s="61">
        <f t="shared" si="2"/>
        <v>6.0690054810531774E-2</v>
      </c>
      <c r="S9" s="61">
        <f t="shared" si="3"/>
        <v>2.095843904142804E-2</v>
      </c>
      <c r="T9" s="61">
        <f t="shared" si="4"/>
        <v>1.1971268954509178E-3</v>
      </c>
      <c r="U9" s="62">
        <f t="shared" si="5"/>
        <v>1.9100000000000002E-2</v>
      </c>
      <c r="V9" s="63">
        <f t="shared" si="6"/>
        <v>2.6499999999999968E-2</v>
      </c>
    </row>
    <row r="10" spans="1:25">
      <c r="A10" s="184">
        <v>5</v>
      </c>
      <c r="B10" s="148" t="s">
        <v>26</v>
      </c>
      <c r="C10" s="147" t="s">
        <v>27</v>
      </c>
      <c r="D10" s="33">
        <v>6556404938.6800003</v>
      </c>
      <c r="E10" s="34">
        <f t="shared" si="0"/>
        <v>3.7219846436114007E-2</v>
      </c>
      <c r="F10" s="33">
        <v>2.4489000000000001</v>
      </c>
      <c r="G10" s="33">
        <v>2.4788000000000001</v>
      </c>
      <c r="H10" s="35">
        <v>1860</v>
      </c>
      <c r="I10" s="56">
        <v>2.8999999999999998E-3</v>
      </c>
      <c r="J10" s="56">
        <v>0.32369999999999999</v>
      </c>
      <c r="K10" s="33">
        <v>7060077309.3400002</v>
      </c>
      <c r="L10" s="34">
        <f>(K10/$K$26)</f>
        <v>3.8401838800785279E-2</v>
      </c>
      <c r="M10" s="33">
        <v>2.5211999999999999</v>
      </c>
      <c r="N10" s="33">
        <v>2.5543</v>
      </c>
      <c r="O10" s="35">
        <v>1927</v>
      </c>
      <c r="P10" s="56">
        <v>0.03</v>
      </c>
      <c r="Q10" s="56">
        <v>0.3634</v>
      </c>
      <c r="R10" s="61">
        <f t="shared" si="2"/>
        <v>7.6821425060027496E-2</v>
      </c>
      <c r="S10" s="61">
        <f t="shared" si="3"/>
        <v>3.0458286267548772E-2</v>
      </c>
      <c r="T10" s="61">
        <f t="shared" si="4"/>
        <v>3.6021505376344083E-2</v>
      </c>
      <c r="U10" s="62">
        <f t="shared" si="5"/>
        <v>2.7099999999999999E-2</v>
      </c>
      <c r="V10" s="63">
        <f t="shared" si="6"/>
        <v>3.9700000000000013E-2</v>
      </c>
    </row>
    <row r="11" spans="1:25">
      <c r="A11" s="184">
        <v>6</v>
      </c>
      <c r="B11" s="148" t="s">
        <v>28</v>
      </c>
      <c r="C11" s="147" t="s">
        <v>29</v>
      </c>
      <c r="D11" s="37">
        <v>575754146.89999998</v>
      </c>
      <c r="E11" s="34">
        <f t="shared" si="0"/>
        <v>3.2684803841429928E-3</v>
      </c>
      <c r="F11" s="33">
        <v>286.0856</v>
      </c>
      <c r="G11" s="33">
        <v>288.4676</v>
      </c>
      <c r="H11" s="36">
        <v>172</v>
      </c>
      <c r="I11" s="57">
        <v>3.2899999999999997E-4</v>
      </c>
      <c r="J11" s="57">
        <v>0.3362</v>
      </c>
      <c r="K11" s="37">
        <v>590258688.89999998</v>
      </c>
      <c r="L11" s="34">
        <f t="shared" si="1"/>
        <v>3.2105907667489345E-3</v>
      </c>
      <c r="M11" s="33">
        <v>294.61970000000002</v>
      </c>
      <c r="N11" s="33">
        <v>297.09339999999997</v>
      </c>
      <c r="O11" s="36">
        <v>173</v>
      </c>
      <c r="P11" s="57">
        <v>5.9030000000000003E-3</v>
      </c>
      <c r="Q11" s="57">
        <v>0.376</v>
      </c>
      <c r="R11" s="61">
        <f t="shared" si="2"/>
        <v>2.5192249292681559E-2</v>
      </c>
      <c r="S11" s="61">
        <f t="shared" si="3"/>
        <v>2.990214498959318E-2</v>
      </c>
      <c r="T11" s="61">
        <f t="shared" si="4"/>
        <v>5.8139534883720929E-3</v>
      </c>
      <c r="U11" s="62">
        <f t="shared" si="5"/>
        <v>5.574E-3</v>
      </c>
      <c r="V11" s="63">
        <f t="shared" si="6"/>
        <v>3.9800000000000002E-2</v>
      </c>
    </row>
    <row r="12" spans="1:25">
      <c r="A12" s="184">
        <v>7</v>
      </c>
      <c r="B12" s="148" t="s">
        <v>30</v>
      </c>
      <c r="C12" s="147" t="s">
        <v>82</v>
      </c>
      <c r="D12" s="33">
        <v>5144896219.5900002</v>
      </c>
      <c r="E12" s="34">
        <f t="shared" si="0"/>
        <v>2.9206897532085073E-2</v>
      </c>
      <c r="F12" s="33">
        <v>555.4</v>
      </c>
      <c r="G12" s="33">
        <v>563.79999999999995</v>
      </c>
      <c r="H12" s="36">
        <v>2024</v>
      </c>
      <c r="I12" s="57">
        <v>-7.1000000000000004E-3</v>
      </c>
      <c r="J12" s="57">
        <v>0.22520000000000001</v>
      </c>
      <c r="K12" s="33">
        <v>5308402755.8500004</v>
      </c>
      <c r="L12" s="34">
        <f t="shared" si="1"/>
        <v>2.8873965253909218E-2</v>
      </c>
      <c r="M12" s="33">
        <v>567.26</v>
      </c>
      <c r="N12" s="33">
        <v>575.84</v>
      </c>
      <c r="O12" s="36">
        <v>2035</v>
      </c>
      <c r="P12" s="57">
        <v>2.1299999999999999E-2</v>
      </c>
      <c r="Q12" s="57">
        <v>0.25130000000000002</v>
      </c>
      <c r="R12" s="61">
        <f t="shared" si="2"/>
        <v>3.1780337111062304E-2</v>
      </c>
      <c r="S12" s="61">
        <f t="shared" si="3"/>
        <v>2.1355090457609222E-2</v>
      </c>
      <c r="T12" s="61">
        <f t="shared" si="4"/>
        <v>5.434782608695652E-3</v>
      </c>
      <c r="U12" s="62">
        <f t="shared" si="5"/>
        <v>2.8400000000000002E-2</v>
      </c>
      <c r="V12" s="63">
        <f t="shared" si="6"/>
        <v>2.6100000000000012E-2</v>
      </c>
    </row>
    <row r="13" spans="1:25">
      <c r="A13" s="184">
        <v>8</v>
      </c>
      <c r="B13" s="148" t="s">
        <v>31</v>
      </c>
      <c r="C13" s="147" t="s">
        <v>32</v>
      </c>
      <c r="D13" s="38">
        <v>552242451.58000004</v>
      </c>
      <c r="E13" s="34">
        <f t="shared" si="0"/>
        <v>3.1350075896088465E-3</v>
      </c>
      <c r="F13" s="33">
        <v>275.83</v>
      </c>
      <c r="G13" s="33">
        <v>288.08</v>
      </c>
      <c r="H13" s="35">
        <v>2469</v>
      </c>
      <c r="I13" s="56">
        <v>-3.32E-2</v>
      </c>
      <c r="J13" s="56">
        <v>9.1499999999999998E-2</v>
      </c>
      <c r="K13" s="38">
        <v>613362440.66999996</v>
      </c>
      <c r="L13" s="34">
        <f t="shared" si="1"/>
        <v>3.3362588738093425E-3</v>
      </c>
      <c r="M13" s="33">
        <v>306.38</v>
      </c>
      <c r="N13" s="33">
        <v>320.02</v>
      </c>
      <c r="O13" s="35">
        <v>2469</v>
      </c>
      <c r="P13" s="56">
        <v>0.11070000000000001</v>
      </c>
      <c r="Q13" s="56">
        <v>0.21240000000000001</v>
      </c>
      <c r="R13" s="61">
        <f t="shared" si="2"/>
        <v>0.11067600637207774</v>
      </c>
      <c r="S13" s="61">
        <f t="shared" si="3"/>
        <v>0.11087198000555401</v>
      </c>
      <c r="T13" s="61">
        <f t="shared" si="4"/>
        <v>0</v>
      </c>
      <c r="U13" s="62">
        <f t="shared" si="5"/>
        <v>0.1439</v>
      </c>
      <c r="V13" s="63">
        <f t="shared" si="6"/>
        <v>0.12090000000000001</v>
      </c>
    </row>
    <row r="14" spans="1:25">
      <c r="A14" s="184">
        <v>9</v>
      </c>
      <c r="B14" s="148" t="s">
        <v>33</v>
      </c>
      <c r="C14" s="147" t="s">
        <v>34</v>
      </c>
      <c r="D14" s="37">
        <v>123196265.47390001</v>
      </c>
      <c r="E14" s="34">
        <f t="shared" si="0"/>
        <v>6.9936895681804224E-4</v>
      </c>
      <c r="F14" s="33">
        <v>427.7364</v>
      </c>
      <c r="G14" s="33">
        <v>441.9325</v>
      </c>
      <c r="H14" s="35">
        <v>38</v>
      </c>
      <c r="I14" s="56">
        <v>3.9600000000000003E-2</v>
      </c>
      <c r="J14" s="56">
        <v>0.35049999999999998</v>
      </c>
      <c r="K14" s="37">
        <v>125792078.0914</v>
      </c>
      <c r="L14" s="34">
        <f t="shared" si="1"/>
        <v>6.8422014287168218E-4</v>
      </c>
      <c r="M14" s="33">
        <v>436.54250000000002</v>
      </c>
      <c r="N14" s="33">
        <v>451.09280000000001</v>
      </c>
      <c r="O14" s="35">
        <v>40</v>
      </c>
      <c r="P14" s="56">
        <v>2.07E-2</v>
      </c>
      <c r="Q14" s="56">
        <v>0.37840000000000001</v>
      </c>
      <c r="R14" s="61">
        <f t="shared" si="2"/>
        <v>2.1070546314976839E-2</v>
      </c>
      <c r="S14" s="61">
        <f t="shared" si="3"/>
        <v>2.072782608203743E-2</v>
      </c>
      <c r="T14" s="61">
        <f t="shared" si="4"/>
        <v>5.2631578947368418E-2</v>
      </c>
      <c r="U14" s="62">
        <f t="shared" si="5"/>
        <v>-1.8900000000000004E-2</v>
      </c>
      <c r="V14" s="63">
        <f t="shared" si="6"/>
        <v>2.7900000000000036E-2</v>
      </c>
    </row>
    <row r="15" spans="1:25" ht="14.25" customHeight="1">
      <c r="A15" s="184">
        <v>10</v>
      </c>
      <c r="B15" s="148" t="s">
        <v>35</v>
      </c>
      <c r="C15" s="147" t="s">
        <v>36</v>
      </c>
      <c r="D15" s="38">
        <v>15016527140.65</v>
      </c>
      <c r="E15" s="34">
        <f t="shared" si="0"/>
        <v>8.5246844788579662E-2</v>
      </c>
      <c r="F15" s="33">
        <v>5.2431390000000002</v>
      </c>
      <c r="G15" s="33">
        <v>5.2939429999999996</v>
      </c>
      <c r="H15" s="35">
        <v>8453</v>
      </c>
      <c r="I15" s="56">
        <v>-3.5000000000000001E-3</v>
      </c>
      <c r="J15" s="56">
        <v>0.31790000000000002</v>
      </c>
      <c r="K15" s="38">
        <v>15715983578.65</v>
      </c>
      <c r="L15" s="34">
        <f t="shared" si="1"/>
        <v>8.5483861088133772E-2</v>
      </c>
      <c r="M15" s="33">
        <v>5.4220410000000001</v>
      </c>
      <c r="N15" s="33">
        <v>5.4745010000000001</v>
      </c>
      <c r="O15" s="35">
        <v>8477</v>
      </c>
      <c r="P15" s="56">
        <v>-3.5000000000000001E-3</v>
      </c>
      <c r="Q15" s="56">
        <v>0.3629</v>
      </c>
      <c r="R15" s="61">
        <f t="shared" si="2"/>
        <v>4.6579107902156636E-2</v>
      </c>
      <c r="S15" s="61">
        <f t="shared" si="3"/>
        <v>3.4106525136368193E-2</v>
      </c>
      <c r="T15" s="61">
        <f t="shared" si="4"/>
        <v>2.8392286762096296E-3</v>
      </c>
      <c r="U15" s="62">
        <f t="shared" si="5"/>
        <v>0</v>
      </c>
      <c r="V15" s="63">
        <f t="shared" si="6"/>
        <v>4.4999999999999984E-2</v>
      </c>
    </row>
    <row r="16" spans="1:25" ht="14.25" customHeight="1">
      <c r="A16" s="186">
        <v>11</v>
      </c>
      <c r="B16" s="148" t="s">
        <v>37</v>
      </c>
      <c r="C16" s="147" t="s">
        <v>38</v>
      </c>
      <c r="D16" s="38">
        <v>378971678.88999999</v>
      </c>
      <c r="E16" s="34">
        <f t="shared" si="0"/>
        <v>2.1513722571812224E-3</v>
      </c>
      <c r="F16" s="33">
        <v>38.03</v>
      </c>
      <c r="G16" s="33">
        <v>38.31</v>
      </c>
      <c r="H16" s="35">
        <v>107</v>
      </c>
      <c r="I16" s="56">
        <v>0.01</v>
      </c>
      <c r="J16" s="56">
        <v>0</v>
      </c>
      <c r="K16" s="38">
        <v>387961424.69999999</v>
      </c>
      <c r="L16" s="34">
        <f t="shared" si="1"/>
        <v>2.1102363953639414E-3</v>
      </c>
      <c r="M16" s="33">
        <v>38.74</v>
      </c>
      <c r="N16" s="33">
        <v>39.04</v>
      </c>
      <c r="O16" s="35">
        <v>109</v>
      </c>
      <c r="P16" s="56">
        <v>0.02</v>
      </c>
      <c r="Q16" s="56">
        <v>0.48</v>
      </c>
      <c r="R16" s="61">
        <f t="shared" ref="R16" si="7">((K16-D16)/D16)</f>
        <v>2.3721418540643399E-2</v>
      </c>
      <c r="S16" s="61">
        <f t="shared" ref="S16" si="8">((N16-G16)/G16)</f>
        <v>1.9055077003393286E-2</v>
      </c>
      <c r="T16" s="61">
        <f t="shared" ref="T16" si="9">((O16-H16)/H16)</f>
        <v>1.8691588785046728E-2</v>
      </c>
      <c r="U16" s="62">
        <f t="shared" ref="U16" si="10">P16-I16</f>
        <v>0.01</v>
      </c>
      <c r="V16" s="63">
        <f t="shared" ref="V16" si="11">Q16-J16</f>
        <v>0.48</v>
      </c>
    </row>
    <row r="17" spans="1:25">
      <c r="A17" s="184">
        <v>12</v>
      </c>
      <c r="B17" s="148" t="s">
        <v>39</v>
      </c>
      <c r="C17" s="147" t="s">
        <v>40</v>
      </c>
      <c r="D17" s="39">
        <v>3795501643.52</v>
      </c>
      <c r="E17" s="34">
        <f t="shared" si="0"/>
        <v>2.1546562428810898E-2</v>
      </c>
      <c r="F17" s="33">
        <v>7.25</v>
      </c>
      <c r="G17" s="33">
        <v>7.4</v>
      </c>
      <c r="H17" s="35">
        <v>3783</v>
      </c>
      <c r="I17" s="56">
        <v>0.20810000000000001</v>
      </c>
      <c r="J17" s="56">
        <v>0.31040000000000001</v>
      </c>
      <c r="K17" s="39">
        <v>3832339871.3600001</v>
      </c>
      <c r="L17" s="34">
        <f t="shared" si="1"/>
        <v>2.0845224708105466E-2</v>
      </c>
      <c r="M17" s="33">
        <v>7.35</v>
      </c>
      <c r="N17" s="33">
        <v>7.5</v>
      </c>
      <c r="O17" s="35">
        <v>3791</v>
      </c>
      <c r="P17" s="56">
        <v>0.22450000000000001</v>
      </c>
      <c r="Q17" s="56">
        <v>0.32819999999999999</v>
      </c>
      <c r="R17" s="61">
        <f t="shared" si="2"/>
        <v>9.7057599495164164E-3</v>
      </c>
      <c r="S17" s="61">
        <f t="shared" si="3"/>
        <v>1.3513513513513466E-2</v>
      </c>
      <c r="T17" s="61">
        <f t="shared" si="4"/>
        <v>2.1147237642083002E-3</v>
      </c>
      <c r="U17" s="62">
        <f t="shared" si="5"/>
        <v>1.6399999999999998E-2</v>
      </c>
      <c r="V17" s="63">
        <f t="shared" si="6"/>
        <v>1.7799999999999983E-2</v>
      </c>
    </row>
    <row r="18" spans="1:25">
      <c r="A18" s="184">
        <v>13</v>
      </c>
      <c r="B18" s="148" t="s">
        <v>41</v>
      </c>
      <c r="C18" s="147" t="s">
        <v>42</v>
      </c>
      <c r="D18" s="33">
        <v>7393898428.4300003</v>
      </c>
      <c r="E18" s="34">
        <f t="shared" si="0"/>
        <v>4.1974186561728022E-2</v>
      </c>
      <c r="F18" s="33">
        <v>42.353009</v>
      </c>
      <c r="G18" s="33">
        <v>42.551715999999999</v>
      </c>
      <c r="H18" s="35">
        <v>1632</v>
      </c>
      <c r="I18" s="56">
        <v>-7.6427402156952207E-3</v>
      </c>
      <c r="J18" s="56">
        <v>0.30200691567099147</v>
      </c>
      <c r="K18" s="33">
        <v>7629626498.4799995</v>
      </c>
      <c r="L18" s="34">
        <f>(K18/$K$26)</f>
        <v>4.1499784501965835E-2</v>
      </c>
      <c r="M18" s="33">
        <v>43.382522000000002</v>
      </c>
      <c r="N18" s="33">
        <v>43.6</v>
      </c>
      <c r="O18" s="35">
        <v>1647</v>
      </c>
      <c r="P18" s="56">
        <v>2.4299999999999999E-2</v>
      </c>
      <c r="Q18" s="56">
        <v>0.3337</v>
      </c>
      <c r="R18" s="61">
        <f t="shared" si="2"/>
        <v>3.1881432012050653E-2</v>
      </c>
      <c r="S18" s="61">
        <f t="shared" si="3"/>
        <v>2.4635528212305292E-2</v>
      </c>
      <c r="T18" s="61">
        <f t="shared" si="4"/>
        <v>9.1911764705882356E-3</v>
      </c>
      <c r="U18" s="62">
        <f t="shared" si="5"/>
        <v>3.1942740215695223E-2</v>
      </c>
      <c r="V18" s="63">
        <f t="shared" si="6"/>
        <v>3.1693084329008525E-2</v>
      </c>
    </row>
    <row r="19" spans="1:25">
      <c r="A19" s="184">
        <v>14</v>
      </c>
      <c r="B19" s="148" t="s">
        <v>43</v>
      </c>
      <c r="C19" s="147" t="s">
        <v>44</v>
      </c>
      <c r="D19" s="33">
        <v>250812878.52000001</v>
      </c>
      <c r="E19" s="34">
        <f t="shared" si="0"/>
        <v>1.4238316440219104E-3</v>
      </c>
      <c r="F19" s="33">
        <v>2.71</v>
      </c>
      <c r="G19" s="33">
        <v>2.79</v>
      </c>
      <c r="H19" s="35">
        <v>27</v>
      </c>
      <c r="I19" s="56">
        <v>1E-3</v>
      </c>
      <c r="J19" s="56">
        <v>0.3332</v>
      </c>
      <c r="K19" s="33">
        <v>268273527.03</v>
      </c>
      <c r="L19" s="34">
        <f t="shared" si="1"/>
        <v>1.4592186867267117E-3</v>
      </c>
      <c r="M19" s="33">
        <v>2.7</v>
      </c>
      <c r="N19" s="33">
        <v>2.78</v>
      </c>
      <c r="O19" s="35">
        <v>34</v>
      </c>
      <c r="P19" s="56">
        <v>-4.3099999999999999E-2</v>
      </c>
      <c r="Q19" s="56">
        <v>0.3332</v>
      </c>
      <c r="R19" s="61">
        <f t="shared" si="2"/>
        <v>6.9616235868875706E-2</v>
      </c>
      <c r="S19" s="61">
        <f t="shared" si="3"/>
        <v>-3.5842293906810864E-3</v>
      </c>
      <c r="T19" s="61">
        <f t="shared" si="4"/>
        <v>0.25925925925925924</v>
      </c>
      <c r="U19" s="62">
        <f t="shared" si="5"/>
        <v>-4.41E-2</v>
      </c>
      <c r="V19" s="63">
        <f t="shared" si="6"/>
        <v>0</v>
      </c>
    </row>
    <row r="20" spans="1:25">
      <c r="A20" s="184">
        <v>15</v>
      </c>
      <c r="B20" s="148" t="s">
        <v>45</v>
      </c>
      <c r="C20" s="147" t="s">
        <v>46</v>
      </c>
      <c r="D20" s="140">
        <v>16433707030.42</v>
      </c>
      <c r="E20" s="34">
        <f t="shared" si="0"/>
        <v>9.3291988180868049E-2</v>
      </c>
      <c r="F20" s="33">
        <v>66.31</v>
      </c>
      <c r="G20" s="33">
        <v>66.569999999999993</v>
      </c>
      <c r="H20" s="35">
        <v>17054</v>
      </c>
      <c r="I20" s="56">
        <v>1.01E-2</v>
      </c>
      <c r="J20" s="56">
        <v>0.39710000000000001</v>
      </c>
      <c r="K20" s="140">
        <v>17509465710.34</v>
      </c>
      <c r="L20" s="34">
        <f t="shared" si="1"/>
        <v>9.5239138359975245E-2</v>
      </c>
      <c r="M20" s="33">
        <v>68.569999999999993</v>
      </c>
      <c r="N20" s="33">
        <v>68.599999999999994</v>
      </c>
      <c r="O20" s="35">
        <v>17240</v>
      </c>
      <c r="P20" s="56">
        <v>4.7500000000000001E-2</v>
      </c>
      <c r="Q20" s="56">
        <v>0.4446</v>
      </c>
      <c r="R20" s="61">
        <f t="shared" si="2"/>
        <v>6.5460500052038878E-2</v>
      </c>
      <c r="S20" s="61">
        <f t="shared" si="3"/>
        <v>3.049421661409045E-2</v>
      </c>
      <c r="T20" s="61">
        <f t="shared" si="4"/>
        <v>1.0906532191861147E-2</v>
      </c>
      <c r="U20" s="62">
        <f t="shared" si="5"/>
        <v>3.7400000000000003E-2</v>
      </c>
      <c r="V20" s="63">
        <f t="shared" si="6"/>
        <v>4.7499999999999987E-2</v>
      </c>
    </row>
    <row r="21" spans="1:25" ht="12.75" customHeight="1">
      <c r="A21" s="184">
        <v>16</v>
      </c>
      <c r="B21" s="148" t="s">
        <v>47</v>
      </c>
      <c r="C21" s="147" t="s">
        <v>48</v>
      </c>
      <c r="D21" s="33">
        <v>3615538935.8099999</v>
      </c>
      <c r="E21" s="34">
        <f t="shared" si="0"/>
        <v>2.0524937863543882E-2</v>
      </c>
      <c r="F21" s="33">
        <v>15964.65</v>
      </c>
      <c r="G21" s="33">
        <v>16193.18</v>
      </c>
      <c r="H21" s="35">
        <v>65</v>
      </c>
      <c r="I21" s="56">
        <v>1.4E-3</v>
      </c>
      <c r="J21" s="56">
        <v>0.2591</v>
      </c>
      <c r="K21" s="33">
        <v>4151283381.5300002</v>
      </c>
      <c r="L21" s="34">
        <f t="shared" si="1"/>
        <v>2.2580052349143002E-2</v>
      </c>
      <c r="M21" s="33">
        <v>16238.84</v>
      </c>
      <c r="N21" s="33">
        <v>16445.330000000002</v>
      </c>
      <c r="O21" s="35">
        <v>68</v>
      </c>
      <c r="P21" s="56">
        <v>1.55E-2</v>
      </c>
      <c r="Q21" s="56">
        <v>0.2787</v>
      </c>
      <c r="R21" s="61">
        <f t="shared" si="2"/>
        <v>0.14817830902434351</v>
      </c>
      <c r="S21" s="61">
        <f t="shared" si="3"/>
        <v>1.5571370169417091E-2</v>
      </c>
      <c r="T21" s="61">
        <f t="shared" si="4"/>
        <v>4.6153846153846156E-2</v>
      </c>
      <c r="U21" s="62">
        <f t="shared" si="5"/>
        <v>1.41E-2</v>
      </c>
      <c r="V21" s="63">
        <f t="shared" si="6"/>
        <v>1.9600000000000006E-2</v>
      </c>
      <c r="X21" s="134"/>
    </row>
    <row r="22" spans="1:25">
      <c r="A22" s="184">
        <v>17</v>
      </c>
      <c r="B22" s="148" t="s">
        <v>49</v>
      </c>
      <c r="C22" s="147" t="s">
        <v>48</v>
      </c>
      <c r="D22" s="33">
        <v>55151358355.129997</v>
      </c>
      <c r="E22" s="34">
        <f t="shared" si="0"/>
        <v>0.31308699019043601</v>
      </c>
      <c r="F22" s="33">
        <v>55605.57</v>
      </c>
      <c r="G22" s="33">
        <v>56297.15</v>
      </c>
      <c r="H22" s="35">
        <v>27284</v>
      </c>
      <c r="I22" s="56">
        <v>2.5000000000000001E-3</v>
      </c>
      <c r="J22" s="56">
        <v>0.30080000000000001</v>
      </c>
      <c r="K22" s="33">
        <v>56806489763.120003</v>
      </c>
      <c r="L22" s="34">
        <f t="shared" si="1"/>
        <v>0.30898722027248238</v>
      </c>
      <c r="M22" s="33">
        <v>56250.37</v>
      </c>
      <c r="N22" s="33">
        <v>56951.62</v>
      </c>
      <c r="O22" s="35">
        <v>27614</v>
      </c>
      <c r="P22" s="56">
        <v>1.1599999999999999E-2</v>
      </c>
      <c r="Q22" s="56">
        <v>0.316</v>
      </c>
      <c r="R22" s="61">
        <f t="shared" si="2"/>
        <v>3.0010709751377332E-2</v>
      </c>
      <c r="S22" s="61">
        <f t="shared" si="3"/>
        <v>1.1625277656151354E-2</v>
      </c>
      <c r="T22" s="61">
        <f t="shared" si="4"/>
        <v>1.2095000733030348E-2</v>
      </c>
      <c r="U22" s="62">
        <f t="shared" si="5"/>
        <v>9.0999999999999987E-3</v>
      </c>
      <c r="V22" s="63">
        <f t="shared" si="6"/>
        <v>1.5199999999999991E-2</v>
      </c>
    </row>
    <row r="23" spans="1:25">
      <c r="A23" s="186">
        <v>18</v>
      </c>
      <c r="B23" s="147" t="s">
        <v>50</v>
      </c>
      <c r="C23" s="147" t="s">
        <v>51</v>
      </c>
      <c r="D23" s="33">
        <v>13428023710.43</v>
      </c>
      <c r="E23" s="34">
        <f t="shared" si="0"/>
        <v>7.622912024456574E-2</v>
      </c>
      <c r="F23" s="33">
        <v>2.4624799999999998</v>
      </c>
      <c r="G23" s="40">
        <v>2.4854599999999998</v>
      </c>
      <c r="H23" s="35">
        <v>7874</v>
      </c>
      <c r="I23" s="56">
        <v>-1E-3</v>
      </c>
      <c r="J23" s="56">
        <v>0.28100000000000003</v>
      </c>
      <c r="K23" s="33">
        <v>13564460563.66</v>
      </c>
      <c r="L23" s="34">
        <f t="shared" si="1"/>
        <v>7.3781094053483653E-2</v>
      </c>
      <c r="M23" s="33">
        <v>2.4845199999999998</v>
      </c>
      <c r="N23" s="40">
        <v>2.5078900000000002</v>
      </c>
      <c r="O23" s="35">
        <v>7933</v>
      </c>
      <c r="P23" s="56">
        <v>8.9999999999999993E-3</v>
      </c>
      <c r="Q23" s="56">
        <v>0.29249999999999998</v>
      </c>
      <c r="R23" s="61">
        <f t="shared" ref="R23:R24" si="12">((K23-D23)/D23)</f>
        <v>1.0160605623895676E-2</v>
      </c>
      <c r="S23" s="61">
        <f t="shared" ref="S23:S24" si="13">((N23-G23)/G23)</f>
        <v>9.0244864129780389E-3</v>
      </c>
      <c r="T23" s="61">
        <f t="shared" ref="T23:T24" si="14">((O23-H23)/H23)</f>
        <v>7.4930149860299722E-3</v>
      </c>
      <c r="U23" s="62">
        <f t="shared" ref="U23:U24" si="15">P23-I23</f>
        <v>9.9999999999999985E-3</v>
      </c>
      <c r="V23" s="63">
        <f t="shared" ref="V23:V24" si="16">Q23-J23</f>
        <v>1.1499999999999955E-2</v>
      </c>
    </row>
    <row r="24" spans="1:25">
      <c r="A24" s="186">
        <v>19</v>
      </c>
      <c r="B24" s="148" t="s">
        <v>325</v>
      </c>
      <c r="C24" s="147" t="s">
        <v>123</v>
      </c>
      <c r="D24" s="33">
        <v>3911399362.5</v>
      </c>
      <c r="E24" s="34">
        <f t="shared" si="0"/>
        <v>2.220449849942828E-2</v>
      </c>
      <c r="F24" s="33">
        <v>1.53</v>
      </c>
      <c r="G24" s="40">
        <v>1.56</v>
      </c>
      <c r="H24" s="35">
        <v>1095</v>
      </c>
      <c r="I24" s="56">
        <v>-5.5999999999999999E-3</v>
      </c>
      <c r="J24" s="56">
        <v>0.50990000000000002</v>
      </c>
      <c r="K24" s="33">
        <v>4508025965</v>
      </c>
      <c r="L24" s="34">
        <f t="shared" si="1"/>
        <v>2.4520480276988357E-2</v>
      </c>
      <c r="M24" s="33">
        <v>1.62</v>
      </c>
      <c r="N24" s="40">
        <v>1.64</v>
      </c>
      <c r="O24" s="35">
        <v>1173</v>
      </c>
      <c r="P24" s="56">
        <v>5.3400000000000003E-2</v>
      </c>
      <c r="Q24" s="56">
        <v>0.59030000000000005</v>
      </c>
      <c r="R24" s="61">
        <f t="shared" si="12"/>
        <v>0.15253533255133059</v>
      </c>
      <c r="S24" s="61">
        <f t="shared" si="13"/>
        <v>5.1282051282051183E-2</v>
      </c>
      <c r="T24" s="61">
        <f t="shared" si="14"/>
        <v>7.1232876712328766E-2</v>
      </c>
      <c r="U24" s="62">
        <f t="shared" si="15"/>
        <v>5.9000000000000004E-2</v>
      </c>
      <c r="V24" s="63">
        <f t="shared" si="16"/>
        <v>8.0400000000000027E-2</v>
      </c>
    </row>
    <row r="25" spans="1:25">
      <c r="A25" s="184">
        <v>20</v>
      </c>
      <c r="B25" s="147" t="s">
        <v>52</v>
      </c>
      <c r="C25" s="147" t="s">
        <v>53</v>
      </c>
      <c r="D25" s="33">
        <v>16144621227.5</v>
      </c>
      <c r="E25" s="34">
        <f>(D25/$D$26)</f>
        <v>9.1650886190955058E-2</v>
      </c>
      <c r="F25" s="33">
        <v>297.72000000000003</v>
      </c>
      <c r="G25" s="40">
        <v>302.35000000000002</v>
      </c>
      <c r="H25" s="35">
        <v>125</v>
      </c>
      <c r="I25" s="56">
        <v>1.7299999999999999E-2</v>
      </c>
      <c r="J25" s="56">
        <v>0.40839999999999999</v>
      </c>
      <c r="K25" s="33">
        <v>17053766871.190001</v>
      </c>
      <c r="L25" s="34">
        <f t="shared" si="1"/>
        <v>9.2760458227168135E-2</v>
      </c>
      <c r="M25" s="33">
        <v>308.14</v>
      </c>
      <c r="N25" s="40">
        <v>312.92</v>
      </c>
      <c r="O25" s="35">
        <v>127</v>
      </c>
      <c r="P25" s="56">
        <v>3.5000000000000003E-2</v>
      </c>
      <c r="Q25" s="56">
        <v>0.4577</v>
      </c>
      <c r="R25" s="61">
        <f t="shared" si="2"/>
        <v>5.631260287119056E-2</v>
      </c>
      <c r="S25" s="61">
        <f t="shared" si="3"/>
        <v>3.4959484041673532E-2</v>
      </c>
      <c r="T25" s="61">
        <f t="shared" si="4"/>
        <v>1.6E-2</v>
      </c>
      <c r="U25" s="62">
        <f t="shared" si="5"/>
        <v>1.7700000000000004E-2</v>
      </c>
      <c r="V25" s="63">
        <f t="shared" si="6"/>
        <v>4.930000000000001E-2</v>
      </c>
      <c r="X25" s="134"/>
      <c r="Y25" s="134"/>
    </row>
    <row r="26" spans="1:25">
      <c r="A26" s="41"/>
      <c r="B26" s="42"/>
      <c r="C26" s="43" t="s">
        <v>54</v>
      </c>
      <c r="D26" s="44">
        <f>SUM(D6:D25)</f>
        <v>176153465596.20389</v>
      </c>
      <c r="E26" s="45">
        <f>(D26/$D$239)</f>
        <v>2.0497793615746236E-2</v>
      </c>
      <c r="F26" s="46"/>
      <c r="G26" s="47"/>
      <c r="H26" s="48">
        <f>SUM(H6:H25)</f>
        <v>89252</v>
      </c>
      <c r="I26" s="58"/>
      <c r="J26" s="35">
        <v>0</v>
      </c>
      <c r="K26" s="44">
        <f>SUM(K6:K25)</f>
        <v>183847376318.7514</v>
      </c>
      <c r="L26" s="45">
        <f>(K26/$K$239)</f>
        <v>2.1319475016826846E-2</v>
      </c>
      <c r="M26" s="46"/>
      <c r="N26" s="47"/>
      <c r="O26" s="48">
        <f>SUM(O6:O25)</f>
        <v>90228</v>
      </c>
      <c r="P26" s="58"/>
      <c r="Q26" s="48"/>
      <c r="R26" s="61">
        <f t="shared" si="2"/>
        <v>4.3677316801613464E-2</v>
      </c>
      <c r="S26" s="61" t="e">
        <f t="shared" si="3"/>
        <v>#DIV/0!</v>
      </c>
      <c r="T26" s="61">
        <f t="shared" si="4"/>
        <v>1.093532918029848E-2</v>
      </c>
      <c r="U26" s="62">
        <f t="shared" si="5"/>
        <v>0</v>
      </c>
      <c r="V26" s="63">
        <f t="shared" si="6"/>
        <v>0</v>
      </c>
    </row>
    <row r="27" spans="1:25" ht="4.5" customHeight="1">
      <c r="A27" s="4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5" ht="15" customHeight="1">
      <c r="A28" s="191" t="s">
        <v>55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</row>
    <row r="29" spans="1:25">
      <c r="A29" s="181">
        <v>21</v>
      </c>
      <c r="B29" s="148" t="s">
        <v>56</v>
      </c>
      <c r="C29" s="147" t="s">
        <v>19</v>
      </c>
      <c r="D29" s="50">
        <v>6080911096.6300001</v>
      </c>
      <c r="E29" s="34">
        <f t="shared" ref="E29:E36" si="17">(D29/$K$76)</f>
        <v>1.0822049314179428E-3</v>
      </c>
      <c r="F29" s="40">
        <v>100</v>
      </c>
      <c r="G29" s="40">
        <v>100</v>
      </c>
      <c r="H29" s="35">
        <v>928</v>
      </c>
      <c r="I29" s="56">
        <v>0.15129999999999999</v>
      </c>
      <c r="J29" s="56">
        <v>0.15129999999999999</v>
      </c>
      <c r="K29" s="50">
        <v>6257630005.2299995</v>
      </c>
      <c r="L29" s="34">
        <f t="shared" ref="L29:L36" si="18">(K29/$K$76)</f>
        <v>1.1136551649968719E-3</v>
      </c>
      <c r="M29" s="40">
        <v>100</v>
      </c>
      <c r="N29" s="40">
        <v>100</v>
      </c>
      <c r="O29" s="35">
        <v>928</v>
      </c>
      <c r="P29" s="56">
        <v>0.14649999999999999</v>
      </c>
      <c r="Q29" s="56">
        <v>0.14649999999999999</v>
      </c>
      <c r="R29" s="61">
        <f>((K29-D29)/D29)</f>
        <v>2.9061255096779141E-2</v>
      </c>
      <c r="S29" s="61">
        <f>((N29-G29)/G29)</f>
        <v>0</v>
      </c>
      <c r="T29" s="61">
        <f>((O29-H29)/H29)</f>
        <v>0</v>
      </c>
      <c r="U29" s="61">
        <f>P29-I29</f>
        <v>-4.7999999999999987E-3</v>
      </c>
      <c r="V29" s="108">
        <f>Q29-J29</f>
        <v>-4.7999999999999987E-3</v>
      </c>
    </row>
    <row r="30" spans="1:25">
      <c r="A30" s="181">
        <v>22</v>
      </c>
      <c r="B30" s="148" t="s">
        <v>57</v>
      </c>
      <c r="C30" s="147" t="s">
        <v>58</v>
      </c>
      <c r="D30" s="50">
        <v>39338840966.769997</v>
      </c>
      <c r="E30" s="34">
        <f t="shared" si="17"/>
        <v>7.0010376757683856E-3</v>
      </c>
      <c r="F30" s="40">
        <v>100</v>
      </c>
      <c r="G30" s="40">
        <v>100</v>
      </c>
      <c r="H30" s="35">
        <v>4645</v>
      </c>
      <c r="I30" s="56">
        <v>0.168544</v>
      </c>
      <c r="J30" s="56">
        <v>0.168544</v>
      </c>
      <c r="K30" s="50">
        <v>39852604151.809998</v>
      </c>
      <c r="L30" s="34">
        <f t="shared" si="18"/>
        <v>7.0924708579998127E-3</v>
      </c>
      <c r="M30" s="40">
        <v>100</v>
      </c>
      <c r="N30" s="40">
        <v>100</v>
      </c>
      <c r="O30" s="35">
        <v>4692</v>
      </c>
      <c r="P30" s="56">
        <v>0.16945299999999999</v>
      </c>
      <c r="Q30" s="56">
        <v>0.16945299999999999</v>
      </c>
      <c r="R30" s="61">
        <f t="shared" ref="R30:R76" si="19">((K30-D30)/D30)</f>
        <v>1.3059947177243554E-2</v>
      </c>
      <c r="S30" s="61">
        <f t="shared" ref="S30:S76" si="20">((N30-G30)/G30)</f>
        <v>0</v>
      </c>
      <c r="T30" s="61">
        <f t="shared" ref="T30:T76" si="21">((O30-H30)/H30)</f>
        <v>1.0118406889128094E-2</v>
      </c>
      <c r="U30" s="62">
        <f t="shared" ref="U30:U76" si="22">P30-I30</f>
        <v>9.0899999999999315E-4</v>
      </c>
      <c r="V30" s="63">
        <f t="shared" ref="V30:V76" si="23">Q30-J30</f>
        <v>9.0899999999999315E-4</v>
      </c>
    </row>
    <row r="31" spans="1:25">
      <c r="A31" s="181">
        <v>23</v>
      </c>
      <c r="B31" s="148" t="s">
        <v>334</v>
      </c>
      <c r="C31" s="147" t="s">
        <v>333</v>
      </c>
      <c r="D31" s="50">
        <v>1814082630.1800001</v>
      </c>
      <c r="E31" s="34">
        <f t="shared" si="17"/>
        <v>3.2284786558850129E-4</v>
      </c>
      <c r="F31" s="40">
        <v>1</v>
      </c>
      <c r="G31" s="40">
        <v>1</v>
      </c>
      <c r="H31" s="35">
        <v>155</v>
      </c>
      <c r="I31" s="56">
        <v>0.1764</v>
      </c>
      <c r="J31" s="56">
        <v>0.1764</v>
      </c>
      <c r="K31" s="50">
        <v>1943768633.1199999</v>
      </c>
      <c r="L31" s="34">
        <f t="shared" si="18"/>
        <v>3.4592776754518816E-4</v>
      </c>
      <c r="M31" s="40">
        <v>1</v>
      </c>
      <c r="N31" s="40">
        <v>1</v>
      </c>
      <c r="O31" s="35">
        <v>157</v>
      </c>
      <c r="P31" s="56">
        <v>0.1711</v>
      </c>
      <c r="Q31" s="56">
        <v>0.1711</v>
      </c>
      <c r="R31" s="61">
        <f t="shared" ref="R31" si="24">((K31-D31)/D31)</f>
        <v>7.1488476204158297E-2</v>
      </c>
      <c r="S31" s="61">
        <f t="shared" ref="S31" si="25">((N31-G31)/G31)</f>
        <v>0</v>
      </c>
      <c r="T31" s="61">
        <f t="shared" ref="T31" si="26">((O31-H31)/H31)</f>
        <v>1.2903225806451613E-2</v>
      </c>
      <c r="U31" s="62">
        <f t="shared" ref="U31" si="27">P31-I31</f>
        <v>-5.2999999999999992E-3</v>
      </c>
      <c r="V31" s="63">
        <f t="shared" ref="V31" si="28">Q31-J31</f>
        <v>-5.2999999999999992E-3</v>
      </c>
    </row>
    <row r="32" spans="1:25">
      <c r="A32" s="181">
        <v>24</v>
      </c>
      <c r="B32" s="148" t="s">
        <v>59</v>
      </c>
      <c r="C32" s="147" t="s">
        <v>21</v>
      </c>
      <c r="D32" s="50">
        <v>3602488347.5</v>
      </c>
      <c r="E32" s="34">
        <f t="shared" si="17"/>
        <v>6.4112607355841305E-4</v>
      </c>
      <c r="F32" s="40">
        <v>100</v>
      </c>
      <c r="G32" s="40">
        <v>100</v>
      </c>
      <c r="H32" s="35">
        <v>2493</v>
      </c>
      <c r="I32" s="56">
        <v>0.1545</v>
      </c>
      <c r="J32" s="56">
        <v>0.1545</v>
      </c>
      <c r="K32" s="50">
        <v>3245857513.5799999</v>
      </c>
      <c r="L32" s="34">
        <f t="shared" si="18"/>
        <v>5.7765735299484373E-4</v>
      </c>
      <c r="M32" s="40">
        <v>100</v>
      </c>
      <c r="N32" s="40">
        <v>100</v>
      </c>
      <c r="O32" s="35">
        <v>2499</v>
      </c>
      <c r="P32" s="56">
        <v>0.15859999999999999</v>
      </c>
      <c r="Q32" s="56">
        <v>0.15859999999999999</v>
      </c>
      <c r="R32" s="61">
        <f t="shared" si="19"/>
        <v>-9.8995693953455616E-2</v>
      </c>
      <c r="S32" s="61">
        <f t="shared" si="20"/>
        <v>0</v>
      </c>
      <c r="T32" s="61">
        <f t="shared" si="21"/>
        <v>2.4067388688327317E-3</v>
      </c>
      <c r="U32" s="62">
        <f t="shared" si="22"/>
        <v>4.0999999999999925E-3</v>
      </c>
      <c r="V32" s="63">
        <f t="shared" si="23"/>
        <v>4.0999999999999925E-3</v>
      </c>
    </row>
    <row r="33" spans="1:22">
      <c r="A33" s="181">
        <v>25</v>
      </c>
      <c r="B33" s="148" t="s">
        <v>330</v>
      </c>
      <c r="C33" s="147" t="s">
        <v>331</v>
      </c>
      <c r="D33" s="50">
        <v>778748056.88999999</v>
      </c>
      <c r="E33" s="34">
        <v>0</v>
      </c>
      <c r="F33" s="40">
        <v>100</v>
      </c>
      <c r="G33" s="40">
        <v>100</v>
      </c>
      <c r="H33" s="35">
        <v>122</v>
      </c>
      <c r="I33" s="56">
        <v>0.14108100000000001</v>
      </c>
      <c r="J33" s="56">
        <v>0.14108100000000001</v>
      </c>
      <c r="K33" s="50">
        <v>859480656.88999999</v>
      </c>
      <c r="L33" s="34">
        <f t="shared" si="18"/>
        <v>1.5295967833836035E-4</v>
      </c>
      <c r="M33" s="40">
        <v>100</v>
      </c>
      <c r="N33" s="40">
        <v>100</v>
      </c>
      <c r="O33" s="35">
        <v>125</v>
      </c>
      <c r="P33" s="56">
        <v>0.14743700000000001</v>
      </c>
      <c r="Q33" s="56">
        <v>0.14743700000000001</v>
      </c>
      <c r="R33" s="61">
        <f t="shared" ref="R33" si="29">((K33-D33)/D33)</f>
        <v>0.10366972897808935</v>
      </c>
      <c r="S33" s="61">
        <f t="shared" ref="S33" si="30">((N33-G33)/G33)</f>
        <v>0</v>
      </c>
      <c r="T33" s="61">
        <f t="shared" ref="T33" si="31">((O33-H33)/H33)</f>
        <v>2.4590163934426229E-2</v>
      </c>
      <c r="U33" s="62">
        <f t="shared" ref="U33" si="32">P33-I33</f>
        <v>6.3560000000000005E-3</v>
      </c>
      <c r="V33" s="63">
        <f t="shared" ref="V33" si="33">Q33-J33</f>
        <v>6.3560000000000005E-3</v>
      </c>
    </row>
    <row r="34" spans="1:22">
      <c r="A34" s="181">
        <v>26</v>
      </c>
      <c r="B34" s="148" t="s">
        <v>60</v>
      </c>
      <c r="C34" s="147" t="s">
        <v>23</v>
      </c>
      <c r="D34" s="50">
        <v>404456616089.70001</v>
      </c>
      <c r="E34" s="34">
        <f t="shared" si="17"/>
        <v>7.198015848635908E-2</v>
      </c>
      <c r="F34" s="40">
        <v>1</v>
      </c>
      <c r="G34" s="40">
        <v>1</v>
      </c>
      <c r="H34" s="35">
        <v>82899</v>
      </c>
      <c r="I34" s="56">
        <v>0.17219999999999999</v>
      </c>
      <c r="J34" s="56">
        <v>0.17219999999999999</v>
      </c>
      <c r="K34" s="50">
        <v>404254192651.29999</v>
      </c>
      <c r="L34" s="34">
        <f t="shared" si="18"/>
        <v>7.1944133680242037E-2</v>
      </c>
      <c r="M34" s="40">
        <v>1</v>
      </c>
      <c r="N34" s="40">
        <v>1</v>
      </c>
      <c r="O34" s="35">
        <v>83260</v>
      </c>
      <c r="P34" s="56">
        <v>0.17050000000000001</v>
      </c>
      <c r="Q34" s="56">
        <v>0.17050000000000001</v>
      </c>
      <c r="R34" s="61">
        <f t="shared" si="19"/>
        <v>-5.004824506446722E-4</v>
      </c>
      <c r="S34" s="61">
        <f t="shared" si="20"/>
        <v>0</v>
      </c>
      <c r="T34" s="61">
        <f t="shared" si="21"/>
        <v>4.3546966790914245E-3</v>
      </c>
      <c r="U34" s="62">
        <f t="shared" si="22"/>
        <v>-1.6999999999999793E-3</v>
      </c>
      <c r="V34" s="63">
        <f t="shared" si="23"/>
        <v>-1.6999999999999793E-3</v>
      </c>
    </row>
    <row r="35" spans="1:22">
      <c r="A35" s="181">
        <v>27</v>
      </c>
      <c r="B35" s="148" t="s">
        <v>61</v>
      </c>
      <c r="C35" s="147" t="s">
        <v>62</v>
      </c>
      <c r="D35" s="50">
        <v>2363018964.21</v>
      </c>
      <c r="E35" s="34">
        <f t="shared" si="17"/>
        <v>4.2054072744451132E-4</v>
      </c>
      <c r="F35" s="40">
        <v>1</v>
      </c>
      <c r="G35" s="40">
        <v>1</v>
      </c>
      <c r="H35" s="35">
        <v>300</v>
      </c>
      <c r="I35" s="56">
        <v>0.17</v>
      </c>
      <c r="J35" s="56">
        <v>0.17</v>
      </c>
      <c r="K35" s="50">
        <v>2376439720.98</v>
      </c>
      <c r="L35" s="34">
        <f t="shared" si="18"/>
        <v>4.2292918682651146E-4</v>
      </c>
      <c r="M35" s="40">
        <v>1</v>
      </c>
      <c r="N35" s="40">
        <v>1</v>
      </c>
      <c r="O35" s="35">
        <v>597</v>
      </c>
      <c r="P35" s="56">
        <v>0.17</v>
      </c>
      <c r="Q35" s="56">
        <v>0.17</v>
      </c>
      <c r="R35" s="61">
        <f t="shared" si="19"/>
        <v>5.6794960062822785E-3</v>
      </c>
      <c r="S35" s="61">
        <f t="shared" si="20"/>
        <v>0</v>
      </c>
      <c r="T35" s="61">
        <f t="shared" si="21"/>
        <v>0.99</v>
      </c>
      <c r="U35" s="62">
        <f t="shared" si="22"/>
        <v>0</v>
      </c>
      <c r="V35" s="63">
        <f t="shared" si="23"/>
        <v>0</v>
      </c>
    </row>
    <row r="36" spans="1:22">
      <c r="A36" s="181">
        <v>28</v>
      </c>
      <c r="B36" s="148" t="s">
        <v>63</v>
      </c>
      <c r="C36" s="147" t="s">
        <v>25</v>
      </c>
      <c r="D36" s="50">
        <v>172144431085.14001</v>
      </c>
      <c r="E36" s="34">
        <f t="shared" si="17"/>
        <v>3.0636124961556904E-2</v>
      </c>
      <c r="F36" s="40">
        <v>1</v>
      </c>
      <c r="G36" s="40">
        <v>1</v>
      </c>
      <c r="H36" s="35">
        <v>39761</v>
      </c>
      <c r="I36" s="56">
        <v>0.15659999999999999</v>
      </c>
      <c r="J36" s="56">
        <v>0.15659999999999999</v>
      </c>
      <c r="K36" s="50">
        <v>174693857938.63</v>
      </c>
      <c r="L36" s="34">
        <f t="shared" si="18"/>
        <v>3.1089840246864269E-2</v>
      </c>
      <c r="M36" s="40">
        <v>1</v>
      </c>
      <c r="N36" s="40">
        <v>1</v>
      </c>
      <c r="O36" s="35">
        <v>39872</v>
      </c>
      <c r="P36" s="56">
        <v>0.153</v>
      </c>
      <c r="Q36" s="56">
        <v>0.153</v>
      </c>
      <c r="R36" s="61">
        <f t="shared" si="19"/>
        <v>1.480981311692321E-2</v>
      </c>
      <c r="S36" s="61">
        <f t="shared" si="20"/>
        <v>0</v>
      </c>
      <c r="T36" s="61">
        <f t="shared" si="21"/>
        <v>2.7916802897311435E-3</v>
      </c>
      <c r="U36" s="62">
        <f t="shared" si="22"/>
        <v>-3.5999999999999921E-3</v>
      </c>
      <c r="V36" s="63">
        <f t="shared" si="23"/>
        <v>-3.5999999999999921E-3</v>
      </c>
    </row>
    <row r="37" spans="1:22">
      <c r="A37" s="181">
        <v>29</v>
      </c>
      <c r="B37" s="148" t="s">
        <v>64</v>
      </c>
      <c r="C37" s="147" t="s">
        <v>27</v>
      </c>
      <c r="D37" s="33">
        <v>22458477263.360001</v>
      </c>
      <c r="E37" s="34">
        <f t="shared" ref="E37" si="34">(D37/$D$26)</f>
        <v>0.12749381448356803</v>
      </c>
      <c r="F37" s="33">
        <v>1</v>
      </c>
      <c r="G37" s="33">
        <v>1</v>
      </c>
      <c r="H37" s="35">
        <v>1796</v>
      </c>
      <c r="I37" s="56">
        <v>0.1691</v>
      </c>
      <c r="J37" s="56">
        <v>0.1691</v>
      </c>
      <c r="K37" s="33">
        <v>22877878873.360001</v>
      </c>
      <c r="L37" s="34">
        <f t="shared" ref="L37" si="35">(K37/$K$26)</f>
        <v>0.12443951788408843</v>
      </c>
      <c r="M37" s="33">
        <v>1</v>
      </c>
      <c r="N37" s="33">
        <v>1</v>
      </c>
      <c r="O37" s="35">
        <v>1803</v>
      </c>
      <c r="P37" s="56">
        <v>0.17499999999999999</v>
      </c>
      <c r="Q37" s="56">
        <v>0.17499999999999999</v>
      </c>
      <c r="R37" s="61">
        <f t="shared" si="19"/>
        <v>1.8674534568033023E-2</v>
      </c>
      <c r="S37" s="61">
        <f t="shared" si="20"/>
        <v>0</v>
      </c>
      <c r="T37" s="61">
        <f t="shared" si="21"/>
        <v>3.8975501113585748E-3</v>
      </c>
      <c r="U37" s="62">
        <f t="shared" si="22"/>
        <v>5.8999999999999886E-3</v>
      </c>
      <c r="V37" s="63">
        <f t="shared" si="23"/>
        <v>5.8999999999999886E-3</v>
      </c>
    </row>
    <row r="38" spans="1:22" ht="15" customHeight="1">
      <c r="A38" s="181">
        <v>30</v>
      </c>
      <c r="B38" s="148" t="s">
        <v>65</v>
      </c>
      <c r="C38" s="147" t="s">
        <v>46</v>
      </c>
      <c r="D38" s="50">
        <v>41042167022.07</v>
      </c>
      <c r="E38" s="34">
        <f>(D38/$K$76)</f>
        <v>7.3041744635895245E-3</v>
      </c>
      <c r="F38" s="40">
        <v>100</v>
      </c>
      <c r="G38" s="40">
        <v>100</v>
      </c>
      <c r="H38" s="35">
        <v>14256</v>
      </c>
      <c r="I38" s="56">
        <v>0.17580000000000001</v>
      </c>
      <c r="J38" s="56">
        <v>0.17580000000000001</v>
      </c>
      <c r="K38" s="50">
        <v>39719219993.540001</v>
      </c>
      <c r="L38" s="34">
        <f t="shared" ref="L38:L52" si="36">(K38/$K$76)</f>
        <v>7.0687328043497902E-3</v>
      </c>
      <c r="M38" s="40">
        <v>100</v>
      </c>
      <c r="N38" s="40">
        <v>100</v>
      </c>
      <c r="O38" s="35">
        <v>14499</v>
      </c>
      <c r="P38" s="56">
        <v>0.17680000000000001</v>
      </c>
      <c r="Q38" s="56">
        <v>0.17680000000000001</v>
      </c>
      <c r="R38" s="61">
        <f t="shared" si="19"/>
        <v>-3.2233849343739518E-2</v>
      </c>
      <c r="S38" s="61">
        <f t="shared" si="20"/>
        <v>0</v>
      </c>
      <c r="T38" s="61">
        <f t="shared" si="21"/>
        <v>1.7045454545454544E-2</v>
      </c>
      <c r="U38" s="62">
        <f t="shared" si="22"/>
        <v>1.0000000000000009E-3</v>
      </c>
      <c r="V38" s="63">
        <f t="shared" si="23"/>
        <v>1.0000000000000009E-3</v>
      </c>
    </row>
    <row r="39" spans="1:22" ht="15" customHeight="1">
      <c r="A39" s="181">
        <v>31</v>
      </c>
      <c r="B39" s="148" t="s">
        <v>66</v>
      </c>
      <c r="C39" s="147" t="s">
        <v>67</v>
      </c>
      <c r="D39" s="50">
        <v>3657770757.8899999</v>
      </c>
      <c r="E39" s="34">
        <f>(D39/$K$76)</f>
        <v>6.5096454943711546E-4</v>
      </c>
      <c r="F39" s="40">
        <v>1</v>
      </c>
      <c r="G39" s="40">
        <v>1</v>
      </c>
      <c r="H39" s="35">
        <v>704</v>
      </c>
      <c r="I39" s="56">
        <v>0.16400000000000001</v>
      </c>
      <c r="J39" s="56">
        <v>0.16400000000000001</v>
      </c>
      <c r="K39" s="50">
        <v>3792926456.8899999</v>
      </c>
      <c r="L39" s="34">
        <f t="shared" si="36"/>
        <v>6.7501787987440779E-4</v>
      </c>
      <c r="M39" s="40">
        <v>1</v>
      </c>
      <c r="N39" s="40">
        <v>1</v>
      </c>
      <c r="O39" s="35">
        <v>708</v>
      </c>
      <c r="P39" s="56">
        <v>0.15</v>
      </c>
      <c r="Q39" s="56">
        <v>0.15</v>
      </c>
      <c r="R39" s="61">
        <f t="shared" si="19"/>
        <v>3.695029239010187E-2</v>
      </c>
      <c r="S39" s="61">
        <f t="shared" si="20"/>
        <v>0</v>
      </c>
      <c r="T39" s="61">
        <f t="shared" si="21"/>
        <v>5.681818181818182E-3</v>
      </c>
      <c r="U39" s="62">
        <f t="shared" si="22"/>
        <v>-1.4000000000000012E-2</v>
      </c>
      <c r="V39" s="63">
        <f t="shared" si="23"/>
        <v>-1.4000000000000012E-2</v>
      </c>
    </row>
    <row r="40" spans="1:22">
      <c r="A40" s="181">
        <v>32</v>
      </c>
      <c r="B40" s="148" t="s">
        <v>68</v>
      </c>
      <c r="C40" s="147" t="s">
        <v>69</v>
      </c>
      <c r="D40" s="50">
        <v>97668701462.190002</v>
      </c>
      <c r="E40" s="34">
        <f>(D40/$K$76)</f>
        <v>1.7381860824465224E-2</v>
      </c>
      <c r="F40" s="40">
        <v>100</v>
      </c>
      <c r="G40" s="40">
        <v>100</v>
      </c>
      <c r="H40" s="35">
        <v>6019</v>
      </c>
      <c r="I40" s="56">
        <v>0.1605</v>
      </c>
      <c r="J40" s="56">
        <v>0.1605</v>
      </c>
      <c r="K40" s="50">
        <v>98629483286.360001</v>
      </c>
      <c r="L40" s="34">
        <f t="shared" si="36"/>
        <v>1.7552848824718956E-2</v>
      </c>
      <c r="M40" s="40">
        <v>100</v>
      </c>
      <c r="N40" s="40">
        <v>100</v>
      </c>
      <c r="O40" s="35">
        <v>6073</v>
      </c>
      <c r="P40" s="56">
        <v>0.15989999999999999</v>
      </c>
      <c r="Q40" s="56">
        <v>0.15989999999999999</v>
      </c>
      <c r="R40" s="61">
        <f t="shared" si="19"/>
        <v>9.8371516134259339E-3</v>
      </c>
      <c r="S40" s="61">
        <f t="shared" si="20"/>
        <v>0</v>
      </c>
      <c r="T40" s="61">
        <f t="shared" si="21"/>
        <v>8.9715899651104832E-3</v>
      </c>
      <c r="U40" s="62">
        <f t="shared" si="22"/>
        <v>-6.0000000000001719E-4</v>
      </c>
      <c r="V40" s="63">
        <f t="shared" si="23"/>
        <v>-6.0000000000001719E-4</v>
      </c>
    </row>
    <row r="41" spans="1:22">
      <c r="A41" s="181">
        <v>33</v>
      </c>
      <c r="B41" s="148" t="s">
        <v>70</v>
      </c>
      <c r="C41" s="147" t="s">
        <v>71</v>
      </c>
      <c r="D41" s="50">
        <v>43173065598.309998</v>
      </c>
      <c r="E41" s="34">
        <f>(D41/$K$76)</f>
        <v>7.6834052911601506E-3</v>
      </c>
      <c r="F41" s="40">
        <v>100</v>
      </c>
      <c r="G41" s="40">
        <v>100</v>
      </c>
      <c r="H41" s="35">
        <v>5834</v>
      </c>
      <c r="I41" s="56">
        <v>0.15540000000000001</v>
      </c>
      <c r="J41" s="56">
        <v>0.15540000000000001</v>
      </c>
      <c r="K41" s="50">
        <v>43526502454.5</v>
      </c>
      <c r="L41" s="34">
        <f>(K41/$K$76)</f>
        <v>7.7463055872894013E-3</v>
      </c>
      <c r="M41" s="40">
        <v>100</v>
      </c>
      <c r="N41" s="40">
        <v>100</v>
      </c>
      <c r="O41" s="35">
        <v>5849</v>
      </c>
      <c r="P41" s="56">
        <v>0.1527</v>
      </c>
      <c r="Q41" s="56">
        <v>0.1527</v>
      </c>
      <c r="R41" s="61">
        <f t="shared" si="19"/>
        <v>8.1865128475805456E-3</v>
      </c>
      <c r="S41" s="61">
        <f t="shared" si="20"/>
        <v>0</v>
      </c>
      <c r="T41" s="61">
        <f t="shared" si="21"/>
        <v>2.5711347274597189E-3</v>
      </c>
      <c r="U41" s="62">
        <f t="shared" si="22"/>
        <v>-2.7000000000000079E-3</v>
      </c>
      <c r="V41" s="63">
        <f t="shared" si="23"/>
        <v>-2.7000000000000079E-3</v>
      </c>
    </row>
    <row r="42" spans="1:22">
      <c r="A42" s="181">
        <v>34</v>
      </c>
      <c r="B42" s="148" t="s">
        <v>72</v>
      </c>
      <c r="C42" s="147" t="s">
        <v>73</v>
      </c>
      <c r="D42" s="50">
        <v>68193069339.18</v>
      </c>
      <c r="E42" s="34">
        <f>(D42/$K$76)</f>
        <v>1.2136154394410592E-2</v>
      </c>
      <c r="F42" s="40">
        <v>1</v>
      </c>
      <c r="G42" s="40">
        <v>1</v>
      </c>
      <c r="H42" s="35">
        <v>16200</v>
      </c>
      <c r="I42" s="56">
        <v>0.16830000000000001</v>
      </c>
      <c r="J42" s="56">
        <v>0.16830000000000001</v>
      </c>
      <c r="K42" s="50">
        <v>68362002045.480003</v>
      </c>
      <c r="L42" s="34">
        <f t="shared" si="36"/>
        <v>1.216621893653767E-2</v>
      </c>
      <c r="M42" s="40">
        <v>1</v>
      </c>
      <c r="N42" s="40">
        <v>1</v>
      </c>
      <c r="O42" s="35">
        <v>16466</v>
      </c>
      <c r="P42" s="56">
        <v>0.16800000000000001</v>
      </c>
      <c r="Q42" s="56">
        <v>0.16800000000000001</v>
      </c>
      <c r="R42" s="61">
        <f t="shared" si="19"/>
        <v>2.4772709006506558E-3</v>
      </c>
      <c r="S42" s="61">
        <f t="shared" si="20"/>
        <v>0</v>
      </c>
      <c r="T42" s="61">
        <f t="shared" si="21"/>
        <v>1.6419753086419752E-2</v>
      </c>
      <c r="U42" s="62">
        <f t="shared" si="22"/>
        <v>-2.9999999999999472E-4</v>
      </c>
      <c r="V42" s="63">
        <f t="shared" si="23"/>
        <v>-2.9999999999999472E-4</v>
      </c>
    </row>
    <row r="43" spans="1:22">
      <c r="A43" s="181">
        <v>35</v>
      </c>
      <c r="B43" s="148" t="s">
        <v>74</v>
      </c>
      <c r="C43" s="147" t="s">
        <v>75</v>
      </c>
      <c r="D43" s="50">
        <v>1463218275.8499999</v>
      </c>
      <c r="E43" s="34">
        <v>0</v>
      </c>
      <c r="F43" s="40">
        <v>1000</v>
      </c>
      <c r="G43" s="40">
        <v>1000</v>
      </c>
      <c r="H43" s="35">
        <v>102</v>
      </c>
      <c r="I43" s="56">
        <v>0.1789</v>
      </c>
      <c r="J43" s="56">
        <v>0.1789</v>
      </c>
      <c r="K43" s="50">
        <v>1463218275.8499999</v>
      </c>
      <c r="L43" s="34">
        <f t="shared" si="36"/>
        <v>2.6040539134724331E-4</v>
      </c>
      <c r="M43" s="40">
        <v>1000</v>
      </c>
      <c r="N43" s="40">
        <v>1000</v>
      </c>
      <c r="O43" s="35">
        <v>110</v>
      </c>
      <c r="P43" s="56">
        <v>0.19600000000000001</v>
      </c>
      <c r="Q43" s="56">
        <v>0.19600000000000001</v>
      </c>
      <c r="R43" s="61">
        <f t="shared" si="19"/>
        <v>0</v>
      </c>
      <c r="S43" s="61">
        <f t="shared" si="20"/>
        <v>0</v>
      </c>
      <c r="T43" s="61">
        <f t="shared" si="21"/>
        <v>7.8431372549019607E-2</v>
      </c>
      <c r="U43" s="62">
        <f t="shared" si="22"/>
        <v>1.7100000000000004E-2</v>
      </c>
      <c r="V43" s="63">
        <f t="shared" si="23"/>
        <v>1.7100000000000004E-2</v>
      </c>
    </row>
    <row r="44" spans="1:22">
      <c r="A44" s="181">
        <v>36</v>
      </c>
      <c r="B44" s="148" t="s">
        <v>76</v>
      </c>
      <c r="C44" s="147" t="s">
        <v>77</v>
      </c>
      <c r="D44" s="50">
        <v>87864516652.710007</v>
      </c>
      <c r="E44" s="34">
        <f t="shared" ref="E44:E52" si="37">(D44/$K$76)</f>
        <v>1.5637033942317219E-2</v>
      </c>
      <c r="F44" s="51">
        <v>100</v>
      </c>
      <c r="G44" s="51">
        <v>100</v>
      </c>
      <c r="H44" s="35">
        <v>4863</v>
      </c>
      <c r="I44" s="56">
        <v>0.15959999999999999</v>
      </c>
      <c r="J44" s="56">
        <v>0.15959999999999999</v>
      </c>
      <c r="K44" s="50">
        <v>87017607390.690002</v>
      </c>
      <c r="L44" s="34">
        <f t="shared" si="36"/>
        <v>1.5486311564493026E-2</v>
      </c>
      <c r="M44" s="51">
        <v>100</v>
      </c>
      <c r="N44" s="51">
        <v>100</v>
      </c>
      <c r="O44" s="35">
        <v>4863</v>
      </c>
      <c r="P44" s="56">
        <v>0.1515</v>
      </c>
      <c r="Q44" s="56">
        <v>0.1515</v>
      </c>
      <c r="R44" s="61">
        <f t="shared" si="19"/>
        <v>-9.6388086372507578E-3</v>
      </c>
      <c r="S44" s="61">
        <f t="shared" si="20"/>
        <v>0</v>
      </c>
      <c r="T44" s="61">
        <f t="shared" si="21"/>
        <v>0</v>
      </c>
      <c r="U44" s="62">
        <f t="shared" si="22"/>
        <v>-8.0999999999999961E-3</v>
      </c>
      <c r="V44" s="63">
        <f t="shared" si="23"/>
        <v>-8.0999999999999961E-3</v>
      </c>
    </row>
    <row r="45" spans="1:22">
      <c r="A45" s="181">
        <v>37</v>
      </c>
      <c r="B45" s="148" t="s">
        <v>78</v>
      </c>
      <c r="C45" s="147" t="s">
        <v>77</v>
      </c>
      <c r="D45" s="50">
        <v>10423861898.18</v>
      </c>
      <c r="E45" s="34">
        <f t="shared" si="37"/>
        <v>1.8551093037491885E-3</v>
      </c>
      <c r="F45" s="51">
        <v>1000000</v>
      </c>
      <c r="G45" s="51">
        <v>1000000</v>
      </c>
      <c r="H45" s="35">
        <v>46</v>
      </c>
      <c r="I45" s="56">
        <v>0.16109999999999999</v>
      </c>
      <c r="J45" s="56">
        <v>0.16109999999999999</v>
      </c>
      <c r="K45" s="50">
        <v>10435065566.530001</v>
      </c>
      <c r="L45" s="34">
        <f t="shared" si="36"/>
        <v>1.85710319330713E-3</v>
      </c>
      <c r="M45" s="51">
        <v>1000000</v>
      </c>
      <c r="N45" s="51">
        <v>1000000</v>
      </c>
      <c r="O45" s="35">
        <v>46</v>
      </c>
      <c r="P45" s="56">
        <v>0.15579999999999999</v>
      </c>
      <c r="Q45" s="56">
        <v>0.15579999999999999</v>
      </c>
      <c r="R45" s="61">
        <f t="shared" si="19"/>
        <v>1.0748097451249363E-3</v>
      </c>
      <c r="S45" s="61">
        <f t="shared" si="20"/>
        <v>0</v>
      </c>
      <c r="T45" s="61">
        <f t="shared" si="21"/>
        <v>0</v>
      </c>
      <c r="U45" s="62">
        <f t="shared" si="22"/>
        <v>-5.2999999999999992E-3</v>
      </c>
      <c r="V45" s="63">
        <f t="shared" si="23"/>
        <v>-5.2999999999999992E-3</v>
      </c>
    </row>
    <row r="46" spans="1:22">
      <c r="A46" s="181">
        <v>38</v>
      </c>
      <c r="B46" s="148" t="s">
        <v>79</v>
      </c>
      <c r="C46" s="147" t="s">
        <v>80</v>
      </c>
      <c r="D46" s="50">
        <v>8100779954.1499996</v>
      </c>
      <c r="E46" s="34">
        <f t="shared" si="37"/>
        <v>1.4416760704775299E-3</v>
      </c>
      <c r="F46" s="40">
        <v>1</v>
      </c>
      <c r="G46" s="40">
        <v>1</v>
      </c>
      <c r="H46" s="35">
        <v>1239</v>
      </c>
      <c r="I46" s="56">
        <v>0.1842</v>
      </c>
      <c r="J46" s="56">
        <v>0.1842</v>
      </c>
      <c r="K46" s="50">
        <v>8174310698.21</v>
      </c>
      <c r="L46" s="34">
        <f t="shared" si="36"/>
        <v>1.454762157836489E-3</v>
      </c>
      <c r="M46" s="40">
        <v>1</v>
      </c>
      <c r="N46" s="40">
        <v>1</v>
      </c>
      <c r="O46" s="35">
        <v>1230</v>
      </c>
      <c r="P46" s="56">
        <v>0.1749</v>
      </c>
      <c r="Q46" s="56">
        <v>0.1749</v>
      </c>
      <c r="R46" s="61">
        <f t="shared" si="19"/>
        <v>9.0769956073588811E-3</v>
      </c>
      <c r="S46" s="61">
        <f t="shared" si="20"/>
        <v>0</v>
      </c>
      <c r="T46" s="61">
        <f t="shared" si="21"/>
        <v>-7.2639225181598066E-3</v>
      </c>
      <c r="U46" s="62">
        <f t="shared" si="22"/>
        <v>-9.3000000000000027E-3</v>
      </c>
      <c r="V46" s="63">
        <f t="shared" si="23"/>
        <v>-9.3000000000000027E-3</v>
      </c>
    </row>
    <row r="47" spans="1:22">
      <c r="A47" s="181">
        <v>39</v>
      </c>
      <c r="B47" s="148" t="s">
        <v>81</v>
      </c>
      <c r="C47" s="147" t="s">
        <v>82</v>
      </c>
      <c r="D47" s="50">
        <v>748671698003.03003</v>
      </c>
      <c r="E47" s="34">
        <f t="shared" si="37"/>
        <v>0.13323927791691284</v>
      </c>
      <c r="F47" s="40">
        <v>100</v>
      </c>
      <c r="G47" s="40">
        <v>100</v>
      </c>
      <c r="H47" s="35">
        <v>40700</v>
      </c>
      <c r="I47" s="56">
        <v>0.16059999999999999</v>
      </c>
      <c r="J47" s="56">
        <v>0.16059999999999999</v>
      </c>
      <c r="K47" s="50">
        <v>749519324502.40002</v>
      </c>
      <c r="L47" s="34">
        <f t="shared" si="36"/>
        <v>0.13339012793972063</v>
      </c>
      <c r="M47" s="40">
        <v>100</v>
      </c>
      <c r="N47" s="40">
        <v>100</v>
      </c>
      <c r="O47" s="35">
        <v>40858</v>
      </c>
      <c r="P47" s="56">
        <v>0.15909999999999999</v>
      </c>
      <c r="Q47" s="56">
        <v>0.15909999999999999</v>
      </c>
      <c r="R47" s="61">
        <f t="shared" si="19"/>
        <v>1.1321738241620624E-3</v>
      </c>
      <c r="S47" s="61">
        <f t="shared" si="20"/>
        <v>0</v>
      </c>
      <c r="T47" s="61">
        <f t="shared" si="21"/>
        <v>3.8820638820638823E-3</v>
      </c>
      <c r="U47" s="62">
        <f t="shared" si="22"/>
        <v>-1.5000000000000013E-3</v>
      </c>
      <c r="V47" s="63">
        <f t="shared" si="23"/>
        <v>-1.5000000000000013E-3</v>
      </c>
    </row>
    <row r="48" spans="1:22">
      <c r="A48" s="181">
        <v>40</v>
      </c>
      <c r="B48" s="148" t="s">
        <v>83</v>
      </c>
      <c r="C48" s="147" t="s">
        <v>84</v>
      </c>
      <c r="D48" s="54">
        <v>5434661401.9200001</v>
      </c>
      <c r="E48" s="34">
        <f t="shared" si="37"/>
        <v>9.6719344787066794E-4</v>
      </c>
      <c r="F48" s="40">
        <v>1</v>
      </c>
      <c r="G48" s="40">
        <v>1</v>
      </c>
      <c r="H48" s="52">
        <v>2215</v>
      </c>
      <c r="I48" s="59">
        <v>0.17499999999999999</v>
      </c>
      <c r="J48" s="59">
        <v>0.17499999999999999</v>
      </c>
      <c r="K48" s="54">
        <v>5956675279.9899998</v>
      </c>
      <c r="L48" s="34">
        <f t="shared" si="36"/>
        <v>1.0600949858374105E-3</v>
      </c>
      <c r="M48" s="40">
        <v>1</v>
      </c>
      <c r="N48" s="40">
        <v>1</v>
      </c>
      <c r="O48" s="52">
        <v>2232</v>
      </c>
      <c r="P48" s="59">
        <v>0.1789</v>
      </c>
      <c r="Q48" s="59">
        <v>0.1789</v>
      </c>
      <c r="R48" s="61">
        <f t="shared" si="19"/>
        <v>9.605269573658784E-2</v>
      </c>
      <c r="S48" s="61">
        <f t="shared" si="20"/>
        <v>0</v>
      </c>
      <c r="T48" s="61">
        <f t="shared" si="21"/>
        <v>7.6749435665914223E-3</v>
      </c>
      <c r="U48" s="62">
        <f t="shared" si="22"/>
        <v>3.9000000000000146E-3</v>
      </c>
      <c r="V48" s="63">
        <f t="shared" si="23"/>
        <v>3.9000000000000146E-3</v>
      </c>
    </row>
    <row r="49" spans="1:22">
      <c r="A49" s="181">
        <v>41</v>
      </c>
      <c r="B49" s="148" t="s">
        <v>85</v>
      </c>
      <c r="C49" s="147" t="s">
        <v>86</v>
      </c>
      <c r="D49" s="50">
        <v>4606020815.5799999</v>
      </c>
      <c r="E49" s="34">
        <f t="shared" si="37"/>
        <v>8.1972230174468994E-4</v>
      </c>
      <c r="F49" s="40">
        <v>1</v>
      </c>
      <c r="G49" s="40">
        <v>1</v>
      </c>
      <c r="H49" s="52">
        <v>761</v>
      </c>
      <c r="I49" s="59">
        <v>0.16</v>
      </c>
      <c r="J49" s="59">
        <v>0.16</v>
      </c>
      <c r="K49" s="50">
        <v>4715511151.7600002</v>
      </c>
      <c r="L49" s="34">
        <f>(K49/$K$76)</f>
        <v>8.3920803009586941E-4</v>
      </c>
      <c r="M49" s="40">
        <v>1</v>
      </c>
      <c r="N49" s="40">
        <v>1</v>
      </c>
      <c r="O49" s="52">
        <v>775</v>
      </c>
      <c r="P49" s="59">
        <v>0.16</v>
      </c>
      <c r="Q49" s="59">
        <v>0.16</v>
      </c>
      <c r="R49" s="61">
        <f t="shared" si="19"/>
        <v>2.377113360183828E-2</v>
      </c>
      <c r="S49" s="61">
        <f t="shared" si="20"/>
        <v>0</v>
      </c>
      <c r="T49" s="61">
        <f t="shared" si="21"/>
        <v>1.8396846254927726E-2</v>
      </c>
      <c r="U49" s="62">
        <f t="shared" si="22"/>
        <v>0</v>
      </c>
      <c r="V49" s="63">
        <f t="shared" si="23"/>
        <v>0</v>
      </c>
    </row>
    <row r="50" spans="1:22">
      <c r="A50" s="181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1.512546070819786E-6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8498998.5899999999</v>
      </c>
      <c r="L50" s="34">
        <f t="shared" si="36"/>
        <v>1.512546070819786E-6</v>
      </c>
      <c r="M50" s="40">
        <v>1</v>
      </c>
      <c r="N50" s="40">
        <v>1</v>
      </c>
      <c r="O50" s="52">
        <v>24</v>
      </c>
      <c r="P50" s="59">
        <v>0.105</v>
      </c>
      <c r="Q50" s="59">
        <v>0.105</v>
      </c>
      <c r="R50" s="61">
        <f t="shared" si="19"/>
        <v>0</v>
      </c>
      <c r="S50" s="61">
        <f t="shared" si="20"/>
        <v>0</v>
      </c>
      <c r="T50" s="61">
        <f t="shared" si="21"/>
        <v>0</v>
      </c>
      <c r="U50" s="62">
        <f t="shared" si="22"/>
        <v>0</v>
      </c>
      <c r="V50" s="63">
        <f t="shared" si="23"/>
        <v>0</v>
      </c>
    </row>
    <row r="51" spans="1:22">
      <c r="A51" s="181">
        <v>43</v>
      </c>
      <c r="B51" s="148" t="s">
        <v>89</v>
      </c>
      <c r="C51" s="147" t="s">
        <v>90</v>
      </c>
      <c r="D51" s="50">
        <v>2044788001.95</v>
      </c>
      <c r="E51" s="34">
        <f t="shared" si="37"/>
        <v>3.6390593847703104E-4</v>
      </c>
      <c r="F51" s="40">
        <v>10</v>
      </c>
      <c r="G51" s="40">
        <v>10</v>
      </c>
      <c r="H51" s="35">
        <v>559</v>
      </c>
      <c r="I51" s="56">
        <v>0.1686</v>
      </c>
      <c r="J51" s="56">
        <v>0.1686</v>
      </c>
      <c r="K51" s="50">
        <v>1907646082.23</v>
      </c>
      <c r="L51" s="34">
        <f t="shared" si="36"/>
        <v>3.394991251777281E-4</v>
      </c>
      <c r="M51" s="40">
        <v>10</v>
      </c>
      <c r="N51" s="40">
        <v>10</v>
      </c>
      <c r="O51" s="35">
        <v>561</v>
      </c>
      <c r="P51" s="56">
        <v>0.161</v>
      </c>
      <c r="Q51" s="56">
        <v>0.161</v>
      </c>
      <c r="R51" s="61">
        <f t="shared" si="19"/>
        <v>-6.70690162448212E-2</v>
      </c>
      <c r="S51" s="61">
        <f t="shared" si="20"/>
        <v>0</v>
      </c>
      <c r="T51" s="61">
        <f t="shared" si="21"/>
        <v>3.5778175313059034E-3</v>
      </c>
      <c r="U51" s="62">
        <f t="shared" si="22"/>
        <v>-7.5999999999999956E-3</v>
      </c>
      <c r="V51" s="63">
        <f t="shared" si="23"/>
        <v>-7.5999999999999956E-3</v>
      </c>
    </row>
    <row r="52" spans="1:22">
      <c r="A52" s="181">
        <v>44</v>
      </c>
      <c r="B52" s="148" t="s">
        <v>91</v>
      </c>
      <c r="C52" s="147" t="s">
        <v>92</v>
      </c>
      <c r="D52" s="50">
        <v>12325856073.93</v>
      </c>
      <c r="E52" s="34">
        <f t="shared" si="37"/>
        <v>2.1936025729018286E-3</v>
      </c>
      <c r="F52" s="40">
        <v>100</v>
      </c>
      <c r="G52" s="40">
        <v>100</v>
      </c>
      <c r="H52" s="35">
        <v>1056</v>
      </c>
      <c r="I52" s="56">
        <v>0.18679999999999999</v>
      </c>
      <c r="J52" s="56">
        <v>0.18679999999999999</v>
      </c>
      <c r="K52" s="50">
        <v>12501339817.25</v>
      </c>
      <c r="L52" s="34">
        <f t="shared" si="36"/>
        <v>2.2248329871254195E-3</v>
      </c>
      <c r="M52" s="40">
        <v>100</v>
      </c>
      <c r="N52" s="40">
        <v>100</v>
      </c>
      <c r="O52" s="35">
        <v>1063</v>
      </c>
      <c r="P52" s="56">
        <v>0.18410000000000001</v>
      </c>
      <c r="Q52" s="56">
        <v>0.18410000000000001</v>
      </c>
      <c r="R52" s="61">
        <f t="shared" si="19"/>
        <v>1.4237043031125392E-2</v>
      </c>
      <c r="S52" s="61">
        <f t="shared" si="20"/>
        <v>0</v>
      </c>
      <c r="T52" s="61">
        <f t="shared" si="21"/>
        <v>6.628787878787879E-3</v>
      </c>
      <c r="U52" s="62">
        <f t="shared" si="22"/>
        <v>-2.6999999999999802E-3</v>
      </c>
      <c r="V52" s="63">
        <f t="shared" si="23"/>
        <v>-2.6999999999999802E-3</v>
      </c>
    </row>
    <row r="53" spans="1:22">
      <c r="A53" s="181">
        <v>45</v>
      </c>
      <c r="B53" s="148" t="s">
        <v>93</v>
      </c>
      <c r="C53" s="148" t="s">
        <v>94</v>
      </c>
      <c r="D53" s="53">
        <v>229436653.90000001</v>
      </c>
      <c r="E53" s="34">
        <v>0</v>
      </c>
      <c r="F53" s="33">
        <v>1</v>
      </c>
      <c r="G53" s="33">
        <v>1</v>
      </c>
      <c r="H53" s="35">
        <v>144</v>
      </c>
      <c r="I53" s="56">
        <v>0.14660000000000001</v>
      </c>
      <c r="J53" s="56">
        <v>0.14660000000000001</v>
      </c>
      <c r="K53" s="53">
        <v>129497746.48</v>
      </c>
      <c r="L53" s="60">
        <f>(K53/$K$204)</f>
        <v>1.0342964113351928E-3</v>
      </c>
      <c r="M53" s="33">
        <v>1</v>
      </c>
      <c r="N53" s="33">
        <v>1</v>
      </c>
      <c r="O53" s="35">
        <v>147</v>
      </c>
      <c r="P53" s="56">
        <v>0.1477</v>
      </c>
      <c r="Q53" s="56">
        <v>0.1477</v>
      </c>
      <c r="R53" s="62">
        <f t="shared" si="19"/>
        <v>-0.43558387782084018</v>
      </c>
      <c r="S53" s="62">
        <f t="shared" si="20"/>
        <v>0</v>
      </c>
      <c r="T53" s="62">
        <f t="shared" si="21"/>
        <v>2.0833333333333332E-2</v>
      </c>
      <c r="U53" s="62">
        <f t="shared" si="22"/>
        <v>1.0999999999999899E-3</v>
      </c>
      <c r="V53" s="63">
        <f t="shared" si="23"/>
        <v>1.0999999999999899E-3</v>
      </c>
    </row>
    <row r="54" spans="1:22">
      <c r="A54" s="181">
        <v>46</v>
      </c>
      <c r="B54" s="148" t="s">
        <v>95</v>
      </c>
      <c r="C54" s="147" t="s">
        <v>36</v>
      </c>
      <c r="D54" s="50">
        <v>2341582415.6900001</v>
      </c>
      <c r="E54" s="34">
        <f t="shared" ref="E54:E75" si="38">(D54/$K$76)</f>
        <v>4.1672571713564813E-4</v>
      </c>
      <c r="F54" s="40">
        <v>100</v>
      </c>
      <c r="G54" s="40">
        <v>100</v>
      </c>
      <c r="H54" s="35">
        <v>8983</v>
      </c>
      <c r="I54" s="56">
        <v>0.14510000000000001</v>
      </c>
      <c r="J54" s="56">
        <v>0.14510000000000001</v>
      </c>
      <c r="K54" s="50">
        <v>2393289812.6300001</v>
      </c>
      <c r="L54" s="34">
        <f t="shared" ref="L54:L67" si="39">(K54/$K$76)</f>
        <v>4.2592795658135627E-4</v>
      </c>
      <c r="M54" s="40">
        <v>100</v>
      </c>
      <c r="N54" s="40">
        <v>100</v>
      </c>
      <c r="O54" s="35">
        <v>8936</v>
      </c>
      <c r="P54" s="56">
        <v>0.14910000000000001</v>
      </c>
      <c r="Q54" s="56">
        <v>0.14910000000000001</v>
      </c>
      <c r="R54" s="61">
        <f t="shared" ref="R54" si="40">((K54-D54)/D54)</f>
        <v>2.2082245149062287E-2</v>
      </c>
      <c r="S54" s="61">
        <f t="shared" ref="S54" si="41">((N54-G54)/G54)</f>
        <v>0</v>
      </c>
      <c r="T54" s="61">
        <f t="shared" ref="T54" si="42">((O54-H54)/H54)</f>
        <v>-5.2321050873872874E-3</v>
      </c>
      <c r="U54" s="62">
        <f t="shared" ref="U54" si="43">P54-I54</f>
        <v>4.0000000000000036E-3</v>
      </c>
      <c r="V54" s="63">
        <f t="shared" ref="V54" si="44">Q54-J54</f>
        <v>4.0000000000000036E-3</v>
      </c>
    </row>
    <row r="55" spans="1:22">
      <c r="A55" s="181">
        <v>47</v>
      </c>
      <c r="B55" s="148" t="s">
        <v>96</v>
      </c>
      <c r="C55" s="147" t="s">
        <v>36</v>
      </c>
      <c r="D55" s="50">
        <v>426719414867.09003</v>
      </c>
      <c r="E55" s="34">
        <f t="shared" si="38"/>
        <v>7.5942214540329178E-2</v>
      </c>
      <c r="F55" s="40">
        <v>100</v>
      </c>
      <c r="G55" s="40">
        <v>100</v>
      </c>
      <c r="H55" s="35">
        <v>39179</v>
      </c>
      <c r="I55" s="56">
        <v>0.16569999999999999</v>
      </c>
      <c r="J55" s="56">
        <v>0.16569999999999999</v>
      </c>
      <c r="K55" s="50">
        <v>433316480562.26001</v>
      </c>
      <c r="L55" s="34">
        <f t="shared" si="39"/>
        <v>7.7116278248012343E-2</v>
      </c>
      <c r="M55" s="40">
        <v>100</v>
      </c>
      <c r="N55" s="40">
        <v>100</v>
      </c>
      <c r="O55" s="35">
        <v>39179</v>
      </c>
      <c r="P55" s="56">
        <v>0.1767</v>
      </c>
      <c r="Q55" s="56">
        <v>0.1767</v>
      </c>
      <c r="R55" s="61">
        <f t="shared" si="19"/>
        <v>1.5459961429748318E-2</v>
      </c>
      <c r="S55" s="61">
        <f t="shared" si="20"/>
        <v>0</v>
      </c>
      <c r="T55" s="61">
        <f t="shared" si="21"/>
        <v>0</v>
      </c>
      <c r="U55" s="62">
        <f t="shared" si="22"/>
        <v>1.100000000000001E-2</v>
      </c>
      <c r="V55" s="63">
        <f t="shared" si="23"/>
        <v>1.100000000000001E-2</v>
      </c>
    </row>
    <row r="56" spans="1:22">
      <c r="A56" s="181">
        <v>48</v>
      </c>
      <c r="B56" s="148" t="s">
        <v>97</v>
      </c>
      <c r="C56" s="147" t="s">
        <v>40</v>
      </c>
      <c r="D56" s="50">
        <v>64294240470.040001</v>
      </c>
      <c r="E56" s="34">
        <f t="shared" si="38"/>
        <v>1.1442289320264669E-2</v>
      </c>
      <c r="F56" s="40">
        <v>1</v>
      </c>
      <c r="G56" s="40">
        <v>1</v>
      </c>
      <c r="H56" s="35">
        <v>3520</v>
      </c>
      <c r="I56" s="56">
        <v>0.1613</v>
      </c>
      <c r="J56" s="56">
        <v>0.1613</v>
      </c>
      <c r="K56" s="50">
        <v>62458622850.330002</v>
      </c>
      <c r="L56" s="34">
        <f t="shared" si="39"/>
        <v>1.111560892506061E-2</v>
      </c>
      <c r="M56" s="40">
        <v>1</v>
      </c>
      <c r="N56" s="40">
        <v>1</v>
      </c>
      <c r="O56" s="35">
        <v>3557</v>
      </c>
      <c r="P56" s="56">
        <v>0.1613</v>
      </c>
      <c r="Q56" s="56">
        <v>0.1613</v>
      </c>
      <c r="R56" s="61">
        <f t="shared" si="19"/>
        <v>-2.8550265253780623E-2</v>
      </c>
      <c r="S56" s="61">
        <f t="shared" si="20"/>
        <v>0</v>
      </c>
      <c r="T56" s="61">
        <f t="shared" si="21"/>
        <v>1.0511363636363636E-2</v>
      </c>
      <c r="U56" s="62">
        <f t="shared" si="22"/>
        <v>0</v>
      </c>
      <c r="V56" s="63">
        <f t="shared" si="23"/>
        <v>0</v>
      </c>
    </row>
    <row r="57" spans="1:22">
      <c r="A57" s="181">
        <v>49</v>
      </c>
      <c r="B57" s="148" t="s">
        <v>98</v>
      </c>
      <c r="C57" s="147" t="s">
        <v>99</v>
      </c>
      <c r="D57" s="50">
        <v>5937714336.5279999</v>
      </c>
      <c r="E57" s="34">
        <f t="shared" si="38"/>
        <v>1.0567205529287819E-3</v>
      </c>
      <c r="F57" s="40">
        <v>100</v>
      </c>
      <c r="G57" s="40">
        <v>100</v>
      </c>
      <c r="H57" s="35">
        <v>969</v>
      </c>
      <c r="I57" s="56">
        <v>0.16450000000000001</v>
      </c>
      <c r="J57" s="56">
        <v>0.16450000000000001</v>
      </c>
      <c r="K57" s="50">
        <v>6068990839.658</v>
      </c>
      <c r="L57" s="34">
        <f t="shared" si="39"/>
        <v>1.0800835123289485E-3</v>
      </c>
      <c r="M57" s="40">
        <v>100</v>
      </c>
      <c r="N57" s="40">
        <v>100</v>
      </c>
      <c r="O57" s="35">
        <v>988</v>
      </c>
      <c r="P57" s="56">
        <v>0.16470000000000001</v>
      </c>
      <c r="Q57" s="56">
        <v>0.16470000000000001</v>
      </c>
      <c r="R57" s="61">
        <f t="shared" si="19"/>
        <v>2.2108928737511867E-2</v>
      </c>
      <c r="S57" s="61">
        <f t="shared" si="20"/>
        <v>0</v>
      </c>
      <c r="T57" s="61">
        <f t="shared" si="21"/>
        <v>1.9607843137254902E-2</v>
      </c>
      <c r="U57" s="62">
        <f t="shared" si="22"/>
        <v>2.0000000000000573E-4</v>
      </c>
      <c r="V57" s="63">
        <f t="shared" si="23"/>
        <v>2.0000000000000573E-4</v>
      </c>
    </row>
    <row r="58" spans="1:22">
      <c r="A58" s="181">
        <v>50</v>
      </c>
      <c r="B58" s="148" t="s">
        <v>100</v>
      </c>
      <c r="C58" s="147" t="s">
        <v>42</v>
      </c>
      <c r="D58" s="54">
        <v>101831764775.42</v>
      </c>
      <c r="E58" s="34">
        <f t="shared" si="38"/>
        <v>1.8122751058805175E-2</v>
      </c>
      <c r="F58" s="40">
        <v>10</v>
      </c>
      <c r="G58" s="40">
        <v>10</v>
      </c>
      <c r="H58" s="35">
        <v>7724</v>
      </c>
      <c r="I58" s="56">
        <v>0.16669999999999999</v>
      </c>
      <c r="J58" s="56">
        <v>0.16669999999999999</v>
      </c>
      <c r="K58" s="54">
        <v>112751632856.88</v>
      </c>
      <c r="L58" s="34">
        <f t="shared" si="39"/>
        <v>2.0066133374448403E-2</v>
      </c>
      <c r="M58" s="40">
        <v>10</v>
      </c>
      <c r="N58" s="40">
        <v>10</v>
      </c>
      <c r="O58" s="35">
        <v>7015</v>
      </c>
      <c r="P58" s="56">
        <v>0.17069999999999999</v>
      </c>
      <c r="Q58" s="56">
        <v>0.17069999999999999</v>
      </c>
      <c r="R58" s="61">
        <f t="shared" si="19"/>
        <v>0.10723439886898463</v>
      </c>
      <c r="S58" s="61">
        <f t="shared" si="20"/>
        <v>0</v>
      </c>
      <c r="T58" s="61">
        <f t="shared" si="21"/>
        <v>-9.1791817711030552E-2</v>
      </c>
      <c r="U58" s="62">
        <f t="shared" si="22"/>
        <v>4.0000000000000036E-3</v>
      </c>
      <c r="V58" s="63">
        <f t="shared" si="23"/>
        <v>4.0000000000000036E-3</v>
      </c>
    </row>
    <row r="59" spans="1:22">
      <c r="A59" s="181">
        <v>51</v>
      </c>
      <c r="B59" s="148" t="s">
        <v>337</v>
      </c>
      <c r="C59" s="147" t="s">
        <v>336</v>
      </c>
      <c r="D59" s="54">
        <v>542444807.08000004</v>
      </c>
      <c r="E59" s="34">
        <f t="shared" si="38"/>
        <v>9.6537580621654259E-5</v>
      </c>
      <c r="F59" s="40">
        <v>1</v>
      </c>
      <c r="G59" s="40">
        <v>1</v>
      </c>
      <c r="H59" s="35">
        <v>236</v>
      </c>
      <c r="I59" s="56">
        <v>0.2019</v>
      </c>
      <c r="J59" s="56">
        <v>0.2019</v>
      </c>
      <c r="K59" s="54">
        <v>442957513.99000001</v>
      </c>
      <c r="L59" s="34">
        <f t="shared" si="39"/>
        <v>7.8832069476278714E-5</v>
      </c>
      <c r="M59" s="40">
        <v>1</v>
      </c>
      <c r="N59" s="40">
        <v>1</v>
      </c>
      <c r="O59" s="35">
        <v>236</v>
      </c>
      <c r="P59" s="56">
        <v>0.19783700000000001</v>
      </c>
      <c r="Q59" s="56">
        <v>0.19783700000000001</v>
      </c>
      <c r="R59" s="61">
        <f t="shared" ref="R59" si="45">((K59-D59)/D59)</f>
        <v>-0.18340537468787602</v>
      </c>
      <c r="S59" s="61">
        <f t="shared" ref="S59" si="46">((N59-G59)/G59)</f>
        <v>0</v>
      </c>
      <c r="T59" s="61">
        <f t="shared" ref="T59" si="47">((O59-H59)/H59)</f>
        <v>0</v>
      </c>
      <c r="U59" s="62">
        <f t="shared" ref="U59" si="48">P59-I59</f>
        <v>-4.0629999999999833E-3</v>
      </c>
      <c r="V59" s="63">
        <f t="shared" ref="V59" si="49">Q59-J59</f>
        <v>-4.0629999999999833E-3</v>
      </c>
    </row>
    <row r="60" spans="1:22">
      <c r="A60" s="181">
        <v>52</v>
      </c>
      <c r="B60" s="148" t="s">
        <v>101</v>
      </c>
      <c r="C60" s="147" t="s">
        <v>102</v>
      </c>
      <c r="D60" s="50">
        <v>43078800182</v>
      </c>
      <c r="E60" s="34">
        <f t="shared" si="38"/>
        <v>7.6666291047019436E-3</v>
      </c>
      <c r="F60" s="40">
        <v>100</v>
      </c>
      <c r="G60" s="40">
        <v>100</v>
      </c>
      <c r="H60" s="35">
        <v>6175</v>
      </c>
      <c r="I60" s="56">
        <v>0.16830000000000001</v>
      </c>
      <c r="J60" s="56">
        <v>0.16830000000000001</v>
      </c>
      <c r="K60" s="50">
        <v>43569494082</v>
      </c>
      <c r="L60" s="34">
        <f t="shared" si="39"/>
        <v>7.753956702484288E-3</v>
      </c>
      <c r="M60" s="40">
        <v>100</v>
      </c>
      <c r="N60" s="40">
        <v>100</v>
      </c>
      <c r="O60" s="35">
        <v>6230</v>
      </c>
      <c r="P60" s="56">
        <v>0.1663</v>
      </c>
      <c r="Q60" s="56">
        <v>0.1663</v>
      </c>
      <c r="R60" s="61">
        <f t="shared" si="19"/>
        <v>1.1390612039492943E-2</v>
      </c>
      <c r="S60" s="61">
        <f t="shared" si="20"/>
        <v>0</v>
      </c>
      <c r="T60" s="61">
        <f t="shared" si="21"/>
        <v>8.9068825910931168E-3</v>
      </c>
      <c r="U60" s="62">
        <f t="shared" si="22"/>
        <v>-2.0000000000000018E-3</v>
      </c>
      <c r="V60" s="63">
        <f t="shared" si="23"/>
        <v>-2.0000000000000018E-3</v>
      </c>
    </row>
    <row r="61" spans="1:22">
      <c r="A61" s="181">
        <v>53</v>
      </c>
      <c r="B61" s="148" t="s">
        <v>103</v>
      </c>
      <c r="C61" s="147" t="s">
        <v>104</v>
      </c>
      <c r="D61" s="50">
        <v>195292885.61000001</v>
      </c>
      <c r="E61" s="34">
        <f t="shared" si="38"/>
        <v>3.475579901095894E-5</v>
      </c>
      <c r="F61" s="40">
        <v>1.01</v>
      </c>
      <c r="G61" s="40">
        <v>1.01</v>
      </c>
      <c r="H61" s="35">
        <v>97</v>
      </c>
      <c r="I61" s="56">
        <v>7.9100000000000004E-2</v>
      </c>
      <c r="J61" s="56">
        <v>7.9100000000000004E-2</v>
      </c>
      <c r="K61" s="50">
        <v>195425421.25</v>
      </c>
      <c r="L61" s="34">
        <f t="shared" si="39"/>
        <v>3.4779386055879905E-5</v>
      </c>
      <c r="M61" s="40">
        <v>1.01</v>
      </c>
      <c r="N61" s="40">
        <v>1.01</v>
      </c>
      <c r="O61" s="35">
        <v>100</v>
      </c>
      <c r="P61" s="56">
        <v>0.11360000000000001</v>
      </c>
      <c r="Q61" s="56">
        <v>0.11360000000000001</v>
      </c>
      <c r="R61" s="61">
        <f t="shared" si="19"/>
        <v>6.7865063074883038E-4</v>
      </c>
      <c r="S61" s="61">
        <f t="shared" si="20"/>
        <v>0</v>
      </c>
      <c r="T61" s="61">
        <f t="shared" si="21"/>
        <v>3.0927835051546393E-2</v>
      </c>
      <c r="U61" s="62">
        <f t="shared" si="22"/>
        <v>3.4500000000000003E-2</v>
      </c>
      <c r="V61" s="63">
        <f t="shared" si="23"/>
        <v>3.4500000000000003E-2</v>
      </c>
    </row>
    <row r="62" spans="1:22">
      <c r="A62" s="181">
        <v>54</v>
      </c>
      <c r="B62" s="148" t="s">
        <v>105</v>
      </c>
      <c r="C62" s="147" t="s">
        <v>44</v>
      </c>
      <c r="D62" s="54">
        <v>2942007313.9499998</v>
      </c>
      <c r="E62" s="34">
        <f t="shared" si="38"/>
        <v>5.2358187331316458E-4</v>
      </c>
      <c r="F62" s="40">
        <v>10</v>
      </c>
      <c r="G62" s="40">
        <v>10</v>
      </c>
      <c r="H62" s="35">
        <v>982</v>
      </c>
      <c r="I62" s="56">
        <v>0.15939999999999999</v>
      </c>
      <c r="J62" s="56">
        <v>0.15939999999999999</v>
      </c>
      <c r="K62" s="54">
        <v>2852500181.5500002</v>
      </c>
      <c r="L62" s="34">
        <f t="shared" si="39"/>
        <v>5.0765250704861906E-4</v>
      </c>
      <c r="M62" s="40">
        <v>10</v>
      </c>
      <c r="N62" s="40">
        <v>10</v>
      </c>
      <c r="O62" s="35">
        <v>992</v>
      </c>
      <c r="P62" s="56">
        <v>0.15939999999999999</v>
      </c>
      <c r="Q62" s="56">
        <v>0.15939999999999999</v>
      </c>
      <c r="R62" s="61">
        <f t="shared" si="19"/>
        <v>-3.0423830687159474E-2</v>
      </c>
      <c r="S62" s="61">
        <f t="shared" si="20"/>
        <v>0</v>
      </c>
      <c r="T62" s="61">
        <f t="shared" si="21"/>
        <v>1.0183299389002037E-2</v>
      </c>
      <c r="U62" s="62">
        <f t="shared" si="22"/>
        <v>0</v>
      </c>
      <c r="V62" s="63">
        <f t="shared" si="23"/>
        <v>0</v>
      </c>
    </row>
    <row r="63" spans="1:22">
      <c r="A63" s="181">
        <v>55</v>
      </c>
      <c r="B63" s="148" t="s">
        <v>106</v>
      </c>
      <c r="C63" s="147" t="s">
        <v>107</v>
      </c>
      <c r="D63" s="54">
        <v>1582049338</v>
      </c>
      <c r="E63" s="34">
        <f t="shared" si="38"/>
        <v>2.8155346594014951E-4</v>
      </c>
      <c r="F63" s="40">
        <v>1</v>
      </c>
      <c r="G63" s="40">
        <v>1</v>
      </c>
      <c r="H63" s="35">
        <v>228</v>
      </c>
      <c r="I63" s="56">
        <v>0.19500000000000001</v>
      </c>
      <c r="J63" s="56">
        <v>0.19500000000000001</v>
      </c>
      <c r="K63" s="54">
        <v>1593826559.3599999</v>
      </c>
      <c r="L63" s="34">
        <f t="shared" si="39"/>
        <v>2.8364942932978957E-4</v>
      </c>
      <c r="M63" s="40">
        <v>1</v>
      </c>
      <c r="N63" s="40">
        <v>1</v>
      </c>
      <c r="O63" s="35">
        <v>231</v>
      </c>
      <c r="P63" s="56">
        <v>0.19520000000000001</v>
      </c>
      <c r="Q63" s="56">
        <v>0.19520000000000001</v>
      </c>
      <c r="R63" s="61">
        <f t="shared" si="19"/>
        <v>7.4442819684046382E-3</v>
      </c>
      <c r="S63" s="61">
        <f t="shared" si="20"/>
        <v>0</v>
      </c>
      <c r="T63" s="61">
        <f t="shared" si="21"/>
        <v>1.3157894736842105E-2</v>
      </c>
      <c r="U63" s="62">
        <f t="shared" si="22"/>
        <v>2.0000000000000573E-4</v>
      </c>
      <c r="V63" s="63">
        <f t="shared" si="23"/>
        <v>2.0000000000000573E-4</v>
      </c>
    </row>
    <row r="64" spans="1:22">
      <c r="A64" s="181">
        <v>56</v>
      </c>
      <c r="B64" s="148" t="s">
        <v>108</v>
      </c>
      <c r="C64" s="147" t="s">
        <v>109</v>
      </c>
      <c r="D64" s="54">
        <v>2527127792.0883899</v>
      </c>
      <c r="E64" s="34">
        <f t="shared" si="38"/>
        <v>4.4974677568251898E-4</v>
      </c>
      <c r="F64" s="40">
        <v>1</v>
      </c>
      <c r="G64" s="40">
        <v>1</v>
      </c>
      <c r="H64" s="35">
        <v>2575</v>
      </c>
      <c r="I64" s="56">
        <v>0.1623</v>
      </c>
      <c r="J64" s="56">
        <v>0.1623</v>
      </c>
      <c r="K64" s="54">
        <v>2457603753.3899999</v>
      </c>
      <c r="L64" s="34">
        <f t="shared" si="39"/>
        <v>4.3737375191422431E-4</v>
      </c>
      <c r="M64" s="40">
        <v>1</v>
      </c>
      <c r="N64" s="40">
        <v>1</v>
      </c>
      <c r="O64" s="35">
        <v>2673</v>
      </c>
      <c r="P64" s="56">
        <v>0.16289999999999999</v>
      </c>
      <c r="Q64" s="56">
        <v>0.16289999999999999</v>
      </c>
      <c r="R64" s="61">
        <f t="shared" si="19"/>
        <v>-2.751108943364361E-2</v>
      </c>
      <c r="S64" s="61">
        <f t="shared" si="20"/>
        <v>0</v>
      </c>
      <c r="T64" s="61">
        <f t="shared" si="21"/>
        <v>3.8058252427184469E-2</v>
      </c>
      <c r="U64" s="62">
        <f t="shared" si="22"/>
        <v>5.9999999999998943E-4</v>
      </c>
      <c r="V64" s="63">
        <f t="shared" si="23"/>
        <v>5.9999999999998943E-4</v>
      </c>
    </row>
    <row r="65" spans="1:22">
      <c r="A65" s="181">
        <v>57</v>
      </c>
      <c r="B65" s="148" t="s">
        <v>110</v>
      </c>
      <c r="C65" s="147" t="s">
        <v>111</v>
      </c>
      <c r="D65" s="54">
        <v>15308194838.486601</v>
      </c>
      <c r="E65" s="34">
        <f t="shared" si="38"/>
        <v>2.7243621362098187E-3</v>
      </c>
      <c r="F65" s="40">
        <v>100</v>
      </c>
      <c r="G65" s="40">
        <v>100</v>
      </c>
      <c r="H65" s="35">
        <v>166</v>
      </c>
      <c r="I65" s="56">
        <v>0.15359999999999999</v>
      </c>
      <c r="J65" s="56">
        <v>0.15359999999999999</v>
      </c>
      <c r="K65" s="54">
        <v>15220911765.259501</v>
      </c>
      <c r="L65" s="34">
        <f t="shared" si="39"/>
        <v>2.7088285803372404E-3</v>
      </c>
      <c r="M65" s="40">
        <v>100</v>
      </c>
      <c r="N65" s="40">
        <v>100</v>
      </c>
      <c r="O65" s="35">
        <v>164</v>
      </c>
      <c r="P65" s="56">
        <v>0.1552</v>
      </c>
      <c r="Q65" s="56">
        <v>0.1552</v>
      </c>
      <c r="R65" s="61">
        <f t="shared" si="19"/>
        <v>-5.7017221264822468E-3</v>
      </c>
      <c r="S65" s="61">
        <f t="shared" si="20"/>
        <v>0</v>
      </c>
      <c r="T65" s="61">
        <f t="shared" si="21"/>
        <v>-1.2048192771084338E-2</v>
      </c>
      <c r="U65" s="62">
        <f t="shared" si="22"/>
        <v>1.6000000000000181E-3</v>
      </c>
      <c r="V65" s="63">
        <f t="shared" si="23"/>
        <v>1.6000000000000181E-3</v>
      </c>
    </row>
    <row r="66" spans="1:22">
      <c r="A66" s="181">
        <v>58</v>
      </c>
      <c r="B66" s="148" t="s">
        <v>327</v>
      </c>
      <c r="C66" s="147" t="s">
        <v>75</v>
      </c>
      <c r="D66" s="54">
        <v>117008519.55</v>
      </c>
      <c r="E66" s="34">
        <f t="shared" si="38"/>
        <v>2.0823721127101942E-5</v>
      </c>
      <c r="F66" s="40">
        <v>1000</v>
      </c>
      <c r="G66" s="40">
        <v>1000</v>
      </c>
      <c r="H66" s="35">
        <v>27</v>
      </c>
      <c r="I66" s="56">
        <v>0.21360000000000001</v>
      </c>
      <c r="J66" s="56">
        <v>0.21360000000000001</v>
      </c>
      <c r="K66" s="54">
        <v>122526333.09</v>
      </c>
      <c r="L66" s="34">
        <f t="shared" si="39"/>
        <v>2.1805712958382292E-5</v>
      </c>
      <c r="M66" s="40">
        <v>1000</v>
      </c>
      <c r="N66" s="40">
        <v>1000</v>
      </c>
      <c r="O66" s="35">
        <v>29</v>
      </c>
      <c r="P66" s="56">
        <v>0.22170000000000001</v>
      </c>
      <c r="Q66" s="56">
        <v>0.22170000000000001</v>
      </c>
      <c r="R66" s="61">
        <f t="shared" si="19"/>
        <v>4.7157365645004494E-2</v>
      </c>
      <c r="S66" s="61">
        <f t="shared" si="20"/>
        <v>0</v>
      </c>
      <c r="T66" s="61">
        <f t="shared" si="21"/>
        <v>7.407407407407407E-2</v>
      </c>
      <c r="U66" s="62">
        <f t="shared" si="22"/>
        <v>8.0999999999999961E-3</v>
      </c>
      <c r="V66" s="63">
        <f t="shared" si="23"/>
        <v>8.0999999999999961E-3</v>
      </c>
    </row>
    <row r="67" spans="1:22">
      <c r="A67" s="181">
        <v>59</v>
      </c>
      <c r="B67" s="148" t="s">
        <v>329</v>
      </c>
      <c r="C67" s="147" t="s">
        <v>32</v>
      </c>
      <c r="D67" s="38">
        <v>1874955968</v>
      </c>
      <c r="E67" s="34">
        <f t="shared" si="38"/>
        <v>3.3368134519934166E-4</v>
      </c>
      <c r="F67" s="33">
        <v>1</v>
      </c>
      <c r="G67" s="33">
        <v>1</v>
      </c>
      <c r="H67" s="35">
        <v>345</v>
      </c>
      <c r="I67" s="56">
        <v>0.1772</v>
      </c>
      <c r="J67" s="56">
        <v>0.1772</v>
      </c>
      <c r="K67" s="38">
        <v>2080052968</v>
      </c>
      <c r="L67" s="34">
        <f t="shared" si="39"/>
        <v>3.7018195856006539E-4</v>
      </c>
      <c r="M67" s="33">
        <v>1</v>
      </c>
      <c r="N67" s="33">
        <v>1</v>
      </c>
      <c r="O67" s="35">
        <v>345</v>
      </c>
      <c r="P67" s="56">
        <v>0.1772</v>
      </c>
      <c r="Q67" s="56">
        <v>0.1772</v>
      </c>
      <c r="R67" s="61">
        <f t="shared" si="19"/>
        <v>0.10938763549672864</v>
      </c>
      <c r="S67" s="61">
        <f t="shared" si="20"/>
        <v>0</v>
      </c>
      <c r="T67" s="61">
        <f t="shared" si="21"/>
        <v>0</v>
      </c>
      <c r="U67" s="62">
        <f t="shared" si="22"/>
        <v>0</v>
      </c>
      <c r="V67" s="63">
        <f t="shared" si="23"/>
        <v>0</v>
      </c>
    </row>
    <row r="68" spans="1:22">
      <c r="A68" s="181">
        <v>60</v>
      </c>
      <c r="B68" s="148" t="s">
        <v>112</v>
      </c>
      <c r="C68" s="147" t="s">
        <v>48</v>
      </c>
      <c r="D68" s="50">
        <v>2697612771901.0898</v>
      </c>
      <c r="E68" s="34">
        <f t="shared" si="38"/>
        <v>0.48008757214445719</v>
      </c>
      <c r="F68" s="40">
        <v>100</v>
      </c>
      <c r="G68" s="40">
        <v>100</v>
      </c>
      <c r="H68" s="35">
        <v>310006</v>
      </c>
      <c r="I68" s="56">
        <v>0.1545</v>
      </c>
      <c r="J68" s="56">
        <v>0.1545</v>
      </c>
      <c r="K68" s="50">
        <v>2715814130857.0898</v>
      </c>
      <c r="L68" s="34">
        <f>(K68/$K$76)</f>
        <v>0.48332682364931928</v>
      </c>
      <c r="M68" s="40">
        <v>100</v>
      </c>
      <c r="N68" s="40">
        <v>100</v>
      </c>
      <c r="O68" s="35">
        <v>312981</v>
      </c>
      <c r="P68" s="56">
        <v>0.15290000000000001</v>
      </c>
      <c r="Q68" s="56">
        <v>0.15290000000000001</v>
      </c>
      <c r="R68" s="61">
        <f t="shared" si="19"/>
        <v>6.7472096609228864E-3</v>
      </c>
      <c r="S68" s="61">
        <f t="shared" si="20"/>
        <v>0</v>
      </c>
      <c r="T68" s="61">
        <f t="shared" si="21"/>
        <v>9.5965884531267129E-3</v>
      </c>
      <c r="U68" s="62">
        <f t="shared" si="22"/>
        <v>-1.5999999999999903E-3</v>
      </c>
      <c r="V68" s="63">
        <f t="shared" si="23"/>
        <v>-1.5999999999999903E-3</v>
      </c>
    </row>
    <row r="69" spans="1:22">
      <c r="A69" s="181">
        <v>61</v>
      </c>
      <c r="B69" s="148" t="s">
        <v>113</v>
      </c>
      <c r="C69" s="148" t="s">
        <v>114</v>
      </c>
      <c r="D69" s="50">
        <v>12144349675.879999</v>
      </c>
      <c r="E69" s="34">
        <f t="shared" si="38"/>
        <v>2.1613003214904442E-3</v>
      </c>
      <c r="F69" s="40">
        <v>100</v>
      </c>
      <c r="G69" s="40">
        <v>100</v>
      </c>
      <c r="H69" s="35">
        <v>1334</v>
      </c>
      <c r="I69" s="56">
        <v>0.18529999999999999</v>
      </c>
      <c r="J69" s="56">
        <v>0.18529999999999999</v>
      </c>
      <c r="K69" s="50">
        <v>12509560685.540001</v>
      </c>
      <c r="L69" s="34">
        <f t="shared" ref="L69:L75" si="50">(K69/$K$76)</f>
        <v>2.2262960350244269E-3</v>
      </c>
      <c r="M69" s="40">
        <v>100</v>
      </c>
      <c r="N69" s="40">
        <v>100</v>
      </c>
      <c r="O69" s="35">
        <v>1394</v>
      </c>
      <c r="P69" s="56">
        <v>0.19259999999999999</v>
      </c>
      <c r="Q69" s="56">
        <v>0.19259999999999999</v>
      </c>
      <c r="R69" s="61">
        <f t="shared" si="19"/>
        <v>3.0072504449155525E-2</v>
      </c>
      <c r="S69" s="61">
        <f t="shared" si="20"/>
        <v>0</v>
      </c>
      <c r="T69" s="61">
        <f t="shared" si="21"/>
        <v>4.4977511244377814E-2</v>
      </c>
      <c r="U69" s="62">
        <f t="shared" si="22"/>
        <v>7.3000000000000009E-3</v>
      </c>
      <c r="V69" s="63">
        <f t="shared" si="23"/>
        <v>7.3000000000000009E-3</v>
      </c>
    </row>
    <row r="70" spans="1:22">
      <c r="A70" s="181">
        <v>62</v>
      </c>
      <c r="B70" s="182" t="s">
        <v>115</v>
      </c>
      <c r="C70" s="147" t="s">
        <v>116</v>
      </c>
      <c r="D70" s="50">
        <v>15621682259.559999</v>
      </c>
      <c r="E70" s="34">
        <f t="shared" si="38"/>
        <v>2.7801527287101987E-3</v>
      </c>
      <c r="F70" s="40">
        <v>1</v>
      </c>
      <c r="G70" s="40">
        <v>1</v>
      </c>
      <c r="H70" s="35">
        <v>842</v>
      </c>
      <c r="I70" s="56">
        <v>0.189244</v>
      </c>
      <c r="J70" s="56">
        <v>0.189244</v>
      </c>
      <c r="K70" s="50">
        <v>15832099466.030001</v>
      </c>
      <c r="L70" s="34">
        <f t="shared" si="50"/>
        <v>2.817600166253435E-3</v>
      </c>
      <c r="M70" s="40">
        <v>1</v>
      </c>
      <c r="N70" s="40">
        <v>1</v>
      </c>
      <c r="O70" s="35">
        <v>857</v>
      </c>
      <c r="P70" s="56">
        <v>0.189328</v>
      </c>
      <c r="Q70" s="56">
        <v>0.189328</v>
      </c>
      <c r="R70" s="61">
        <f t="shared" si="19"/>
        <v>1.3469561278602516E-2</v>
      </c>
      <c r="S70" s="61">
        <f t="shared" si="20"/>
        <v>0</v>
      </c>
      <c r="T70" s="61">
        <f t="shared" si="21"/>
        <v>1.7814726840855107E-2</v>
      </c>
      <c r="U70" s="62">
        <f t="shared" si="22"/>
        <v>8.4000000000000741E-5</v>
      </c>
      <c r="V70" s="63">
        <f t="shared" si="23"/>
        <v>8.4000000000000741E-5</v>
      </c>
    </row>
    <row r="71" spans="1:22">
      <c r="A71" s="181">
        <v>63</v>
      </c>
      <c r="B71" s="148" t="s">
        <v>117</v>
      </c>
      <c r="C71" s="147" t="s">
        <v>51</v>
      </c>
      <c r="D71" s="50">
        <v>221464184325.84</v>
      </c>
      <c r="E71" s="34">
        <f t="shared" si="38"/>
        <v>3.9413441275716006E-2</v>
      </c>
      <c r="F71" s="40">
        <v>1</v>
      </c>
      <c r="G71" s="40">
        <v>1</v>
      </c>
      <c r="H71" s="35">
        <v>85601</v>
      </c>
      <c r="I71" s="56">
        <v>0.15040000000000001</v>
      </c>
      <c r="J71" s="56">
        <v>0.15040000000000001</v>
      </c>
      <c r="K71" s="50">
        <v>222753721566.10999</v>
      </c>
      <c r="L71" s="34">
        <f t="shared" si="50"/>
        <v>3.9642937076343754E-2</v>
      </c>
      <c r="M71" s="40">
        <v>1</v>
      </c>
      <c r="N71" s="40">
        <v>1</v>
      </c>
      <c r="O71" s="35">
        <v>86020</v>
      </c>
      <c r="P71" s="56">
        <v>0.1507</v>
      </c>
      <c r="Q71" s="56">
        <v>0.1507</v>
      </c>
      <c r="R71" s="61">
        <f t="shared" si="19"/>
        <v>5.8227800770380752E-3</v>
      </c>
      <c r="S71" s="61">
        <f t="shared" si="20"/>
        <v>0</v>
      </c>
      <c r="T71" s="61">
        <f t="shared" si="21"/>
        <v>4.8948026308103876E-3</v>
      </c>
      <c r="U71" s="62">
        <f t="shared" si="22"/>
        <v>2.9999999999999472E-4</v>
      </c>
      <c r="V71" s="63">
        <f t="shared" si="23"/>
        <v>2.9999999999999472E-4</v>
      </c>
    </row>
    <row r="72" spans="1:22">
      <c r="A72" s="181">
        <v>64</v>
      </c>
      <c r="B72" s="148" t="s">
        <v>118</v>
      </c>
      <c r="C72" s="147" t="s">
        <v>119</v>
      </c>
      <c r="D72" s="54">
        <v>2844943541.3899999</v>
      </c>
      <c r="E72" s="34">
        <f t="shared" si="38"/>
        <v>5.0630767021148213E-4</v>
      </c>
      <c r="F72" s="40">
        <v>1</v>
      </c>
      <c r="G72" s="40">
        <v>1</v>
      </c>
      <c r="H72" s="35">
        <v>163</v>
      </c>
      <c r="I72" s="56">
        <v>0.15329999999999999</v>
      </c>
      <c r="J72" s="56">
        <v>0.15329999999999999</v>
      </c>
      <c r="K72" s="54">
        <v>2847516842.8699999</v>
      </c>
      <c r="L72" s="34">
        <f t="shared" si="50"/>
        <v>5.0676563440589766E-4</v>
      </c>
      <c r="M72" s="40">
        <v>1</v>
      </c>
      <c r="N72" s="40">
        <v>1</v>
      </c>
      <c r="O72" s="35">
        <v>166</v>
      </c>
      <c r="P72" s="56">
        <v>0.14979999999999999</v>
      </c>
      <c r="Q72" s="56">
        <v>0.14979999999999999</v>
      </c>
      <c r="R72" s="61">
        <f t="shared" si="19"/>
        <v>9.0451759149594226E-4</v>
      </c>
      <c r="S72" s="61">
        <f t="shared" si="20"/>
        <v>0</v>
      </c>
      <c r="T72" s="61">
        <f t="shared" si="21"/>
        <v>1.8404907975460124E-2</v>
      </c>
      <c r="U72" s="62">
        <f t="shared" si="22"/>
        <v>-3.5000000000000031E-3</v>
      </c>
      <c r="V72" s="63">
        <f t="shared" si="23"/>
        <v>-3.5000000000000031E-3</v>
      </c>
    </row>
    <row r="73" spans="1:22">
      <c r="A73" s="181">
        <v>65</v>
      </c>
      <c r="B73" s="148" t="s">
        <v>120</v>
      </c>
      <c r="C73" s="147" t="s">
        <v>121</v>
      </c>
      <c r="D73" s="50">
        <v>9313777409.5900002</v>
      </c>
      <c r="E73" s="34">
        <f t="shared" si="38"/>
        <v>1.6575502720921663E-3</v>
      </c>
      <c r="F73" s="40">
        <v>1</v>
      </c>
      <c r="G73" s="40">
        <v>1</v>
      </c>
      <c r="H73" s="35">
        <v>586</v>
      </c>
      <c r="I73" s="56">
        <v>0.1658</v>
      </c>
      <c r="J73" s="56">
        <v>0.1658</v>
      </c>
      <c r="K73" s="50">
        <v>9423842700.25</v>
      </c>
      <c r="L73" s="34">
        <f>(K73/$K$76)</f>
        <v>1.6771383236912456E-3</v>
      </c>
      <c r="M73" s="40">
        <v>1</v>
      </c>
      <c r="N73" s="40">
        <v>1</v>
      </c>
      <c r="O73" s="35">
        <v>586</v>
      </c>
      <c r="P73" s="56">
        <v>0.1618</v>
      </c>
      <c r="Q73" s="56">
        <v>0.1618</v>
      </c>
      <c r="R73" s="61">
        <f t="shared" si="19"/>
        <v>1.1817470594333756E-2</v>
      </c>
      <c r="S73" s="61">
        <f t="shared" si="20"/>
        <v>0</v>
      </c>
      <c r="T73" s="61">
        <f t="shared" si="21"/>
        <v>0</v>
      </c>
      <c r="U73" s="62">
        <f t="shared" si="22"/>
        <v>-4.0000000000000036E-3</v>
      </c>
      <c r="V73" s="63">
        <f t="shared" si="23"/>
        <v>-4.0000000000000036E-3</v>
      </c>
    </row>
    <row r="74" spans="1:22">
      <c r="A74" s="181">
        <v>66</v>
      </c>
      <c r="B74" s="148" t="s">
        <v>122</v>
      </c>
      <c r="C74" s="147" t="s">
        <v>123</v>
      </c>
      <c r="D74" s="50">
        <v>16007873450.959999</v>
      </c>
      <c r="E74" s="34">
        <f t="shared" si="38"/>
        <v>2.8488822340691686E-3</v>
      </c>
      <c r="F74" s="40">
        <v>1</v>
      </c>
      <c r="G74" s="40">
        <v>1</v>
      </c>
      <c r="H74" s="35">
        <v>6808</v>
      </c>
      <c r="I74" s="56">
        <v>0.1749</v>
      </c>
      <c r="J74" s="56">
        <v>0.1749</v>
      </c>
      <c r="K74" s="50">
        <v>16195622170.959999</v>
      </c>
      <c r="L74" s="34">
        <f t="shared" si="50"/>
        <v>2.8822954163082591E-3</v>
      </c>
      <c r="M74" s="40">
        <v>1</v>
      </c>
      <c r="N74" s="40">
        <v>1</v>
      </c>
      <c r="O74" s="35">
        <v>6875</v>
      </c>
      <c r="P74" s="56">
        <v>0.22140000000000001</v>
      </c>
      <c r="Q74" s="56">
        <v>0.22140000000000001</v>
      </c>
      <c r="R74" s="61">
        <f t="shared" si="19"/>
        <v>1.1728523502835451E-2</v>
      </c>
      <c r="S74" s="61">
        <f t="shared" si="20"/>
        <v>0</v>
      </c>
      <c r="T74" s="61">
        <f t="shared" si="21"/>
        <v>9.8413631022326673E-3</v>
      </c>
      <c r="U74" s="62">
        <f t="shared" si="22"/>
        <v>4.6500000000000014E-2</v>
      </c>
      <c r="V74" s="63">
        <f t="shared" si="23"/>
        <v>4.6500000000000014E-2</v>
      </c>
    </row>
    <row r="75" spans="1:22">
      <c r="A75" s="181">
        <v>67</v>
      </c>
      <c r="B75" s="148" t="s">
        <v>124</v>
      </c>
      <c r="C75" s="147" t="s">
        <v>125</v>
      </c>
      <c r="D75" s="50">
        <v>145133589132.78</v>
      </c>
      <c r="E75" s="34">
        <f t="shared" si="38"/>
        <v>2.5829071232586188E-2</v>
      </c>
      <c r="F75" s="40">
        <v>1</v>
      </c>
      <c r="G75" s="40">
        <v>1</v>
      </c>
      <c r="H75" s="35">
        <v>8200</v>
      </c>
      <c r="I75" s="56">
        <v>0.16209999999999999</v>
      </c>
      <c r="J75" s="56">
        <v>0.16209999999999999</v>
      </c>
      <c r="K75" s="50">
        <v>145880116763.53</v>
      </c>
      <c r="L75" s="34">
        <f t="shared" si="50"/>
        <v>2.5961928936078207E-2</v>
      </c>
      <c r="M75" s="40">
        <v>1</v>
      </c>
      <c r="N75" s="40">
        <v>1</v>
      </c>
      <c r="O75" s="35">
        <v>8245</v>
      </c>
      <c r="P75" s="56">
        <v>0.1613</v>
      </c>
      <c r="Q75" s="56">
        <v>0.1613</v>
      </c>
      <c r="R75" s="61">
        <f t="shared" si="19"/>
        <v>5.1437274803906065E-3</v>
      </c>
      <c r="S75" s="61">
        <f t="shared" si="20"/>
        <v>0</v>
      </c>
      <c r="T75" s="61">
        <f t="shared" si="21"/>
        <v>5.4878048780487802E-3</v>
      </c>
      <c r="U75" s="62">
        <f t="shared" si="22"/>
        <v>-7.9999999999999516E-4</v>
      </c>
      <c r="V75" s="63">
        <f t="shared" si="23"/>
        <v>-7.9999999999999516E-4</v>
      </c>
    </row>
    <row r="76" spans="1:22">
      <c r="A76" s="41"/>
      <c r="B76" s="42"/>
      <c r="C76" s="43" t="s">
        <v>54</v>
      </c>
      <c r="D76" s="65">
        <f>SUM(D29:D75)</f>
        <v>5577381495616.4316</v>
      </c>
      <c r="E76" s="45">
        <f>(D76/$D$239)</f>
        <v>0.64900235954194796</v>
      </c>
      <c r="F76" s="46"/>
      <c r="G76" s="51"/>
      <c r="H76" s="48">
        <f>SUM(H29:H75)</f>
        <v>712567</v>
      </c>
      <c r="I76" s="69"/>
      <c r="J76" s="69"/>
      <c r="K76" s="65">
        <f>SUM(K29:K75)</f>
        <v>5619001466443.6777</v>
      </c>
      <c r="L76" s="45">
        <f>(K76/$K$239)</f>
        <v>0.65159570825564761</v>
      </c>
      <c r="M76" s="46"/>
      <c r="N76" s="51"/>
      <c r="O76" s="48">
        <f>SUM(O29:O75)</f>
        <v>717236</v>
      </c>
      <c r="P76" s="69"/>
      <c r="Q76" s="69"/>
      <c r="R76" s="61">
        <f t="shared" si="19"/>
        <v>7.4622779273674396E-3</v>
      </c>
      <c r="S76" s="61" t="e">
        <f t="shared" si="20"/>
        <v>#DIV/0!</v>
      </c>
      <c r="T76" s="61">
        <f t="shared" si="21"/>
        <v>6.5523663038002042E-3</v>
      </c>
      <c r="U76" s="62">
        <f t="shared" si="22"/>
        <v>0</v>
      </c>
      <c r="V76" s="63">
        <f t="shared" si="23"/>
        <v>0</v>
      </c>
    </row>
    <row r="77" spans="1:22" ht="3" customHeight="1">
      <c r="A77" s="41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</row>
    <row r="78" spans="1:22" ht="15" customHeight="1">
      <c r="A78" s="191" t="s">
        <v>126</v>
      </c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</row>
    <row r="79" spans="1:22">
      <c r="A79" s="181">
        <v>68</v>
      </c>
      <c r="B79" s="148" t="s">
        <v>127</v>
      </c>
      <c r="C79" s="147" t="s">
        <v>21</v>
      </c>
      <c r="D79" s="38">
        <v>1135426923.3399999</v>
      </c>
      <c r="E79" s="34">
        <f>(D79/$D$118)</f>
        <v>4.7264522100079389E-3</v>
      </c>
      <c r="F79" s="66">
        <v>1.7669999999999999</v>
      </c>
      <c r="G79" s="66">
        <v>1.7669999999999999</v>
      </c>
      <c r="H79" s="35">
        <v>554</v>
      </c>
      <c r="I79" s="56">
        <v>1.8710000000000001E-3</v>
      </c>
      <c r="J79" s="56">
        <v>5.8500000000000003E-2</v>
      </c>
      <c r="K79" s="38">
        <v>1142826083.3199999</v>
      </c>
      <c r="L79" s="34">
        <f t="shared" ref="L79:L117" si="51">(K79/$K$118)</f>
        <v>4.8215319568540374E-3</v>
      </c>
      <c r="M79" s="66">
        <v>1.7788999999999999</v>
      </c>
      <c r="N79" s="66">
        <v>1.7788999999999999</v>
      </c>
      <c r="O79" s="35">
        <v>554</v>
      </c>
      <c r="P79" s="56">
        <v>3.3700000000000001E-4</v>
      </c>
      <c r="Q79" s="56">
        <v>6.5699999999999995E-2</v>
      </c>
      <c r="R79" s="61">
        <f>((K79-D79)/D79)</f>
        <v>6.5166324911817902E-3</v>
      </c>
      <c r="S79" s="61">
        <f>((N79-G79)/G79)</f>
        <v>6.7345783814374768E-3</v>
      </c>
      <c r="T79" s="61">
        <f>((O79-H79)/H79)</f>
        <v>0</v>
      </c>
      <c r="U79" s="62">
        <f>P79-I79</f>
        <v>-1.534E-3</v>
      </c>
      <c r="V79" s="63">
        <f>Q79-J79</f>
        <v>7.1999999999999911E-3</v>
      </c>
    </row>
    <row r="80" spans="1:22">
      <c r="A80" s="181">
        <v>69</v>
      </c>
      <c r="B80" s="148" t="s">
        <v>128</v>
      </c>
      <c r="C80" s="147" t="s">
        <v>23</v>
      </c>
      <c r="D80" s="38">
        <v>1216916058.8699999</v>
      </c>
      <c r="E80" s="34">
        <f>(D80/$D$118)</f>
        <v>5.0656677920943886E-3</v>
      </c>
      <c r="F80" s="66">
        <v>1.3687</v>
      </c>
      <c r="G80" s="66">
        <v>1.3687</v>
      </c>
      <c r="H80" s="35">
        <v>1508</v>
      </c>
      <c r="I80" s="56">
        <v>0.1145</v>
      </c>
      <c r="J80" s="56">
        <v>0.1166</v>
      </c>
      <c r="K80" s="38">
        <v>1249505870.3099999</v>
      </c>
      <c r="L80" s="34">
        <f t="shared" si="51"/>
        <v>5.2716091905031072E-3</v>
      </c>
      <c r="M80" s="66">
        <v>1.3721000000000001</v>
      </c>
      <c r="N80" s="66">
        <v>1.3721000000000001</v>
      </c>
      <c r="O80" s="35">
        <v>1523</v>
      </c>
      <c r="P80" s="56">
        <v>0.1295</v>
      </c>
      <c r="Q80" s="56">
        <v>0.1178</v>
      </c>
      <c r="R80" s="61">
        <f t="shared" ref="R80:R118" si="52">((K80-D80)/D80)</f>
        <v>2.6780656892852743E-2</v>
      </c>
      <c r="S80" s="61">
        <f t="shared" ref="S80:S118" si="53">((N80-G80)/G80)</f>
        <v>2.4841090085483083E-3</v>
      </c>
      <c r="T80" s="61">
        <f t="shared" ref="T80:T118" si="54">((O80-H80)/H80)</f>
        <v>9.9469496021220155E-3</v>
      </c>
      <c r="U80" s="62">
        <f t="shared" ref="U80:U118" si="55">P80-I80</f>
        <v>1.4999999999999999E-2</v>
      </c>
      <c r="V80" s="63">
        <f t="shared" ref="V80:V118" si="56">Q80-J80</f>
        <v>1.2000000000000066E-3</v>
      </c>
    </row>
    <row r="81" spans="1:22">
      <c r="A81" s="181">
        <v>70</v>
      </c>
      <c r="B81" s="148" t="s">
        <v>129</v>
      </c>
      <c r="C81" s="147" t="s">
        <v>23</v>
      </c>
      <c r="D81" s="38">
        <v>653669318.62</v>
      </c>
      <c r="E81" s="34">
        <f>(D81/$D$118)</f>
        <v>2.7210353498731779E-3</v>
      </c>
      <c r="F81" s="66">
        <v>1.2197</v>
      </c>
      <c r="G81" s="66">
        <v>1.2197</v>
      </c>
      <c r="H81" s="35">
        <v>740</v>
      </c>
      <c r="I81" s="56">
        <v>0.1157</v>
      </c>
      <c r="J81" s="56">
        <v>0.12479999999999999</v>
      </c>
      <c r="K81" s="38">
        <v>660523887.52999997</v>
      </c>
      <c r="L81" s="34">
        <f t="shared" si="51"/>
        <v>2.7867206379639537E-3</v>
      </c>
      <c r="M81" s="66">
        <v>1.2228000000000001</v>
      </c>
      <c r="N81" s="66">
        <v>1.2228000000000001</v>
      </c>
      <c r="O81" s="35">
        <v>755</v>
      </c>
      <c r="P81" s="56">
        <v>0.13250000000000001</v>
      </c>
      <c r="Q81" s="56">
        <v>0.12570000000000001</v>
      </c>
      <c r="R81" s="61">
        <f t="shared" si="52"/>
        <v>1.0486294391896888E-2</v>
      </c>
      <c r="S81" s="61">
        <f t="shared" si="53"/>
        <v>2.5416085922768737E-3</v>
      </c>
      <c r="T81" s="61">
        <f t="shared" si="54"/>
        <v>2.0270270270270271E-2</v>
      </c>
      <c r="U81" s="62">
        <f t="shared" si="55"/>
        <v>1.6800000000000009E-2</v>
      </c>
      <c r="V81" s="63">
        <f t="shared" si="56"/>
        <v>9.000000000000119E-4</v>
      </c>
    </row>
    <row r="82" spans="1:22">
      <c r="A82" s="181">
        <v>71</v>
      </c>
      <c r="B82" s="148" t="s">
        <v>130</v>
      </c>
      <c r="C82" s="147" t="s">
        <v>62</v>
      </c>
      <c r="D82" s="38">
        <v>330964243.66000003</v>
      </c>
      <c r="E82" s="34">
        <f>(D82/$D$118)</f>
        <v>1.3777079341036487E-3</v>
      </c>
      <c r="F82" s="37">
        <v>1288.72</v>
      </c>
      <c r="G82" s="37">
        <v>1288.72</v>
      </c>
      <c r="H82" s="35">
        <v>20</v>
      </c>
      <c r="I82" s="56">
        <v>1.9E-3</v>
      </c>
      <c r="J82" s="56">
        <v>7.1199999999999999E-2</v>
      </c>
      <c r="K82" s="38">
        <v>327394870.92000002</v>
      </c>
      <c r="L82" s="34">
        <f t="shared" si="51"/>
        <v>1.3812642673197355E-3</v>
      </c>
      <c r="M82" s="37">
        <v>1250.6199999999999</v>
      </c>
      <c r="N82" s="37">
        <v>1250.6199999999999</v>
      </c>
      <c r="O82" s="35">
        <v>287</v>
      </c>
      <c r="P82" s="56">
        <v>1.1000000000000001E-3</v>
      </c>
      <c r="Q82" s="56">
        <v>7.3099999999999998E-2</v>
      </c>
      <c r="R82" s="61">
        <f t="shared" si="52"/>
        <v>-1.0784768470840707E-2</v>
      </c>
      <c r="S82" s="61">
        <f t="shared" si="53"/>
        <v>-2.9564218759699654E-2</v>
      </c>
      <c r="T82" s="61">
        <f t="shared" si="54"/>
        <v>13.35</v>
      </c>
      <c r="U82" s="62">
        <f t="shared" si="55"/>
        <v>-7.9999999999999993E-4</v>
      </c>
      <c r="V82" s="63">
        <f t="shared" si="56"/>
        <v>1.8999999999999989E-3</v>
      </c>
    </row>
    <row r="83" spans="1:22" ht="15" customHeight="1">
      <c r="A83" s="181">
        <v>72</v>
      </c>
      <c r="B83" s="148" t="s">
        <v>131</v>
      </c>
      <c r="C83" s="147" t="s">
        <v>27</v>
      </c>
      <c r="D83" s="38">
        <v>1841553268.78</v>
      </c>
      <c r="E83" s="34">
        <f>(D83/$K$118)</f>
        <v>7.7694305942661666E-3</v>
      </c>
      <c r="F83" s="37">
        <v>1.1551</v>
      </c>
      <c r="G83" s="37">
        <v>1.1551</v>
      </c>
      <c r="H83" s="35">
        <v>1081</v>
      </c>
      <c r="I83" s="56">
        <v>2.9999999999999997E-4</v>
      </c>
      <c r="J83" s="56">
        <v>6.5000000000000002E-2</v>
      </c>
      <c r="K83" s="38">
        <v>1853132607.23</v>
      </c>
      <c r="L83" s="34">
        <f t="shared" si="51"/>
        <v>7.8182833035198018E-3</v>
      </c>
      <c r="M83" s="37">
        <v>1.159</v>
      </c>
      <c r="N83" s="37">
        <v>1.159</v>
      </c>
      <c r="O83" s="35">
        <v>1081</v>
      </c>
      <c r="P83" s="56">
        <v>3.3999999999999998E-3</v>
      </c>
      <c r="Q83" s="56">
        <v>6.8400000000000002E-2</v>
      </c>
      <c r="R83" s="61">
        <f t="shared" si="52"/>
        <v>6.2878107553582616E-3</v>
      </c>
      <c r="S83" s="61">
        <f t="shared" si="53"/>
        <v>3.3763310535884464E-3</v>
      </c>
      <c r="T83" s="61">
        <f t="shared" si="54"/>
        <v>0</v>
      </c>
      <c r="U83" s="62">
        <f t="shared" si="55"/>
        <v>3.0999999999999999E-3</v>
      </c>
      <c r="V83" s="63">
        <f t="shared" si="56"/>
        <v>3.4000000000000002E-3</v>
      </c>
    </row>
    <row r="84" spans="1:22">
      <c r="A84" s="181">
        <v>73</v>
      </c>
      <c r="B84" s="148" t="s">
        <v>132</v>
      </c>
      <c r="C84" s="147" t="s">
        <v>133</v>
      </c>
      <c r="D84" s="38">
        <v>496555363.69999999</v>
      </c>
      <c r="E84" s="34">
        <f t="shared" ref="E84:E102" si="57">(D84/$D$118)</f>
        <v>2.0670156290176112E-3</v>
      </c>
      <c r="F84" s="37">
        <v>2.8290999999999999</v>
      </c>
      <c r="G84" s="37">
        <v>2.8290999999999999</v>
      </c>
      <c r="H84" s="35">
        <v>1390</v>
      </c>
      <c r="I84" s="56">
        <v>0.1381</v>
      </c>
      <c r="J84" s="56">
        <v>0.129</v>
      </c>
      <c r="K84" s="38">
        <v>499126656.04000002</v>
      </c>
      <c r="L84" s="34">
        <f t="shared" si="51"/>
        <v>2.1057929616231028E-3</v>
      </c>
      <c r="M84" s="37">
        <v>2.8424</v>
      </c>
      <c r="N84" s="37">
        <v>2.8424</v>
      </c>
      <c r="O84" s="35">
        <v>1390</v>
      </c>
      <c r="P84" s="56">
        <v>0.1336</v>
      </c>
      <c r="Q84" s="56">
        <v>0.13639999999999999</v>
      </c>
      <c r="R84" s="61">
        <f t="shared" si="52"/>
        <v>5.178259118661965E-3</v>
      </c>
      <c r="S84" s="61">
        <f t="shared" si="53"/>
        <v>4.7011417058428796E-3</v>
      </c>
      <c r="T84" s="61">
        <f t="shared" si="54"/>
        <v>0</v>
      </c>
      <c r="U84" s="62">
        <f t="shared" si="55"/>
        <v>-4.500000000000004E-3</v>
      </c>
      <c r="V84" s="63">
        <f t="shared" si="56"/>
        <v>7.3999999999999899E-3</v>
      </c>
    </row>
    <row r="85" spans="1:22">
      <c r="A85" s="181">
        <v>74</v>
      </c>
      <c r="B85" s="147" t="s">
        <v>134</v>
      </c>
      <c r="C85" s="147" t="s">
        <v>135</v>
      </c>
      <c r="D85" s="38">
        <v>3130346988.6900001</v>
      </c>
      <c r="E85" s="34">
        <f t="shared" si="57"/>
        <v>1.3030724513087049E-2</v>
      </c>
      <c r="F85" s="37">
        <v>1182.8499999999999</v>
      </c>
      <c r="G85" s="37">
        <v>1182.8499999999999</v>
      </c>
      <c r="H85" s="35">
        <v>344</v>
      </c>
      <c r="I85" s="56">
        <v>4.3400000000000001E-3</v>
      </c>
      <c r="J85" s="56">
        <v>5.7049999999999997E-2</v>
      </c>
      <c r="K85" s="38">
        <v>3077327547.2199998</v>
      </c>
      <c r="L85" s="34">
        <f t="shared" si="51"/>
        <v>1.2983106814927226E-2</v>
      </c>
      <c r="M85" s="37">
        <v>1186.17</v>
      </c>
      <c r="N85" s="37">
        <v>1186.17</v>
      </c>
      <c r="O85" s="35">
        <v>313</v>
      </c>
      <c r="P85" s="56">
        <v>2.0100000000000001E-3</v>
      </c>
      <c r="Q85" s="56">
        <v>6.0010000000000001E-2</v>
      </c>
      <c r="R85" s="61">
        <f t="shared" ref="R85" si="58">((K85-D85)/D85)</f>
        <v>-1.6937241034799166E-2</v>
      </c>
      <c r="S85" s="61">
        <f t="shared" si="53"/>
        <v>2.8067802341802967E-3</v>
      </c>
      <c r="T85" s="61">
        <f t="shared" ref="T85" si="59">((O85-H85)/H85)</f>
        <v>-9.0116279069767435E-2</v>
      </c>
      <c r="U85" s="62">
        <f t="shared" si="55"/>
        <v>-2.33E-3</v>
      </c>
      <c r="V85" s="63">
        <f t="shared" si="56"/>
        <v>2.9600000000000043E-3</v>
      </c>
    </row>
    <row r="86" spans="1:22">
      <c r="A86" s="181">
        <v>75</v>
      </c>
      <c r="B86" s="148" t="s">
        <v>136</v>
      </c>
      <c r="C86" s="147" t="s">
        <v>67</v>
      </c>
      <c r="D86" s="38">
        <v>212742060.09999999</v>
      </c>
      <c r="E86" s="34">
        <f t="shared" si="57"/>
        <v>8.8558335147050982E-4</v>
      </c>
      <c r="F86" s="37">
        <v>11.98</v>
      </c>
      <c r="G86" s="37">
        <v>12.058</v>
      </c>
      <c r="H86" s="35">
        <v>47</v>
      </c>
      <c r="I86" s="56">
        <v>-5.2999999999999998E-4</v>
      </c>
      <c r="J86" s="56">
        <v>0.17080000000000001</v>
      </c>
      <c r="K86" s="38">
        <v>198534660.86000001</v>
      </c>
      <c r="L86" s="34">
        <f t="shared" si="51"/>
        <v>8.3760882416929726E-4</v>
      </c>
      <c r="M86" s="37">
        <v>12.039</v>
      </c>
      <c r="N86" s="37">
        <v>12.103</v>
      </c>
      <c r="O86" s="35">
        <v>47</v>
      </c>
      <c r="P86" s="56">
        <v>4.1999999999999997E-3</v>
      </c>
      <c r="Q86" s="56">
        <v>0.1772</v>
      </c>
      <c r="R86" s="61">
        <f t="shared" si="52"/>
        <v>-6.6782277248428223E-2</v>
      </c>
      <c r="S86" s="61">
        <f t="shared" si="53"/>
        <v>3.7319621827832088E-3</v>
      </c>
      <c r="T86" s="61">
        <f t="shared" si="54"/>
        <v>0</v>
      </c>
      <c r="U86" s="62">
        <f t="shared" si="55"/>
        <v>4.7299999999999998E-3</v>
      </c>
      <c r="V86" s="63">
        <f t="shared" si="56"/>
        <v>6.399999999999989E-3</v>
      </c>
    </row>
    <row r="87" spans="1:22">
      <c r="A87" s="181">
        <v>76</v>
      </c>
      <c r="B87" s="148" t="s">
        <v>137</v>
      </c>
      <c r="C87" s="147" t="s">
        <v>69</v>
      </c>
      <c r="D87" s="38">
        <v>2117541279.1322</v>
      </c>
      <c r="E87" s="34">
        <f t="shared" si="57"/>
        <v>8.8147087697165918E-3</v>
      </c>
      <c r="F87" s="38">
        <v>4926.7537870225697</v>
      </c>
      <c r="G87" s="38">
        <v>4926.7537870225697</v>
      </c>
      <c r="H87" s="35">
        <v>1214</v>
      </c>
      <c r="I87" s="56">
        <v>0.1225</v>
      </c>
      <c r="J87" s="56">
        <v>0.14380000000000001</v>
      </c>
      <c r="K87" s="38">
        <v>2111209323.4617801</v>
      </c>
      <c r="L87" s="34">
        <f t="shared" si="51"/>
        <v>8.9070973871261342E-3</v>
      </c>
      <c r="M87" s="38">
        <v>4936.1655975206304</v>
      </c>
      <c r="N87" s="38">
        <v>4936.1655975206304</v>
      </c>
      <c r="O87" s="35">
        <v>1218</v>
      </c>
      <c r="P87" s="56">
        <v>9.9599999999999994E-2</v>
      </c>
      <c r="Q87" s="56">
        <v>0.1409</v>
      </c>
      <c r="R87" s="61">
        <f t="shared" si="52"/>
        <v>-2.9902395447114313E-3</v>
      </c>
      <c r="S87" s="61">
        <f t="shared" si="53"/>
        <v>1.9103472397691416E-3</v>
      </c>
      <c r="T87" s="61">
        <f t="shared" si="54"/>
        <v>3.2948929159802307E-3</v>
      </c>
      <c r="U87" s="62">
        <f t="shared" si="55"/>
        <v>-2.2900000000000004E-2</v>
      </c>
      <c r="V87" s="63">
        <f t="shared" si="56"/>
        <v>-2.9000000000000137E-3</v>
      </c>
    </row>
    <row r="88" spans="1:22">
      <c r="A88" s="181">
        <v>77</v>
      </c>
      <c r="B88" s="148" t="s">
        <v>138</v>
      </c>
      <c r="C88" s="147" t="s">
        <v>71</v>
      </c>
      <c r="D88" s="38">
        <v>379247181.47000003</v>
      </c>
      <c r="E88" s="34">
        <f t="shared" si="57"/>
        <v>1.57869576821846E-3</v>
      </c>
      <c r="F88" s="66">
        <v>115.5</v>
      </c>
      <c r="G88" s="66">
        <v>115.5</v>
      </c>
      <c r="H88" s="35">
        <v>97</v>
      </c>
      <c r="I88" s="56">
        <v>2E-3</v>
      </c>
      <c r="J88" s="56">
        <v>0.1198</v>
      </c>
      <c r="K88" s="38">
        <v>377029726.76999998</v>
      </c>
      <c r="L88" s="34">
        <f t="shared" si="51"/>
        <v>1.5906714965976904E-3</v>
      </c>
      <c r="M88" s="66">
        <v>115.79</v>
      </c>
      <c r="N88" s="66">
        <v>115.79</v>
      </c>
      <c r="O88" s="35">
        <v>97</v>
      </c>
      <c r="P88" s="56">
        <v>2.5000000000000001E-3</v>
      </c>
      <c r="Q88" s="56">
        <v>0.1198</v>
      </c>
      <c r="R88" s="61">
        <f t="shared" si="52"/>
        <v>-5.84699058646915E-3</v>
      </c>
      <c r="S88" s="61">
        <f t="shared" si="53"/>
        <v>2.510822510822565E-3</v>
      </c>
      <c r="T88" s="61">
        <f t="shared" si="54"/>
        <v>0</v>
      </c>
      <c r="U88" s="62">
        <f t="shared" si="55"/>
        <v>5.0000000000000001E-4</v>
      </c>
      <c r="V88" s="63">
        <f t="shared" si="56"/>
        <v>0</v>
      </c>
    </row>
    <row r="89" spans="1:22" ht="13.5" customHeight="1">
      <c r="A89" s="181">
        <v>78</v>
      </c>
      <c r="B89" s="148" t="s">
        <v>139</v>
      </c>
      <c r="C89" s="147" t="s">
        <v>73</v>
      </c>
      <c r="D89" s="38">
        <v>1371076974.7</v>
      </c>
      <c r="E89" s="34">
        <f t="shared" si="57"/>
        <v>5.7073948696752018E-3</v>
      </c>
      <c r="F89" s="66">
        <v>1.5570999999999999</v>
      </c>
      <c r="G89" s="66">
        <v>1.5570999999999999</v>
      </c>
      <c r="H89" s="35">
        <v>2673</v>
      </c>
      <c r="I89" s="56">
        <v>-6.9999999999999999E-4</v>
      </c>
      <c r="J89" s="56">
        <v>8.4400000000000003E-2</v>
      </c>
      <c r="K89" s="38">
        <v>1369870266.45</v>
      </c>
      <c r="L89" s="34">
        <f t="shared" si="51"/>
        <v>5.7794211760070725E-3</v>
      </c>
      <c r="M89" s="66">
        <v>1.5602</v>
      </c>
      <c r="N89" s="66">
        <v>1.5602</v>
      </c>
      <c r="O89" s="35">
        <v>2709</v>
      </c>
      <c r="P89" s="56">
        <v>2E-3</v>
      </c>
      <c r="Q89" s="56">
        <v>0.20030000000000001</v>
      </c>
      <c r="R89" s="61">
        <f t="shared" si="52"/>
        <v>-8.8011707020609477E-4</v>
      </c>
      <c r="S89" s="61">
        <f t="shared" si="53"/>
        <v>1.9908804829491381E-3</v>
      </c>
      <c r="T89" s="61">
        <f t="shared" si="54"/>
        <v>1.3468013468013467E-2</v>
      </c>
      <c r="U89" s="62">
        <f t="shared" si="55"/>
        <v>2.7000000000000001E-3</v>
      </c>
      <c r="V89" s="63">
        <f t="shared" si="56"/>
        <v>0.1159</v>
      </c>
    </row>
    <row r="90" spans="1:22" ht="13.5" customHeight="1">
      <c r="A90" s="181">
        <v>79</v>
      </c>
      <c r="B90" s="148" t="s">
        <v>140</v>
      </c>
      <c r="C90" s="147" t="s">
        <v>73</v>
      </c>
      <c r="D90" s="38">
        <v>148812483.18000001</v>
      </c>
      <c r="E90" s="34">
        <f t="shared" si="57"/>
        <v>6.1946310726354234E-4</v>
      </c>
      <c r="F90" s="66">
        <v>1.0432999999999999</v>
      </c>
      <c r="G90" s="66">
        <v>1.0432999999999999</v>
      </c>
      <c r="H90" s="35">
        <v>100</v>
      </c>
      <c r="I90" s="56">
        <v>-3.5000000000000001E-3</v>
      </c>
      <c r="J90" s="56">
        <v>-0.2873</v>
      </c>
      <c r="K90" s="38">
        <v>148948223.40000001</v>
      </c>
      <c r="L90" s="34">
        <f t="shared" si="51"/>
        <v>6.2840586990579254E-4</v>
      </c>
      <c r="M90" s="66">
        <v>1.0439000000000001</v>
      </c>
      <c r="N90" s="66">
        <v>1.0439000000000001</v>
      </c>
      <c r="O90" s="35">
        <v>100</v>
      </c>
      <c r="P90" s="56">
        <v>5.7999999999999996E-3</v>
      </c>
      <c r="Q90" s="56">
        <v>0.26950000000000002</v>
      </c>
      <c r="R90" s="61">
        <f t="shared" ref="R90" si="60">((K90-D90)/D90)</f>
        <v>9.1215613837859755E-4</v>
      </c>
      <c r="S90" s="61">
        <f t="shared" ref="S90" si="61">((N90-G90)/G90)</f>
        <v>5.7509824595049935E-4</v>
      </c>
      <c r="T90" s="61">
        <f t="shared" ref="T90" si="62">((O90-H90)/H90)</f>
        <v>0</v>
      </c>
      <c r="U90" s="62">
        <f t="shared" ref="U90" si="63">P90-I90</f>
        <v>9.2999999999999992E-3</v>
      </c>
      <c r="V90" s="63">
        <f t="shared" ref="V90" si="64">Q90-J90</f>
        <v>0.55679999999999996</v>
      </c>
    </row>
    <row r="91" spans="1:22">
      <c r="A91" s="181">
        <v>80</v>
      </c>
      <c r="B91" s="148" t="s">
        <v>141</v>
      </c>
      <c r="C91" s="147" t="s">
        <v>29</v>
      </c>
      <c r="D91" s="38">
        <v>234423431.59</v>
      </c>
      <c r="E91" s="34">
        <f t="shared" si="57"/>
        <v>9.7583659814663042E-4</v>
      </c>
      <c r="F91" s="66">
        <v>145.6996</v>
      </c>
      <c r="G91" s="66">
        <v>145.6996</v>
      </c>
      <c r="H91" s="35">
        <v>450</v>
      </c>
      <c r="I91" s="56">
        <v>4.3100000000000001E-4</v>
      </c>
      <c r="J91" s="56">
        <v>8.2500000000000004E-2</v>
      </c>
      <c r="K91" s="38">
        <v>236174586.12</v>
      </c>
      <c r="L91" s="34">
        <f t="shared" si="51"/>
        <v>9.9640997960623637E-4</v>
      </c>
      <c r="M91" s="66">
        <v>146.2004</v>
      </c>
      <c r="N91" s="66">
        <v>146.2004</v>
      </c>
      <c r="O91" s="35">
        <v>450</v>
      </c>
      <c r="P91" s="56">
        <v>4.3600000000000003E-4</v>
      </c>
      <c r="Q91" s="56">
        <v>8.3500000000000005E-2</v>
      </c>
      <c r="R91" s="61">
        <f t="shared" si="52"/>
        <v>7.4700490395632514E-3</v>
      </c>
      <c r="S91" s="61">
        <f t="shared" si="53"/>
        <v>3.4372091618645358E-3</v>
      </c>
      <c r="T91" s="61">
        <f t="shared" si="54"/>
        <v>0</v>
      </c>
      <c r="U91" s="62">
        <f t="shared" si="55"/>
        <v>5.0000000000000131E-6</v>
      </c>
      <c r="V91" s="63">
        <f t="shared" si="56"/>
        <v>1.0000000000000009E-3</v>
      </c>
    </row>
    <row r="92" spans="1:22">
      <c r="A92" s="181">
        <v>81</v>
      </c>
      <c r="B92" s="148" t="s">
        <v>142</v>
      </c>
      <c r="C92" s="147" t="s">
        <v>75</v>
      </c>
      <c r="D92" s="38">
        <v>2735582167.46</v>
      </c>
      <c r="E92" s="34">
        <f t="shared" si="57"/>
        <v>1.1387433321570004E-2</v>
      </c>
      <c r="F92" s="37">
        <v>1343.507971</v>
      </c>
      <c r="G92" s="37">
        <v>1343.507971</v>
      </c>
      <c r="H92" s="35">
        <v>318</v>
      </c>
      <c r="I92" s="56">
        <v>2.5999999999999999E-3</v>
      </c>
      <c r="J92" s="56">
        <v>0.2009</v>
      </c>
      <c r="K92" s="38">
        <v>2752306671.4299998</v>
      </c>
      <c r="L92" s="34">
        <f t="shared" si="51"/>
        <v>1.1611858326518888E-2</v>
      </c>
      <c r="M92" s="37">
        <v>1348.1389730000001</v>
      </c>
      <c r="N92" s="37">
        <v>1348.1389730000001</v>
      </c>
      <c r="O92" s="35">
        <v>318</v>
      </c>
      <c r="P92" s="56">
        <v>3.3999999999999998E-3</v>
      </c>
      <c r="Q92" s="56">
        <v>0.1993</v>
      </c>
      <c r="R92" s="61">
        <f t="shared" si="52"/>
        <v>6.1136909609001309E-3</v>
      </c>
      <c r="S92" s="61">
        <f t="shared" si="53"/>
        <v>3.4469479154285421E-3</v>
      </c>
      <c r="T92" s="61">
        <f t="shared" si="54"/>
        <v>0</v>
      </c>
      <c r="U92" s="62">
        <f t="shared" si="55"/>
        <v>7.9999999999999993E-4</v>
      </c>
      <c r="V92" s="63">
        <f t="shared" si="56"/>
        <v>-1.5999999999999903E-3</v>
      </c>
    </row>
    <row r="93" spans="1:22">
      <c r="A93" s="181">
        <v>82</v>
      </c>
      <c r="B93" s="148" t="s">
        <v>143</v>
      </c>
      <c r="C93" s="147" t="s">
        <v>77</v>
      </c>
      <c r="D93" s="38">
        <v>149117987.47999999</v>
      </c>
      <c r="E93" s="34">
        <f t="shared" si="57"/>
        <v>6.207348328534679E-4</v>
      </c>
      <c r="F93" s="37">
        <v>1001.63</v>
      </c>
      <c r="G93" s="37">
        <v>1012.09</v>
      </c>
      <c r="H93" s="35">
        <v>70</v>
      </c>
      <c r="I93" s="56">
        <v>1.1999999999999999E-3</v>
      </c>
      <c r="J93" s="56">
        <v>2.7900000000000001E-2</v>
      </c>
      <c r="K93" s="38">
        <v>149508211.38</v>
      </c>
      <c r="L93" s="34">
        <f t="shared" si="51"/>
        <v>6.3076843406181912E-4</v>
      </c>
      <c r="M93" s="37">
        <v>1003.92</v>
      </c>
      <c r="N93" s="37">
        <v>1015.57</v>
      </c>
      <c r="O93" s="35">
        <v>70</v>
      </c>
      <c r="P93" s="56">
        <v>2.8999999999999998E-3</v>
      </c>
      <c r="Q93" s="56">
        <v>3.0800000000000001E-2</v>
      </c>
      <c r="R93" s="61">
        <f t="shared" si="52"/>
        <v>2.6168801403140154E-3</v>
      </c>
      <c r="S93" s="61">
        <f t="shared" si="53"/>
        <v>3.4384293886907469E-3</v>
      </c>
      <c r="T93" s="61">
        <f t="shared" si="54"/>
        <v>0</v>
      </c>
      <c r="U93" s="62">
        <f t="shared" si="55"/>
        <v>1.6999999999999999E-3</v>
      </c>
      <c r="V93" s="63">
        <f t="shared" si="56"/>
        <v>2.8999999999999998E-3</v>
      </c>
    </row>
    <row r="94" spans="1:22">
      <c r="A94" s="181">
        <v>83</v>
      </c>
      <c r="B94" s="148" t="s">
        <v>144</v>
      </c>
      <c r="C94" s="147" t="s">
        <v>80</v>
      </c>
      <c r="D94" s="38">
        <v>747440559.57000005</v>
      </c>
      <c r="E94" s="34">
        <f t="shared" si="57"/>
        <v>3.1113777663798882E-3</v>
      </c>
      <c r="F94" s="67">
        <v>1.2329000000000001</v>
      </c>
      <c r="G94" s="67">
        <v>1.2329000000000001</v>
      </c>
      <c r="H94" s="35">
        <v>60</v>
      </c>
      <c r="I94" s="56">
        <v>0.13557</v>
      </c>
      <c r="J94" s="56">
        <v>0.15529999999999999</v>
      </c>
      <c r="K94" s="38">
        <v>744049440.17999995</v>
      </c>
      <c r="L94" s="34">
        <f t="shared" si="51"/>
        <v>3.1391111960670142E-3</v>
      </c>
      <c r="M94" s="67">
        <v>1.24</v>
      </c>
      <c r="N94" s="67">
        <v>1.24</v>
      </c>
      <c r="O94" s="35">
        <v>60</v>
      </c>
      <c r="P94" s="56">
        <v>0.13557</v>
      </c>
      <c r="Q94" s="56">
        <v>0.1535</v>
      </c>
      <c r="R94" s="61">
        <f t="shared" si="52"/>
        <v>-4.5369753441678413E-3</v>
      </c>
      <c r="S94" s="61">
        <f t="shared" si="53"/>
        <v>5.7587801119311248E-3</v>
      </c>
      <c r="T94" s="61">
        <f t="shared" si="54"/>
        <v>0</v>
      </c>
      <c r="U94" s="62">
        <f t="shared" si="55"/>
        <v>0</v>
      </c>
      <c r="V94" s="63">
        <f t="shared" si="56"/>
        <v>-1.799999999999996E-3</v>
      </c>
    </row>
    <row r="95" spans="1:22">
      <c r="A95" s="181">
        <v>84</v>
      </c>
      <c r="B95" s="148" t="s">
        <v>145</v>
      </c>
      <c r="C95" s="147" t="s">
        <v>82</v>
      </c>
      <c r="D95" s="67">
        <v>11648023675.299999</v>
      </c>
      <c r="E95" s="34">
        <f t="shared" si="57"/>
        <v>4.8487336446452034E-2</v>
      </c>
      <c r="F95" s="67">
        <v>1701.75</v>
      </c>
      <c r="G95" s="67">
        <v>1701.75</v>
      </c>
      <c r="H95" s="35">
        <v>2036</v>
      </c>
      <c r="I95" s="56">
        <v>2.2000000000000001E-3</v>
      </c>
      <c r="J95" s="56">
        <v>2.1299999999999999E-2</v>
      </c>
      <c r="K95" s="67">
        <v>11670811869.35</v>
      </c>
      <c r="L95" s="34">
        <f t="shared" si="51"/>
        <v>4.9238631504655704E-2</v>
      </c>
      <c r="M95" s="67">
        <v>1706.26</v>
      </c>
      <c r="N95" s="67">
        <v>1706.26</v>
      </c>
      <c r="O95" s="35">
        <v>2036</v>
      </c>
      <c r="P95" s="56">
        <v>2.3E-3</v>
      </c>
      <c r="Q95" s="56">
        <v>2.4E-2</v>
      </c>
      <c r="R95" s="61">
        <f t="shared" si="52"/>
        <v>1.9564000456424404E-3</v>
      </c>
      <c r="S95" s="61">
        <f t="shared" si="53"/>
        <v>2.6502130160129225E-3</v>
      </c>
      <c r="T95" s="61">
        <f t="shared" si="54"/>
        <v>0</v>
      </c>
      <c r="U95" s="62">
        <f t="shared" si="55"/>
        <v>9.9999999999999829E-5</v>
      </c>
      <c r="V95" s="63">
        <f t="shared" si="56"/>
        <v>2.700000000000001E-3</v>
      </c>
    </row>
    <row r="96" spans="1:22">
      <c r="A96" s="181">
        <v>85</v>
      </c>
      <c r="B96" s="148" t="s">
        <v>146</v>
      </c>
      <c r="C96" s="147" t="s">
        <v>90</v>
      </c>
      <c r="D96" s="38">
        <v>23648228.829999998</v>
      </c>
      <c r="E96" s="34">
        <f t="shared" si="57"/>
        <v>9.8440702011482175E-5</v>
      </c>
      <c r="F96" s="66">
        <v>0.72240000000000004</v>
      </c>
      <c r="G96" s="66">
        <v>0.72240000000000004</v>
      </c>
      <c r="H96" s="35">
        <v>744</v>
      </c>
      <c r="I96" s="56">
        <v>-3.5000000000000003E-2</v>
      </c>
      <c r="J96" s="56">
        <v>-9.5999999999999992E-3</v>
      </c>
      <c r="K96" s="38">
        <v>23711045.239999998</v>
      </c>
      <c r="L96" s="34">
        <f t="shared" si="51"/>
        <v>1.0003583574409925E-4</v>
      </c>
      <c r="M96" s="66">
        <v>0.72430000000000005</v>
      </c>
      <c r="N96" s="66">
        <v>0.72430000000000005</v>
      </c>
      <c r="O96" s="35">
        <v>744</v>
      </c>
      <c r="P96" s="56">
        <v>2.5999999999999999E-3</v>
      </c>
      <c r="Q96" s="56">
        <v>-7.0000000000000001E-3</v>
      </c>
      <c r="R96" s="61">
        <f t="shared" si="52"/>
        <v>2.656283920946825E-3</v>
      </c>
      <c r="S96" s="61">
        <f t="shared" si="53"/>
        <v>2.6301218161683452E-3</v>
      </c>
      <c r="T96" s="61">
        <f t="shared" si="54"/>
        <v>0</v>
      </c>
      <c r="U96" s="62">
        <f t="shared" si="55"/>
        <v>3.7600000000000001E-2</v>
      </c>
      <c r="V96" s="63">
        <f t="shared" si="56"/>
        <v>2.599999999999999E-3</v>
      </c>
    </row>
    <row r="97" spans="1:22">
      <c r="A97" s="181">
        <v>86</v>
      </c>
      <c r="B97" s="148" t="s">
        <v>147</v>
      </c>
      <c r="C97" s="147" t="s">
        <v>36</v>
      </c>
      <c r="D97" s="38">
        <v>12269987830.83</v>
      </c>
      <c r="E97" s="34">
        <f t="shared" si="57"/>
        <v>5.1076392419163202E-2</v>
      </c>
      <c r="F97" s="66">
        <v>1</v>
      </c>
      <c r="G97" s="66">
        <v>1</v>
      </c>
      <c r="H97" s="35">
        <v>5750</v>
      </c>
      <c r="I97" s="56">
        <v>0.06</v>
      </c>
      <c r="J97" s="56">
        <v>0.06</v>
      </c>
      <c r="K97" s="38">
        <v>12302704920.27</v>
      </c>
      <c r="L97" s="34">
        <f t="shared" si="51"/>
        <v>5.1904559927879908E-2</v>
      </c>
      <c r="M97" s="66">
        <v>1</v>
      </c>
      <c r="N97" s="66">
        <v>1</v>
      </c>
      <c r="O97" s="35">
        <v>5761</v>
      </c>
      <c r="P97" s="56">
        <v>0.06</v>
      </c>
      <c r="Q97" s="56">
        <v>0.06</v>
      </c>
      <c r="R97" s="61">
        <f t="shared" si="52"/>
        <v>2.6664321017331764E-3</v>
      </c>
      <c r="S97" s="61">
        <f t="shared" si="53"/>
        <v>0</v>
      </c>
      <c r="T97" s="61">
        <f t="shared" si="54"/>
        <v>1.9130434782608696E-3</v>
      </c>
      <c r="U97" s="62">
        <f t="shared" si="55"/>
        <v>0</v>
      </c>
      <c r="V97" s="63">
        <f t="shared" si="56"/>
        <v>0</v>
      </c>
    </row>
    <row r="98" spans="1:22">
      <c r="A98" s="181">
        <v>87</v>
      </c>
      <c r="B98" s="148" t="s">
        <v>148</v>
      </c>
      <c r="C98" s="147" t="s">
        <v>149</v>
      </c>
      <c r="D98" s="38">
        <v>1783209413.9400001</v>
      </c>
      <c r="E98" s="34">
        <f t="shared" si="57"/>
        <v>7.4229824061516122E-3</v>
      </c>
      <c r="F98" s="38">
        <v>279.27</v>
      </c>
      <c r="G98" s="38">
        <v>279.27</v>
      </c>
      <c r="H98" s="35">
        <v>562</v>
      </c>
      <c r="I98" s="56">
        <v>3.0000000000000001E-3</v>
      </c>
      <c r="J98" s="56">
        <v>0.16980000000000001</v>
      </c>
      <c r="K98" s="38">
        <v>1786403113.4300001</v>
      </c>
      <c r="L98" s="34">
        <f t="shared" si="51"/>
        <v>7.5367545639177819E-3</v>
      </c>
      <c r="M98" s="38">
        <v>280.12</v>
      </c>
      <c r="N98" s="38">
        <v>280.12</v>
      </c>
      <c r="O98" s="35">
        <v>562</v>
      </c>
      <c r="P98" s="56">
        <v>3.0000000000000001E-3</v>
      </c>
      <c r="Q98" s="56">
        <v>0.16769999999999999</v>
      </c>
      <c r="R98" s="61">
        <f t="shared" si="52"/>
        <v>1.7909839781204008E-3</v>
      </c>
      <c r="S98" s="61">
        <f t="shared" si="53"/>
        <v>3.0436495148065414E-3</v>
      </c>
      <c r="T98" s="61">
        <f t="shared" si="54"/>
        <v>0</v>
      </c>
      <c r="U98" s="62">
        <f t="shared" si="55"/>
        <v>0</v>
      </c>
      <c r="V98" s="63">
        <f t="shared" si="56"/>
        <v>-2.1000000000000185E-3</v>
      </c>
    </row>
    <row r="99" spans="1:22">
      <c r="A99" s="181">
        <v>88</v>
      </c>
      <c r="B99" s="148" t="s">
        <v>150</v>
      </c>
      <c r="C99" s="147" t="s">
        <v>40</v>
      </c>
      <c r="D99" s="38">
        <v>1120477426.04</v>
      </c>
      <c r="E99" s="34">
        <f t="shared" si="57"/>
        <v>4.6642217986096936E-3</v>
      </c>
      <c r="F99" s="66">
        <v>3.76</v>
      </c>
      <c r="G99" s="66">
        <v>3.79</v>
      </c>
      <c r="H99" s="52">
        <v>806</v>
      </c>
      <c r="I99" s="59">
        <v>3.8899999999999997E-2</v>
      </c>
      <c r="J99" s="59">
        <v>0.16489999999999999</v>
      </c>
      <c r="K99" s="38">
        <v>1149295594.46</v>
      </c>
      <c r="L99" s="34">
        <f t="shared" si="51"/>
        <v>4.8488265340097458E-3</v>
      </c>
      <c r="M99" s="66">
        <v>3.77</v>
      </c>
      <c r="N99" s="66">
        <v>3.8</v>
      </c>
      <c r="O99" s="52">
        <v>809</v>
      </c>
      <c r="P99" s="59">
        <v>4.2299999999999997E-2</v>
      </c>
      <c r="Q99" s="59">
        <v>0.16569999999999999</v>
      </c>
      <c r="R99" s="61">
        <f t="shared" si="52"/>
        <v>2.5719543964263049E-2</v>
      </c>
      <c r="S99" s="61">
        <f t="shared" si="53"/>
        <v>2.6385224274405768E-3</v>
      </c>
      <c r="T99" s="61">
        <f t="shared" si="54"/>
        <v>3.7220843672456576E-3</v>
      </c>
      <c r="U99" s="62">
        <f t="shared" si="55"/>
        <v>3.4000000000000002E-3</v>
      </c>
      <c r="V99" s="63">
        <f t="shared" si="56"/>
        <v>7.9999999999999516E-4</v>
      </c>
    </row>
    <row r="100" spans="1:22">
      <c r="A100" s="181">
        <v>89</v>
      </c>
      <c r="B100" s="148" t="s">
        <v>151</v>
      </c>
      <c r="C100" s="147" t="s">
        <v>42</v>
      </c>
      <c r="D100" s="38">
        <v>785165014.39999998</v>
      </c>
      <c r="E100" s="34">
        <f t="shared" si="57"/>
        <v>3.2684137052301819E-3</v>
      </c>
      <c r="F100" s="66">
        <v>112.88665</v>
      </c>
      <c r="G100" s="66">
        <v>112.88665</v>
      </c>
      <c r="H100" s="52">
        <v>251</v>
      </c>
      <c r="I100" s="59">
        <v>0.14729999999999999</v>
      </c>
      <c r="J100" s="59">
        <v>0.1694</v>
      </c>
      <c r="K100" s="38">
        <v>803368423.5</v>
      </c>
      <c r="L100" s="34">
        <f t="shared" si="51"/>
        <v>3.3893753245287962E-3</v>
      </c>
      <c r="M100" s="66">
        <v>113.33765</v>
      </c>
      <c r="N100" s="66">
        <v>113.33765</v>
      </c>
      <c r="O100" s="52">
        <v>251</v>
      </c>
      <c r="P100" s="59">
        <v>0.1474</v>
      </c>
      <c r="Q100" s="59">
        <v>0.1694</v>
      </c>
      <c r="R100" s="61">
        <f t="shared" si="52"/>
        <v>2.3184182644600555E-2</v>
      </c>
      <c r="S100" s="61">
        <f t="shared" si="53"/>
        <v>3.9951579748357616E-3</v>
      </c>
      <c r="T100" s="61">
        <f t="shared" si="54"/>
        <v>0</v>
      </c>
      <c r="U100" s="62">
        <f t="shared" si="55"/>
        <v>1.0000000000001674E-4</v>
      </c>
      <c r="V100" s="63">
        <f t="shared" si="56"/>
        <v>0</v>
      </c>
    </row>
    <row r="101" spans="1:22">
      <c r="A101" s="181">
        <v>90</v>
      </c>
      <c r="B101" s="147" t="s">
        <v>152</v>
      </c>
      <c r="C101" s="149" t="s">
        <v>46</v>
      </c>
      <c r="D101" s="38">
        <v>1174488957.46</v>
      </c>
      <c r="E101" s="34">
        <f t="shared" si="57"/>
        <v>4.8890561026043756E-3</v>
      </c>
      <c r="F101" s="66">
        <v>115.48</v>
      </c>
      <c r="G101" s="66">
        <v>116.39</v>
      </c>
      <c r="H101" s="35">
        <v>3173</v>
      </c>
      <c r="I101" s="56">
        <v>3.7000000000000002E-3</v>
      </c>
      <c r="J101" s="56">
        <v>5.3800000000000001E-2</v>
      </c>
      <c r="K101" s="38">
        <v>1180140485.03</v>
      </c>
      <c r="L101" s="34">
        <f t="shared" si="51"/>
        <v>4.9789597430426359E-3</v>
      </c>
      <c r="M101" s="66">
        <v>115.69</v>
      </c>
      <c r="N101" s="66">
        <v>116.33</v>
      </c>
      <c r="O101" s="35">
        <v>3230</v>
      </c>
      <c r="P101" s="56">
        <v>-1.9E-3</v>
      </c>
      <c r="Q101" s="56">
        <v>4.6699999999999998E-2</v>
      </c>
      <c r="R101" s="61">
        <f t="shared" si="52"/>
        <v>4.8119035382181612E-3</v>
      </c>
      <c r="S101" s="61">
        <f t="shared" si="53"/>
        <v>-5.1550820517228522E-4</v>
      </c>
      <c r="T101" s="61">
        <f t="shared" si="54"/>
        <v>1.7964071856287425E-2</v>
      </c>
      <c r="U101" s="62">
        <f t="shared" si="55"/>
        <v>-5.5999999999999999E-3</v>
      </c>
      <c r="V101" s="63">
        <f t="shared" si="56"/>
        <v>-7.1000000000000021E-3</v>
      </c>
    </row>
    <row r="102" spans="1:22">
      <c r="A102" s="181">
        <v>91</v>
      </c>
      <c r="B102" s="148" t="s">
        <v>153</v>
      </c>
      <c r="C102" s="147" t="s">
        <v>19</v>
      </c>
      <c r="D102" s="140">
        <v>1692391339.55</v>
      </c>
      <c r="E102" s="142">
        <f t="shared" si="57"/>
        <v>7.0449331635402106E-3</v>
      </c>
      <c r="F102" s="143">
        <v>401.69029999999998</v>
      </c>
      <c r="G102" s="143">
        <v>401.69029999999998</v>
      </c>
      <c r="H102" s="36">
        <v>96</v>
      </c>
      <c r="I102" s="57">
        <v>2.5000000000000001E-3</v>
      </c>
      <c r="J102" s="57">
        <v>4.48E-2</v>
      </c>
      <c r="K102" s="140">
        <v>1711152258.95</v>
      </c>
      <c r="L102" s="142">
        <f t="shared" si="51"/>
        <v>7.219274586035356E-3</v>
      </c>
      <c r="M102" s="143">
        <v>402.47809999999998</v>
      </c>
      <c r="N102" s="143">
        <v>402.47809999999998</v>
      </c>
      <c r="O102" s="36">
        <v>96</v>
      </c>
      <c r="P102" s="57">
        <v>2E-3</v>
      </c>
      <c r="Q102" s="57">
        <v>4.6800000000000001E-2</v>
      </c>
      <c r="R102" s="62">
        <f t="shared" si="52"/>
        <v>1.108544989658748E-2</v>
      </c>
      <c r="S102" s="62">
        <f t="shared" si="53"/>
        <v>1.9612124066725146E-3</v>
      </c>
      <c r="T102" s="62">
        <f t="shared" si="54"/>
        <v>0</v>
      </c>
      <c r="U102" s="62">
        <f t="shared" si="55"/>
        <v>-5.0000000000000001E-4</v>
      </c>
      <c r="V102" s="63">
        <f t="shared" si="56"/>
        <v>2.0000000000000018E-3</v>
      </c>
    </row>
    <row r="103" spans="1:22">
      <c r="A103" s="181">
        <v>92</v>
      </c>
      <c r="B103" s="148" t="s">
        <v>154</v>
      </c>
      <c r="C103" s="147" t="s">
        <v>102</v>
      </c>
      <c r="D103" s="50">
        <v>5659827170</v>
      </c>
      <c r="E103" s="34">
        <f>(D103/$K$76)</f>
        <v>1.0072656509880146E-3</v>
      </c>
      <c r="F103" s="66">
        <v>103.14</v>
      </c>
      <c r="G103" s="66">
        <v>103.14</v>
      </c>
      <c r="H103" s="35">
        <v>494</v>
      </c>
      <c r="I103" s="56">
        <v>-1.6899999999999998E-2</v>
      </c>
      <c r="J103" s="56">
        <v>0.1512</v>
      </c>
      <c r="K103" s="50">
        <v>5582685078</v>
      </c>
      <c r="L103" s="34">
        <f t="shared" si="51"/>
        <v>2.3553097799826977E-2</v>
      </c>
      <c r="M103" s="66">
        <v>103.55</v>
      </c>
      <c r="N103" s="66">
        <v>103.55</v>
      </c>
      <c r="O103" s="35">
        <v>497</v>
      </c>
      <c r="P103" s="56">
        <v>4.0000000000000001E-3</v>
      </c>
      <c r="Q103" s="56">
        <v>0.15379999999999999</v>
      </c>
      <c r="R103" s="61">
        <f t="shared" si="52"/>
        <v>-1.362976106565459E-2</v>
      </c>
      <c r="S103" s="61">
        <f t="shared" si="53"/>
        <v>3.9751793678494919E-3</v>
      </c>
      <c r="T103" s="61">
        <f t="shared" si="54"/>
        <v>6.0728744939271256E-3</v>
      </c>
      <c r="U103" s="62">
        <f t="shared" si="55"/>
        <v>2.0899999999999998E-2</v>
      </c>
      <c r="V103" s="63">
        <f t="shared" si="56"/>
        <v>2.5999999999999912E-3</v>
      </c>
    </row>
    <row r="104" spans="1:22">
      <c r="A104" s="181">
        <v>93</v>
      </c>
      <c r="B104" s="148" t="s">
        <v>155</v>
      </c>
      <c r="C104" s="147" t="s">
        <v>44</v>
      </c>
      <c r="D104" s="38">
        <v>61768375.399999999</v>
      </c>
      <c r="E104" s="34">
        <f t="shared" ref="E104:E117" si="65">(D104/$D$118)</f>
        <v>2.5712379054667521E-4</v>
      </c>
      <c r="F104" s="38">
        <v>12.779308</v>
      </c>
      <c r="G104" s="38">
        <v>13.44</v>
      </c>
      <c r="H104" s="35">
        <v>54</v>
      </c>
      <c r="I104" s="56">
        <v>-4.0000000000000002E-4</v>
      </c>
      <c r="J104" s="56">
        <v>-8.43E-2</v>
      </c>
      <c r="K104" s="38">
        <v>61221591.049999997</v>
      </c>
      <c r="L104" s="34">
        <f t="shared" si="51"/>
        <v>2.5829114508788383E-4</v>
      </c>
      <c r="M104" s="38">
        <v>12.708285999999999</v>
      </c>
      <c r="N104" s="38">
        <v>13.373875999999999</v>
      </c>
      <c r="O104" s="35">
        <v>54</v>
      </c>
      <c r="P104" s="56">
        <v>-1.12E-2</v>
      </c>
      <c r="Q104" s="56">
        <v>-8.43E-2</v>
      </c>
      <c r="R104" s="61">
        <f t="shared" si="52"/>
        <v>-8.8521730814374224E-3</v>
      </c>
      <c r="S104" s="61">
        <f t="shared" si="53"/>
        <v>-4.9199404761904979E-3</v>
      </c>
      <c r="T104" s="61">
        <f t="shared" si="54"/>
        <v>0</v>
      </c>
      <c r="U104" s="62">
        <f t="shared" si="55"/>
        <v>-1.0800000000000001E-2</v>
      </c>
      <c r="V104" s="63">
        <f t="shared" si="56"/>
        <v>0</v>
      </c>
    </row>
    <row r="105" spans="1:22">
      <c r="A105" s="181">
        <v>94</v>
      </c>
      <c r="B105" s="148" t="s">
        <v>156</v>
      </c>
      <c r="C105" s="147" t="s">
        <v>157</v>
      </c>
      <c r="D105" s="38">
        <v>1010317159.7</v>
      </c>
      <c r="E105" s="34">
        <f t="shared" si="65"/>
        <v>4.2056566337410036E-3</v>
      </c>
      <c r="F105" s="38">
        <v>162.85</v>
      </c>
      <c r="G105" s="38">
        <v>162.85</v>
      </c>
      <c r="H105" s="35">
        <v>190</v>
      </c>
      <c r="I105" s="56">
        <v>0.16520000000000001</v>
      </c>
      <c r="J105" s="56">
        <v>0.1888</v>
      </c>
      <c r="K105" s="38">
        <v>1016529319.65</v>
      </c>
      <c r="L105" s="34">
        <f t="shared" si="51"/>
        <v>4.2886915789785898E-3</v>
      </c>
      <c r="M105" s="38">
        <v>163.1</v>
      </c>
      <c r="N105" s="38">
        <v>163.1</v>
      </c>
      <c r="O105" s="35">
        <v>190</v>
      </c>
      <c r="P105" s="56">
        <v>5.2400000000000002E-2</v>
      </c>
      <c r="Q105" s="56">
        <v>0.18110000000000001</v>
      </c>
      <c r="R105" s="61">
        <f t="shared" si="52"/>
        <v>6.14872259701552E-3</v>
      </c>
      <c r="S105" s="61">
        <f t="shared" si="53"/>
        <v>1.5351550506601168E-3</v>
      </c>
      <c r="T105" s="61">
        <f t="shared" si="54"/>
        <v>0</v>
      </c>
      <c r="U105" s="62">
        <f t="shared" si="55"/>
        <v>-0.11280000000000001</v>
      </c>
      <c r="V105" s="63">
        <f t="shared" si="56"/>
        <v>-7.6999999999999846E-3</v>
      </c>
    </row>
    <row r="106" spans="1:22">
      <c r="A106" s="181">
        <v>95</v>
      </c>
      <c r="B106" s="148" t="s">
        <v>158</v>
      </c>
      <c r="C106" s="147" t="s">
        <v>159</v>
      </c>
      <c r="D106" s="38">
        <v>11367312649.5222</v>
      </c>
      <c r="E106" s="34">
        <f t="shared" si="65"/>
        <v>4.7318818049637709E-2</v>
      </c>
      <c r="F106" s="38">
        <v>1.03</v>
      </c>
      <c r="G106" s="38">
        <v>1.03</v>
      </c>
      <c r="H106" s="35">
        <v>5334</v>
      </c>
      <c r="I106" s="56">
        <v>0.16109999999999999</v>
      </c>
      <c r="J106" s="56">
        <v>0.16109999999999999</v>
      </c>
      <c r="K106" s="38">
        <v>11908180239.863001</v>
      </c>
      <c r="L106" s="34">
        <f t="shared" si="51"/>
        <v>5.024007800704039E-2</v>
      </c>
      <c r="M106" s="38">
        <v>1.04</v>
      </c>
      <c r="N106" s="38">
        <v>1.04</v>
      </c>
      <c r="O106" s="35">
        <v>5334</v>
      </c>
      <c r="P106" s="56">
        <v>0.16120000000000001</v>
      </c>
      <c r="Q106" s="56">
        <v>0.16120000000000001</v>
      </c>
      <c r="R106" s="61">
        <f t="shared" si="52"/>
        <v>4.7580954885017214E-2</v>
      </c>
      <c r="S106" s="61">
        <f t="shared" si="53"/>
        <v>9.7087378640776777E-3</v>
      </c>
      <c r="T106" s="61">
        <f t="shared" si="54"/>
        <v>0</v>
      </c>
      <c r="U106" s="62">
        <f t="shared" si="55"/>
        <v>1.0000000000001674E-4</v>
      </c>
      <c r="V106" s="63">
        <f t="shared" si="56"/>
        <v>1.0000000000001674E-4</v>
      </c>
    </row>
    <row r="107" spans="1:22">
      <c r="A107" s="181">
        <v>96</v>
      </c>
      <c r="B107" s="148" t="s">
        <v>344</v>
      </c>
      <c r="C107" s="147" t="s">
        <v>48</v>
      </c>
      <c r="D107" s="38">
        <v>163460335.75</v>
      </c>
      <c r="E107" s="34">
        <f t="shared" si="65"/>
        <v>6.8043785933978454E-4</v>
      </c>
      <c r="F107" s="38">
        <v>0</v>
      </c>
      <c r="G107" s="38">
        <v>0</v>
      </c>
      <c r="H107" s="35">
        <v>1</v>
      </c>
      <c r="I107" s="56">
        <v>0</v>
      </c>
      <c r="J107" s="56">
        <v>0</v>
      </c>
      <c r="K107" s="38">
        <v>0</v>
      </c>
      <c r="L107" s="34">
        <f t="shared" si="51"/>
        <v>0</v>
      </c>
      <c r="M107" s="38">
        <v>0</v>
      </c>
      <c r="N107" s="38">
        <v>0</v>
      </c>
      <c r="O107" s="35">
        <v>0</v>
      </c>
      <c r="P107" s="56">
        <v>0</v>
      </c>
      <c r="Q107" s="56">
        <v>0</v>
      </c>
      <c r="R107" s="61">
        <f t="shared" si="52"/>
        <v>-1</v>
      </c>
      <c r="S107" s="61" t="e">
        <f t="shared" si="53"/>
        <v>#DIV/0!</v>
      </c>
      <c r="T107" s="61">
        <f t="shared" si="54"/>
        <v>-1</v>
      </c>
      <c r="U107" s="62">
        <f t="shared" si="55"/>
        <v>0</v>
      </c>
      <c r="V107" s="63">
        <f t="shared" si="56"/>
        <v>0</v>
      </c>
    </row>
    <row r="108" spans="1:22" ht="13.5" customHeight="1">
      <c r="A108" s="181">
        <v>97</v>
      </c>
      <c r="B108" s="148" t="s">
        <v>160</v>
      </c>
      <c r="C108" s="147" t="s">
        <v>48</v>
      </c>
      <c r="D108" s="38">
        <v>15180509317.450001</v>
      </c>
      <c r="E108" s="34">
        <f t="shared" si="65"/>
        <v>6.3192047271035487E-2</v>
      </c>
      <c r="F108" s="66">
        <v>259.25</v>
      </c>
      <c r="G108" s="66">
        <v>259.25</v>
      </c>
      <c r="H108" s="35">
        <v>5928</v>
      </c>
      <c r="I108" s="56">
        <v>0</v>
      </c>
      <c r="J108" s="56">
        <v>0</v>
      </c>
      <c r="K108" s="38">
        <v>15172349670.68</v>
      </c>
      <c r="L108" s="34">
        <f t="shared" si="51"/>
        <v>6.4011462343622219E-2</v>
      </c>
      <c r="M108" s="66">
        <v>259.25</v>
      </c>
      <c r="N108" s="66">
        <v>259.25</v>
      </c>
      <c r="O108" s="35">
        <v>5922</v>
      </c>
      <c r="P108" s="56">
        <v>0</v>
      </c>
      <c r="Q108" s="56">
        <v>0</v>
      </c>
      <c r="R108" s="61">
        <f t="shared" si="52"/>
        <v>-5.3750810327693954E-4</v>
      </c>
      <c r="S108" s="61">
        <f t="shared" si="53"/>
        <v>0</v>
      </c>
      <c r="T108" s="61">
        <f t="shared" si="54"/>
        <v>-1.0121457489878543E-3</v>
      </c>
      <c r="U108" s="62">
        <f t="shared" si="55"/>
        <v>0</v>
      </c>
      <c r="V108" s="63">
        <f t="shared" si="56"/>
        <v>0</v>
      </c>
    </row>
    <row r="109" spans="1:22" ht="13.5" customHeight="1">
      <c r="A109" s="181">
        <v>98</v>
      </c>
      <c r="B109" s="148" t="s">
        <v>161</v>
      </c>
      <c r="C109" s="147" t="s">
        <v>48</v>
      </c>
      <c r="D109" s="38">
        <v>1001394040.2</v>
      </c>
      <c r="E109" s="34">
        <f t="shared" si="65"/>
        <v>4.168512281238883E-3</v>
      </c>
      <c r="F109" s="37">
        <v>10430.66</v>
      </c>
      <c r="G109" s="37">
        <v>10470.81</v>
      </c>
      <c r="H109" s="35">
        <v>27</v>
      </c>
      <c r="I109" s="56">
        <v>1E-4</v>
      </c>
      <c r="J109" s="56">
        <v>0.1115</v>
      </c>
      <c r="K109" s="38">
        <v>1051088595.86</v>
      </c>
      <c r="L109" s="34">
        <f t="shared" si="51"/>
        <v>4.4344956143294381E-3</v>
      </c>
      <c r="M109" s="37">
        <v>10520.41</v>
      </c>
      <c r="N109" s="37">
        <v>10559.68</v>
      </c>
      <c r="O109" s="35">
        <v>29</v>
      </c>
      <c r="P109" s="56">
        <v>8.2000000000000007E-3</v>
      </c>
      <c r="Q109" s="56">
        <v>0.1205</v>
      </c>
      <c r="R109" s="61">
        <f t="shared" si="52"/>
        <v>4.9625375891067705E-2</v>
      </c>
      <c r="S109" s="61">
        <f t="shared" si="53"/>
        <v>8.4874045083427937E-3</v>
      </c>
      <c r="T109" s="61">
        <f t="shared" si="54"/>
        <v>7.407407407407407E-2</v>
      </c>
      <c r="U109" s="62">
        <f t="shared" si="55"/>
        <v>8.1000000000000013E-3</v>
      </c>
      <c r="V109" s="63">
        <f t="shared" si="56"/>
        <v>8.9999999999999941E-3</v>
      </c>
    </row>
    <row r="110" spans="1:22" ht="15" customHeight="1">
      <c r="A110" s="181">
        <v>99</v>
      </c>
      <c r="B110" s="148" t="s">
        <v>162</v>
      </c>
      <c r="C110" s="147" t="s">
        <v>48</v>
      </c>
      <c r="D110" s="38">
        <v>6785316184.6400003</v>
      </c>
      <c r="E110" s="34">
        <f t="shared" si="65"/>
        <v>2.8245298765820236E-2</v>
      </c>
      <c r="F110" s="66">
        <v>170.69</v>
      </c>
      <c r="G110" s="66">
        <v>170.69</v>
      </c>
      <c r="H110" s="35">
        <v>6093</v>
      </c>
      <c r="I110" s="56">
        <v>2.0500000000000001E-2</v>
      </c>
      <c r="J110" s="56">
        <v>5.7799999999999997E-2</v>
      </c>
      <c r="K110" s="38">
        <v>6306182158.9700003</v>
      </c>
      <c r="L110" s="34">
        <f t="shared" si="51"/>
        <v>2.6605499514752398E-2</v>
      </c>
      <c r="M110" s="66">
        <v>170.67</v>
      </c>
      <c r="N110" s="66">
        <v>170.67</v>
      </c>
      <c r="O110" s="35">
        <v>6161</v>
      </c>
      <c r="P110" s="56">
        <v>-5.0000000000000001E-4</v>
      </c>
      <c r="Q110" s="56">
        <v>5.7200000000000001E-2</v>
      </c>
      <c r="R110" s="61">
        <f t="shared" si="52"/>
        <v>-7.0613367547207512E-2</v>
      </c>
      <c r="S110" s="61">
        <f t="shared" si="53"/>
        <v>-1.1717148046171557E-4</v>
      </c>
      <c r="T110" s="61">
        <f t="shared" si="54"/>
        <v>1.1160347940259314E-2</v>
      </c>
      <c r="U110" s="62">
        <f t="shared" si="55"/>
        <v>-2.1000000000000001E-2</v>
      </c>
      <c r="V110" s="63">
        <f t="shared" si="56"/>
        <v>-5.9999999999999637E-4</v>
      </c>
    </row>
    <row r="111" spans="1:22" ht="15" customHeight="1">
      <c r="A111" s="181">
        <v>100</v>
      </c>
      <c r="B111" s="148" t="s">
        <v>163</v>
      </c>
      <c r="C111" s="147" t="s">
        <v>48</v>
      </c>
      <c r="D111" s="38">
        <v>5710048215.6099997</v>
      </c>
      <c r="E111" s="34">
        <f t="shared" si="65"/>
        <v>2.3769270794224615E-2</v>
      </c>
      <c r="F111" s="66">
        <v>388.1</v>
      </c>
      <c r="G111" s="66">
        <v>388.1</v>
      </c>
      <c r="H111" s="35">
        <v>11803</v>
      </c>
      <c r="I111" s="56">
        <v>1E-4</v>
      </c>
      <c r="J111" s="56">
        <v>7.4999999999999997E-3</v>
      </c>
      <c r="K111" s="38">
        <v>5710048215.6099997</v>
      </c>
      <c r="L111" s="34">
        <f t="shared" si="51"/>
        <v>2.4090437161497693E-2</v>
      </c>
      <c r="M111" s="66">
        <v>388.1</v>
      </c>
      <c r="N111" s="66">
        <v>388.1</v>
      </c>
      <c r="O111" s="35">
        <v>11803</v>
      </c>
      <c r="P111" s="56">
        <v>1E-4</v>
      </c>
      <c r="Q111" s="56">
        <v>7.4999999999999997E-3</v>
      </c>
      <c r="R111" s="61">
        <f t="shared" si="52"/>
        <v>0</v>
      </c>
      <c r="S111" s="61">
        <f t="shared" si="53"/>
        <v>0</v>
      </c>
      <c r="T111" s="61">
        <f t="shared" si="54"/>
        <v>0</v>
      </c>
      <c r="U111" s="62">
        <f t="shared" si="55"/>
        <v>0</v>
      </c>
      <c r="V111" s="63">
        <f t="shared" si="56"/>
        <v>0</v>
      </c>
    </row>
    <row r="112" spans="1:22" ht="15" customHeight="1">
      <c r="A112" s="181">
        <v>101</v>
      </c>
      <c r="B112" s="148" t="s">
        <v>164</v>
      </c>
      <c r="C112" s="147" t="s">
        <v>116</v>
      </c>
      <c r="D112" s="38">
        <v>117419351.23999999</v>
      </c>
      <c r="E112" s="34">
        <f t="shared" si="65"/>
        <v>4.8878262507063197E-4</v>
      </c>
      <c r="F112" s="66">
        <v>118.17919999999999</v>
      </c>
      <c r="G112" s="66">
        <v>118.17919999999999</v>
      </c>
      <c r="H112" s="35">
        <v>27</v>
      </c>
      <c r="I112" s="56">
        <v>1.8048999999999999E-3</v>
      </c>
      <c r="J112" s="56">
        <v>0.1739</v>
      </c>
      <c r="K112" s="38">
        <v>117796550.72</v>
      </c>
      <c r="L112" s="34">
        <f t="shared" si="51"/>
        <v>4.9697836091882794E-4</v>
      </c>
      <c r="M112" s="66">
        <v>118.508</v>
      </c>
      <c r="N112" s="66">
        <v>118.508</v>
      </c>
      <c r="O112" s="35">
        <v>27</v>
      </c>
      <c r="P112" s="56">
        <v>2.8178000000000001E-3</v>
      </c>
      <c r="Q112" s="56">
        <v>0.1706</v>
      </c>
      <c r="R112" s="61">
        <f t="shared" ref="R112" si="66">((K112-D112)/D112)</f>
        <v>3.2124132523013607E-3</v>
      </c>
      <c r="S112" s="61">
        <f t="shared" ref="S112" si="67">((N112-G112)/G112)</f>
        <v>2.7822154829276313E-3</v>
      </c>
      <c r="T112" s="61">
        <f t="shared" ref="T112" si="68">((O112-H112)/H112)</f>
        <v>0</v>
      </c>
      <c r="U112" s="62">
        <f t="shared" ref="U112" si="69">P112-I112</f>
        <v>1.0129000000000002E-3</v>
      </c>
      <c r="V112" s="63">
        <f t="shared" ref="V112" si="70">Q112-J112</f>
        <v>-3.2999999999999974E-3</v>
      </c>
    </row>
    <row r="113" spans="1:28">
      <c r="A113" s="181">
        <v>102</v>
      </c>
      <c r="B113" s="148" t="s">
        <v>165</v>
      </c>
      <c r="C113" s="147" t="s">
        <v>51</v>
      </c>
      <c r="D113" s="38">
        <v>77774594875.610001</v>
      </c>
      <c r="E113" s="34">
        <f t="shared" si="65"/>
        <v>0.32375302916982446</v>
      </c>
      <c r="F113" s="38">
        <v>2.0192199999999998</v>
      </c>
      <c r="G113" s="38">
        <v>2.0192199999999998</v>
      </c>
      <c r="H113" s="35">
        <v>7005</v>
      </c>
      <c r="I113" s="56">
        <v>1.5E-3</v>
      </c>
      <c r="J113" s="56">
        <v>8.5699999999999998E-2</v>
      </c>
      <c r="K113" s="38">
        <v>77169693688.539993</v>
      </c>
      <c r="L113" s="34">
        <f t="shared" si="51"/>
        <v>0.32557547438803841</v>
      </c>
      <c r="M113" s="38">
        <v>2.0226000000000002</v>
      </c>
      <c r="N113" s="38">
        <v>2.0226000000000002</v>
      </c>
      <c r="O113" s="35">
        <v>7015</v>
      </c>
      <c r="P113" s="56">
        <v>1.6999999999999999E-3</v>
      </c>
      <c r="Q113" s="56">
        <v>8.5199999999999998E-2</v>
      </c>
      <c r="R113" s="61">
        <f t="shared" si="52"/>
        <v>-7.7776192603441442E-3</v>
      </c>
      <c r="S113" s="61">
        <f t="shared" si="53"/>
        <v>1.6739136894446287E-3</v>
      </c>
      <c r="T113" s="61">
        <f t="shared" si="54"/>
        <v>1.4275517487508922E-3</v>
      </c>
      <c r="U113" s="62">
        <f t="shared" si="55"/>
        <v>1.9999999999999987E-4</v>
      </c>
      <c r="V113" s="63">
        <f t="shared" si="56"/>
        <v>-5.0000000000000044E-4</v>
      </c>
    </row>
    <row r="114" spans="1:28">
      <c r="A114" s="181">
        <v>103</v>
      </c>
      <c r="B114" s="148" t="s">
        <v>166</v>
      </c>
      <c r="C114" s="147" t="s">
        <v>51</v>
      </c>
      <c r="D114" s="38">
        <v>65323278862.220001</v>
      </c>
      <c r="E114" s="34">
        <f t="shared" si="65"/>
        <v>0.27192182023928563</v>
      </c>
      <c r="F114" s="38">
        <v>133.85664</v>
      </c>
      <c r="G114" s="38">
        <v>133.85664</v>
      </c>
      <c r="H114" s="35">
        <v>1482</v>
      </c>
      <c r="I114" s="56">
        <v>2.7000000000000001E-3</v>
      </c>
      <c r="J114" s="56">
        <v>0.15859999999999999</v>
      </c>
      <c r="K114" s="38">
        <v>62729379357.910004</v>
      </c>
      <c r="L114" s="34">
        <f t="shared" si="51"/>
        <v>0.26465243629121327</v>
      </c>
      <c r="M114" s="38">
        <v>134.03992</v>
      </c>
      <c r="N114" s="38">
        <v>134.03992</v>
      </c>
      <c r="O114" s="35">
        <v>1489</v>
      </c>
      <c r="P114" s="56">
        <v>1.4E-3</v>
      </c>
      <c r="Q114" s="56">
        <v>0.15079999999999999</v>
      </c>
      <c r="R114" s="61">
        <f t="shared" ref="R114:R116" si="71">((K114-D114)/D114)</f>
        <v>-3.9708654395335177E-2</v>
      </c>
      <c r="S114" s="61">
        <f t="shared" ref="S114:S116" si="72">((N114-G114)/G114)</f>
        <v>1.369226061553587E-3</v>
      </c>
      <c r="T114" s="61">
        <f t="shared" ref="T114:T116" si="73">((O114-H114)/H114)</f>
        <v>4.7233468286099868E-3</v>
      </c>
      <c r="U114" s="62">
        <f t="shared" ref="U114:U116" si="74">P114-I114</f>
        <v>-1.3000000000000002E-3</v>
      </c>
      <c r="V114" s="63">
        <f t="shared" ref="V114:V116" si="75">Q114-J114</f>
        <v>-7.8000000000000014E-3</v>
      </c>
    </row>
    <row r="115" spans="1:28">
      <c r="A115" s="181">
        <v>104</v>
      </c>
      <c r="B115" s="148" t="s">
        <v>167</v>
      </c>
      <c r="C115" s="148" t="s">
        <v>168</v>
      </c>
      <c r="D115" s="38">
        <v>117021339.51000001</v>
      </c>
      <c r="E115" s="34">
        <f t="shared" si="65"/>
        <v>4.8712581794179116E-4</v>
      </c>
      <c r="F115" s="38">
        <v>118</v>
      </c>
      <c r="G115" s="38">
        <v>118</v>
      </c>
      <c r="H115" s="68">
        <v>88</v>
      </c>
      <c r="I115" s="70">
        <v>1.4E-3</v>
      </c>
      <c r="J115" s="70">
        <v>1.15E-2</v>
      </c>
      <c r="K115" s="38">
        <v>117198038.51000001</v>
      </c>
      <c r="L115" s="34">
        <f t="shared" si="51"/>
        <v>4.9445326476535293E-4</v>
      </c>
      <c r="M115" s="38">
        <v>118.18</v>
      </c>
      <c r="N115" s="38">
        <v>118.18</v>
      </c>
      <c r="O115" s="68">
        <v>88</v>
      </c>
      <c r="P115" s="70">
        <v>1.6000000000000001E-3</v>
      </c>
      <c r="Q115" s="70">
        <v>1.3100000000000001E-2</v>
      </c>
      <c r="R115" s="61">
        <f t="shared" si="71"/>
        <v>1.5099724609194058E-3</v>
      </c>
      <c r="S115" s="61">
        <f t="shared" si="72"/>
        <v>1.525423728813617E-3</v>
      </c>
      <c r="T115" s="61">
        <f t="shared" si="73"/>
        <v>0</v>
      </c>
      <c r="U115" s="62">
        <f t="shared" si="74"/>
        <v>2.0000000000000009E-4</v>
      </c>
      <c r="V115" s="63">
        <f t="shared" si="75"/>
        <v>1.6000000000000007E-3</v>
      </c>
    </row>
    <row r="116" spans="1:28">
      <c r="A116" s="181">
        <v>105</v>
      </c>
      <c r="B116" s="148" t="s">
        <v>169</v>
      </c>
      <c r="C116" s="147" t="s">
        <v>123</v>
      </c>
      <c r="D116" s="38">
        <v>527171670.58999997</v>
      </c>
      <c r="E116" s="34">
        <f t="shared" si="65"/>
        <v>2.1944624143526367E-3</v>
      </c>
      <c r="F116" s="38">
        <v>1.45</v>
      </c>
      <c r="G116" s="38">
        <v>1.45</v>
      </c>
      <c r="H116" s="35">
        <v>890</v>
      </c>
      <c r="I116" s="56">
        <v>-4.8099999999999997E-2</v>
      </c>
      <c r="J116" s="56">
        <v>5.3400000000000003E-2</v>
      </c>
      <c r="K116" s="38">
        <v>529490273.52999997</v>
      </c>
      <c r="L116" s="34">
        <f t="shared" si="51"/>
        <v>2.233895701130435E-3</v>
      </c>
      <c r="M116" s="38">
        <v>1.45</v>
      </c>
      <c r="N116" s="38">
        <v>1.45</v>
      </c>
      <c r="O116" s="35">
        <v>894</v>
      </c>
      <c r="P116" s="56">
        <v>3.8999999999999998E-3</v>
      </c>
      <c r="Q116" s="56">
        <v>5.8400000000000001E-2</v>
      </c>
      <c r="R116" s="61">
        <f t="shared" si="71"/>
        <v>4.3981933577824156E-3</v>
      </c>
      <c r="S116" s="61">
        <f t="shared" si="72"/>
        <v>0</v>
      </c>
      <c r="T116" s="61">
        <f t="shared" si="73"/>
        <v>4.4943820224719105E-3</v>
      </c>
      <c r="U116" s="62">
        <f t="shared" si="74"/>
        <v>5.1999999999999998E-2</v>
      </c>
      <c r="V116" s="63">
        <f t="shared" si="75"/>
        <v>4.9999999999999975E-3</v>
      </c>
    </row>
    <row r="117" spans="1:28">
      <c r="A117" s="181">
        <v>106</v>
      </c>
      <c r="B117" s="148" t="s">
        <v>170</v>
      </c>
      <c r="C117" s="147" t="s">
        <v>125</v>
      </c>
      <c r="D117" s="38">
        <v>2029913461.0799999</v>
      </c>
      <c r="E117" s="34">
        <f t="shared" si="65"/>
        <v>8.4499396368228012E-3</v>
      </c>
      <c r="F117" s="66">
        <v>31.194800000000001</v>
      </c>
      <c r="G117" s="66">
        <v>31.194800000000001</v>
      </c>
      <c r="H117" s="35">
        <v>1548</v>
      </c>
      <c r="I117" s="56">
        <v>0.14399999999999999</v>
      </c>
      <c r="J117" s="56">
        <v>0.14399999999999999</v>
      </c>
      <c r="K117" s="38">
        <v>2028613422.1300001</v>
      </c>
      <c r="L117" s="34">
        <f t="shared" si="51"/>
        <v>8.5586289862130006E-3</v>
      </c>
      <c r="M117" s="66">
        <v>31.279299999999999</v>
      </c>
      <c r="N117" s="66">
        <v>31.279299999999999</v>
      </c>
      <c r="O117" s="35">
        <v>1549</v>
      </c>
      <c r="P117" s="56">
        <v>0.14430000000000001</v>
      </c>
      <c r="Q117" s="56">
        <v>0.14430000000000001</v>
      </c>
      <c r="R117" s="61">
        <f t="shared" si="52"/>
        <v>-6.4044057785011849E-4</v>
      </c>
      <c r="S117" s="61">
        <f t="shared" si="53"/>
        <v>2.7087847974661952E-3</v>
      </c>
      <c r="T117" s="61">
        <f t="shared" si="54"/>
        <v>6.459948320413437E-4</v>
      </c>
      <c r="U117" s="62">
        <f t="shared" si="55"/>
        <v>3.0000000000002247E-4</v>
      </c>
      <c r="V117" s="63">
        <f t="shared" si="56"/>
        <v>3.0000000000002247E-4</v>
      </c>
    </row>
    <row r="118" spans="1:28">
      <c r="A118" s="41"/>
      <c r="B118" s="42"/>
      <c r="C118" s="43" t="s">
        <v>54</v>
      </c>
      <c r="D118" s="65">
        <f>SUM(D79:D117)</f>
        <v>240228161185.21439</v>
      </c>
      <c r="E118" s="45">
        <f>(D118/$D$239)</f>
        <v>2.7953734841370391E-2</v>
      </c>
      <c r="F118" s="46"/>
      <c r="G118" s="51"/>
      <c r="H118" s="48">
        <f>SUM(H79:H117)</f>
        <v>65048</v>
      </c>
      <c r="I118" s="59"/>
      <c r="J118" s="59"/>
      <c r="K118" s="65">
        <f>SUM(K79:K117)</f>
        <v>237025512543.87482</v>
      </c>
      <c r="L118" s="45">
        <f>(K118/$K$239)</f>
        <v>2.7486165939450032E-2</v>
      </c>
      <c r="M118" s="46"/>
      <c r="N118" s="51"/>
      <c r="O118" s="48">
        <f>SUM(O79:O117)</f>
        <v>65513</v>
      </c>
      <c r="P118" s="59"/>
      <c r="Q118" s="59"/>
      <c r="R118" s="61">
        <f t="shared" si="52"/>
        <v>-1.3331695274769836E-2</v>
      </c>
      <c r="S118" s="61" t="e">
        <f t="shared" si="53"/>
        <v>#DIV/0!</v>
      </c>
      <c r="T118" s="61">
        <f t="shared" si="54"/>
        <v>7.1485672119050549E-3</v>
      </c>
      <c r="U118" s="62">
        <f t="shared" si="55"/>
        <v>0</v>
      </c>
      <c r="V118" s="63">
        <f t="shared" si="56"/>
        <v>0</v>
      </c>
    </row>
    <row r="119" spans="1:28" ht="3.75" customHeight="1">
      <c r="A119" s="41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</row>
    <row r="120" spans="1:28" ht="15" customHeight="1">
      <c r="A120" s="191" t="s">
        <v>171</v>
      </c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</row>
    <row r="121" spans="1:28">
      <c r="A121" s="193" t="s">
        <v>172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Z121" s="71"/>
      <c r="AB121" s="73"/>
    </row>
    <row r="122" spans="1:28" ht="16.5" customHeight="1">
      <c r="A122" s="181">
        <v>107</v>
      </c>
      <c r="B122" s="148" t="s">
        <v>173</v>
      </c>
      <c r="C122" s="147" t="s">
        <v>19</v>
      </c>
      <c r="D122" s="38">
        <v>3731322306.8910098</v>
      </c>
      <c r="E122" s="34">
        <f t="shared" ref="E122:E127" si="76">(D122/$D$162)</f>
        <v>2.0208473109295027E-3</v>
      </c>
      <c r="F122" s="38">
        <v>160284.80000672</v>
      </c>
      <c r="G122" s="38">
        <v>160284.80000672</v>
      </c>
      <c r="H122" s="35">
        <v>190</v>
      </c>
      <c r="I122" s="56">
        <v>-1.5E-3</v>
      </c>
      <c r="J122" s="56">
        <v>1.35E-2</v>
      </c>
      <c r="K122" s="38">
        <f>2684077.43*W141</f>
        <v>3641997287.1772141</v>
      </c>
      <c r="L122" s="34">
        <f t="shared" ref="L122:L139" si="77">(K122/$K$162)</f>
        <v>1.9998015321712826E-3</v>
      </c>
      <c r="M122" s="72">
        <f>116.7802*W141</f>
        <v>158457.86222195998</v>
      </c>
      <c r="N122" s="38">
        <f>116.7802*W141</f>
        <v>158457.86222195998</v>
      </c>
      <c r="O122" s="35">
        <v>190</v>
      </c>
      <c r="P122" s="56">
        <v>6.0000000000000001E-3</v>
      </c>
      <c r="Q122" s="56">
        <v>1.9599999999999999E-2</v>
      </c>
      <c r="R122" s="61">
        <f>((K122-D122)/D122)</f>
        <v>-2.3939239863795772E-2</v>
      </c>
      <c r="S122" s="61">
        <f>((N122-G122)/G122)</f>
        <v>-1.1398072585070021E-2</v>
      </c>
      <c r="T122" s="61">
        <f>((O122-H122)/H122)</f>
        <v>0</v>
      </c>
      <c r="U122" s="61">
        <f>P122-I122</f>
        <v>7.4999999999999997E-3</v>
      </c>
      <c r="V122" s="108">
        <f>Q122-J122</f>
        <v>6.0999999999999995E-3</v>
      </c>
      <c r="X122" s="71"/>
      <c r="Y122" s="74"/>
      <c r="Z122" s="71"/>
      <c r="AA122" s="75"/>
    </row>
    <row r="123" spans="1:28" ht="16.5" customHeight="1">
      <c r="A123" s="181">
        <v>108</v>
      </c>
      <c r="B123" s="148" t="s">
        <v>174</v>
      </c>
      <c r="C123" s="147" t="s">
        <v>58</v>
      </c>
      <c r="D123" s="38">
        <v>5512675128.2880745</v>
      </c>
      <c r="E123" s="34">
        <f t="shared" si="76"/>
        <v>2.9856104063846309E-3</v>
      </c>
      <c r="F123" s="38">
        <v>144168.72242199999</v>
      </c>
      <c r="G123" s="38">
        <v>144168.72242199999</v>
      </c>
      <c r="H123" s="35">
        <v>104</v>
      </c>
      <c r="I123" s="56">
        <v>2.4735E-2</v>
      </c>
      <c r="J123" s="56">
        <v>4.4112999999999999E-2</v>
      </c>
      <c r="K123" s="38">
        <f>3748023.87*W141</f>
        <v>5085655359.3595257</v>
      </c>
      <c r="L123" s="34">
        <f t="shared" si="77"/>
        <v>2.7925065775172286E-3</v>
      </c>
      <c r="M123" s="38">
        <f>105.2*W141</f>
        <v>142744.80695999999</v>
      </c>
      <c r="N123" s="38">
        <f>105.2*W141</f>
        <v>142744.80695999999</v>
      </c>
      <c r="O123" s="35">
        <v>105</v>
      </c>
      <c r="P123" s="56">
        <v>7.8989999999999998E-3</v>
      </c>
      <c r="Q123" s="56">
        <v>5.2012000000000003E-2</v>
      </c>
      <c r="R123" s="62">
        <f>((K123-D123)/D123)</f>
        <v>-7.7461442764387434E-2</v>
      </c>
      <c r="S123" s="62">
        <f>((N123-G123)/G123)</f>
        <v>-9.8767294186878126E-3</v>
      </c>
      <c r="T123" s="62">
        <f>((O123-H123)/H123)</f>
        <v>9.6153846153846159E-3</v>
      </c>
      <c r="U123" s="62">
        <f>P123-I123</f>
        <v>-1.6836E-2</v>
      </c>
      <c r="V123" s="63">
        <f>Q123-J123</f>
        <v>7.8990000000000032E-3</v>
      </c>
      <c r="X123" s="71"/>
      <c r="Y123" s="74"/>
      <c r="Z123" s="71"/>
      <c r="AA123" s="75"/>
    </row>
    <row r="124" spans="1:28">
      <c r="A124" s="181">
        <v>108</v>
      </c>
      <c r="B124" s="148" t="s">
        <v>175</v>
      </c>
      <c r="C124" s="147" t="s">
        <v>23</v>
      </c>
      <c r="D124" s="38">
        <v>18151446057.081112</v>
      </c>
      <c r="E124" s="34">
        <f t="shared" si="76"/>
        <v>9.8306439211084031E-3</v>
      </c>
      <c r="F124" s="38">
        <v>1684.0166063200002</v>
      </c>
      <c r="G124" s="38">
        <v>1684.0166063200002</v>
      </c>
      <c r="H124" s="35">
        <v>340</v>
      </c>
      <c r="I124" s="56">
        <v>4.2799999999999998E-2</v>
      </c>
      <c r="J124" s="56">
        <v>0.04</v>
      </c>
      <c r="K124" s="38">
        <f>13210157.12*FX_RATE</f>
        <v>17924727452.525375</v>
      </c>
      <c r="L124" s="34">
        <f t="shared" si="77"/>
        <v>9.8423734552245661E-3</v>
      </c>
      <c r="M124" s="38">
        <f>1.2237*W141</f>
        <v>1660.42604826</v>
      </c>
      <c r="N124" s="38">
        <f>1.2237*W141</f>
        <v>1660.42604826</v>
      </c>
      <c r="O124" s="35">
        <v>339</v>
      </c>
      <c r="P124" s="56">
        <v>0.17530000000000001</v>
      </c>
      <c r="Q124" s="56">
        <v>4.9599999999999998E-2</v>
      </c>
      <c r="R124" s="62">
        <f t="shared" ref="R124:R137" si="78">((K124-D124)/D124)</f>
        <v>-1.2490388029844637E-2</v>
      </c>
      <c r="S124" s="62">
        <f t="shared" ref="S124:S137" si="79">((N124-G124)/G124)</f>
        <v>-1.4008506787561586E-2</v>
      </c>
      <c r="T124" s="62">
        <f t="shared" ref="T124:T137" si="80">((O124-H124)/H124)</f>
        <v>-2.9411764705882353E-3</v>
      </c>
      <c r="U124" s="62">
        <f t="shared" ref="U124:U137" si="81">P124-I124</f>
        <v>0.13250000000000001</v>
      </c>
      <c r="V124" s="63">
        <f t="shared" ref="V124:V137" si="82">Q124-J124</f>
        <v>9.5999999999999974E-3</v>
      </c>
    </row>
    <row r="125" spans="1:28">
      <c r="A125" s="181">
        <v>109</v>
      </c>
      <c r="B125" s="148" t="s">
        <v>176</v>
      </c>
      <c r="C125" s="147" t="s">
        <v>23</v>
      </c>
      <c r="D125" s="38">
        <v>4316165629.8676596</v>
      </c>
      <c r="E125" s="34">
        <f t="shared" si="76"/>
        <v>2.337592678749844E-3</v>
      </c>
      <c r="F125" s="38">
        <v>1458.6709928800001</v>
      </c>
      <c r="G125" s="38">
        <v>1458.6709928800001</v>
      </c>
      <c r="H125" s="35">
        <v>121</v>
      </c>
      <c r="I125" s="56">
        <v>4.9399999999999999E-2</v>
      </c>
      <c r="J125" s="56">
        <v>4.5100000000000001E-2</v>
      </c>
      <c r="K125" s="38">
        <f>3137564.82*W141</f>
        <v>4257329701.0968356</v>
      </c>
      <c r="L125" s="34">
        <f t="shared" si="77"/>
        <v>2.3376773204052885E-3</v>
      </c>
      <c r="M125" s="38">
        <f>1.0579*W141</f>
        <v>1435.45371942</v>
      </c>
      <c r="N125" s="38">
        <f>1.0579*W141</f>
        <v>1435.45371942</v>
      </c>
      <c r="O125" s="35">
        <v>123</v>
      </c>
      <c r="P125" s="56">
        <v>7.3999999999999996E-2</v>
      </c>
      <c r="Q125" s="56">
        <v>4.7199999999999999E-2</v>
      </c>
      <c r="R125" s="62">
        <f t="shared" si="78"/>
        <v>-1.3631527104447093E-2</v>
      </c>
      <c r="S125" s="62">
        <f t="shared" ref="S125" si="83">((N125-G125)/G125)</f>
        <v>-1.5916730759250878E-2</v>
      </c>
      <c r="T125" s="62">
        <f t="shared" ref="T125" si="84">((O125-H125)/H125)</f>
        <v>1.6528925619834711E-2</v>
      </c>
      <c r="U125" s="62">
        <f t="shared" ref="U125" si="85">P125-I125</f>
        <v>2.4599999999999997E-2</v>
      </c>
      <c r="V125" s="63">
        <f t="shared" ref="V125" si="86">Q125-J125</f>
        <v>2.0999999999999977E-3</v>
      </c>
    </row>
    <row r="126" spans="1:28">
      <c r="A126" s="181">
        <v>110</v>
      </c>
      <c r="B126" s="148" t="s">
        <v>177</v>
      </c>
      <c r="C126" s="147" t="s">
        <v>27</v>
      </c>
      <c r="D126" s="38">
        <v>46307161560.329063</v>
      </c>
      <c r="E126" s="34">
        <f t="shared" si="76"/>
        <v>2.5079501372247025E-2</v>
      </c>
      <c r="F126" s="38">
        <v>1731.2397679600001</v>
      </c>
      <c r="G126" s="38">
        <v>1731.2397679600001</v>
      </c>
      <c r="H126" s="35">
        <v>650</v>
      </c>
      <c r="I126" s="56">
        <v>-1.4500000000000001E-2</v>
      </c>
      <c r="J126" s="56">
        <v>5.4000000000000003E-3</v>
      </c>
      <c r="K126" s="38">
        <f xml:space="preserve"> 34157719.13*W141</f>
        <v>46348260678.761871</v>
      </c>
      <c r="L126" s="34">
        <f t="shared" si="77"/>
        <v>2.5449585875639332E-2</v>
      </c>
      <c r="M126" s="38">
        <f>1.2469*W141</f>
        <v>1691.9058916199997</v>
      </c>
      <c r="N126" s="38">
        <f>1.2469*W141</f>
        <v>1691.9058916199997</v>
      </c>
      <c r="O126" s="35">
        <v>650</v>
      </c>
      <c r="P126" s="56">
        <v>8.3999999999999995E-3</v>
      </c>
      <c r="Q126" s="56">
        <v>2.87E-2</v>
      </c>
      <c r="R126" s="62">
        <f t="shared" si="78"/>
        <v>8.8753266337138605E-4</v>
      </c>
      <c r="S126" s="62">
        <f t="shared" ref="S126:T129" si="87">((N126-G126)/G126)</f>
        <v>-2.2720062852038883E-2</v>
      </c>
      <c r="T126" s="62">
        <f t="shared" si="87"/>
        <v>0</v>
      </c>
      <c r="U126" s="62">
        <f t="shared" si="81"/>
        <v>2.29E-2</v>
      </c>
      <c r="V126" s="63">
        <f t="shared" si="82"/>
        <v>2.3300000000000001E-2</v>
      </c>
    </row>
    <row r="127" spans="1:28">
      <c r="A127" s="181">
        <v>111</v>
      </c>
      <c r="B127" s="148" t="s">
        <v>178</v>
      </c>
      <c r="C127" s="147" t="s">
        <v>67</v>
      </c>
      <c r="D127" s="38">
        <v>1385687651.797148</v>
      </c>
      <c r="E127" s="34">
        <f t="shared" si="76"/>
        <v>7.5047474718304417E-4</v>
      </c>
      <c r="F127" s="38">
        <v>1519.8401759400001</v>
      </c>
      <c r="G127" s="38">
        <v>1532.6815620000002</v>
      </c>
      <c r="H127" s="35">
        <v>74</v>
      </c>
      <c r="I127" s="56">
        <v>8.8000000000000003E-4</v>
      </c>
      <c r="J127" s="56">
        <v>9.1399999999999995E-2</v>
      </c>
      <c r="K127" s="38">
        <f>1014787.49*W141</f>
        <v>1376954794.3486018</v>
      </c>
      <c r="L127" s="34">
        <f t="shared" si="77"/>
        <v>7.5607862673702738E-4</v>
      </c>
      <c r="M127" s="38">
        <f>1.097*W141</f>
        <v>1488.5081105999998</v>
      </c>
      <c r="N127" s="38">
        <f>1.11*W141</f>
        <v>1506.147678</v>
      </c>
      <c r="O127" s="35">
        <v>74</v>
      </c>
      <c r="P127" s="56">
        <v>-3.5799999999999998E-3</v>
      </c>
      <c r="Q127" s="56">
        <v>7.2300000000000003E-2</v>
      </c>
      <c r="R127" s="62">
        <f t="shared" si="78"/>
        <v>-6.3021832064536444E-3</v>
      </c>
      <c r="S127" s="62">
        <f t="shared" si="87"/>
        <v>-1.731206576620915E-2</v>
      </c>
      <c r="T127" s="62">
        <f t="shared" si="87"/>
        <v>0</v>
      </c>
      <c r="U127" s="62">
        <f t="shared" si="81"/>
        <v>-4.4599999999999996E-3</v>
      </c>
      <c r="V127" s="63">
        <f t="shared" si="82"/>
        <v>-1.9099999999999992E-2</v>
      </c>
    </row>
    <row r="128" spans="1:28">
      <c r="A128" s="181">
        <v>112</v>
      </c>
      <c r="B128" s="148" t="s">
        <v>179</v>
      </c>
      <c r="C128" s="147" t="s">
        <v>29</v>
      </c>
      <c r="D128" s="38">
        <v>855349688.60776198</v>
      </c>
      <c r="E128" s="34">
        <v>0</v>
      </c>
      <c r="F128" s="38">
        <v>2000.3565575400003</v>
      </c>
      <c r="G128" s="38">
        <v>1996.4903337800001</v>
      </c>
      <c r="H128" s="35">
        <v>76</v>
      </c>
      <c r="I128" s="56">
        <v>3.4600000000000001E-4</v>
      </c>
      <c r="J128" s="56">
        <v>3.3799999999999997E-2</v>
      </c>
      <c r="K128" s="38">
        <f>624634.59*W141</f>
        <v>847560303.89818192</v>
      </c>
      <c r="L128" s="34">
        <f t="shared" si="77"/>
        <v>4.6539089974359673E-4</v>
      </c>
      <c r="M128" s="38">
        <f>1.4505*W141</f>
        <v>1968.1686548999999</v>
      </c>
      <c r="N128" s="38">
        <f>1.4505*W141</f>
        <v>1968.1686548999999</v>
      </c>
      <c r="O128" s="35">
        <v>77</v>
      </c>
      <c r="P128" s="56">
        <v>3.4099999999999999E-4</v>
      </c>
      <c r="Q128" s="56">
        <v>3.0700000000000002E-2</v>
      </c>
      <c r="R128" s="62">
        <f t="shared" si="78"/>
        <v>-9.1066669145092125E-3</v>
      </c>
      <c r="S128" s="62">
        <f t="shared" si="87"/>
        <v>-1.4185733034017847E-2</v>
      </c>
      <c r="T128" s="62">
        <f t="shared" si="87"/>
        <v>1.3157894736842105E-2</v>
      </c>
      <c r="U128" s="62">
        <f t="shared" si="81"/>
        <v>-5.0000000000000131E-6</v>
      </c>
      <c r="V128" s="63">
        <f t="shared" si="82"/>
        <v>-3.0999999999999951E-3</v>
      </c>
    </row>
    <row r="129" spans="1:25">
      <c r="A129" s="181">
        <v>113</v>
      </c>
      <c r="B129" s="148" t="s">
        <v>180</v>
      </c>
      <c r="C129" s="147" t="s">
        <v>77</v>
      </c>
      <c r="D129" s="38">
        <v>3810401108.7379937</v>
      </c>
      <c r="E129" s="34">
        <f t="shared" ref="E129:E136" si="88">(D129/$D$162)</f>
        <v>2.063675609028778E-3</v>
      </c>
      <c r="F129" s="38">
        <v>149346.70067200001</v>
      </c>
      <c r="G129" s="38">
        <v>149816.17070000002</v>
      </c>
      <c r="H129" s="35">
        <v>81</v>
      </c>
      <c r="I129" s="56">
        <v>8.0000000000000004E-4</v>
      </c>
      <c r="J129" s="56">
        <v>8.8999999999999999E-3</v>
      </c>
      <c r="K129" s="38">
        <f>2850691.85*W141</f>
        <v>3868074694.2081299</v>
      </c>
      <c r="L129" s="34">
        <f t="shared" si="77"/>
        <v>2.1239394458818527E-3</v>
      </c>
      <c r="M129" s="38">
        <f>109.3*W141</f>
        <v>148308.05513999998</v>
      </c>
      <c r="N129" s="38">
        <f>109.7*W141</f>
        <v>148850.81106000001</v>
      </c>
      <c r="O129" s="35">
        <v>81</v>
      </c>
      <c r="P129" s="56">
        <v>1.09E-2</v>
      </c>
      <c r="Q129" s="56">
        <v>1.9800000000000002E-2</v>
      </c>
      <c r="R129" s="62">
        <f t="shared" si="78"/>
        <v>1.5135830539698136E-2</v>
      </c>
      <c r="S129" s="62">
        <f t="shared" si="87"/>
        <v>-6.4436277838998959E-3</v>
      </c>
      <c r="T129" s="62">
        <f t="shared" si="87"/>
        <v>0</v>
      </c>
      <c r="U129" s="62">
        <f t="shared" si="81"/>
        <v>1.01E-2</v>
      </c>
      <c r="V129" s="63">
        <f t="shared" si="82"/>
        <v>1.0900000000000002E-2</v>
      </c>
    </row>
    <row r="130" spans="1:25">
      <c r="A130" s="181">
        <v>114</v>
      </c>
      <c r="B130" s="148" t="s">
        <v>181</v>
      </c>
      <c r="C130" s="147" t="s">
        <v>80</v>
      </c>
      <c r="D130" s="38">
        <v>4819919338.6800003</v>
      </c>
      <c r="E130" s="34">
        <f t="shared" si="88"/>
        <v>2.6104207123785984E-3</v>
      </c>
      <c r="F130" s="38">
        <v>1637.4372599999999</v>
      </c>
      <c r="G130" s="38">
        <v>1637.4372599999999</v>
      </c>
      <c r="H130" s="35">
        <v>62</v>
      </c>
      <c r="I130" s="56">
        <v>6.5799999999999997E-2</v>
      </c>
      <c r="J130" s="56">
        <v>4.1799999999999997E-2</v>
      </c>
      <c r="K130" s="38">
        <v>4819919338.6800003</v>
      </c>
      <c r="L130" s="34">
        <f t="shared" si="77"/>
        <v>2.6465923278885862E-3</v>
      </c>
      <c r="M130" s="38">
        <v>1637.4372599999999</v>
      </c>
      <c r="N130" s="38">
        <v>1637.4372599999999</v>
      </c>
      <c r="O130" s="35">
        <v>60</v>
      </c>
      <c r="P130" s="56">
        <v>6.5799999999999997E-2</v>
      </c>
      <c r="Q130" s="56">
        <v>7.17E-2</v>
      </c>
      <c r="R130" s="62">
        <f t="shared" si="78"/>
        <v>0</v>
      </c>
      <c r="S130" s="62">
        <f t="shared" si="79"/>
        <v>0</v>
      </c>
      <c r="T130" s="62">
        <f t="shared" si="80"/>
        <v>-3.2258064516129031E-2</v>
      </c>
      <c r="U130" s="62">
        <f t="shared" si="81"/>
        <v>0</v>
      </c>
      <c r="V130" s="63">
        <f t="shared" si="82"/>
        <v>2.9900000000000003E-2</v>
      </c>
      <c r="X130" s="72"/>
    </row>
    <row r="131" spans="1:25">
      <c r="A131" s="181">
        <v>115</v>
      </c>
      <c r="B131" s="148" t="s">
        <v>182</v>
      </c>
      <c r="C131" s="147" t="s">
        <v>82</v>
      </c>
      <c r="D131" s="38">
        <v>52794042397.509598</v>
      </c>
      <c r="E131" s="34">
        <f t="shared" si="88"/>
        <v>2.8592731969326969E-2</v>
      </c>
      <c r="F131" s="38">
        <v>179866.39440000002</v>
      </c>
      <c r="G131" s="38">
        <v>179907.81600000002</v>
      </c>
      <c r="H131" s="35">
        <v>2568</v>
      </c>
      <c r="I131" s="56">
        <v>1.1999999999999999E-3</v>
      </c>
      <c r="J131" s="56">
        <v>1.8599999999999998E-2</v>
      </c>
      <c r="K131" s="38">
        <f>38369028.03*1359</f>
        <v>52143509092.770004</v>
      </c>
      <c r="L131" s="34">
        <f t="shared" si="77"/>
        <v>2.8631726262852295E-2</v>
      </c>
      <c r="M131" s="38">
        <f>130.46*1359</f>
        <v>177295.14</v>
      </c>
      <c r="N131" s="38">
        <f>130.49*1359</f>
        <v>177335.91</v>
      </c>
      <c r="O131" s="35">
        <v>2572</v>
      </c>
      <c r="P131" s="56">
        <v>1.2999999999999999E-3</v>
      </c>
      <c r="Q131" s="56">
        <v>2.01E-2</v>
      </c>
      <c r="R131" s="62">
        <f t="shared" si="78"/>
        <v>-1.2322096873003998E-2</v>
      </c>
      <c r="S131" s="62">
        <f t="shared" si="79"/>
        <v>-1.4295687964996568E-2</v>
      </c>
      <c r="T131" s="62">
        <f t="shared" si="80"/>
        <v>1.557632398753894E-3</v>
      </c>
      <c r="U131" s="62">
        <f t="shared" si="81"/>
        <v>1.0000000000000005E-4</v>
      </c>
      <c r="V131" s="63">
        <f t="shared" si="82"/>
        <v>1.5000000000000013E-3</v>
      </c>
    </row>
    <row r="132" spans="1:25">
      <c r="A132" s="181">
        <v>116</v>
      </c>
      <c r="B132" s="185" t="s">
        <v>183</v>
      </c>
      <c r="C132" s="147" t="s">
        <v>82</v>
      </c>
      <c r="D132" s="38">
        <v>156306087522.02402</v>
      </c>
      <c r="E132" s="34">
        <f t="shared" si="88"/>
        <v>8.4653833325371908E-2</v>
      </c>
      <c r="F132" s="38">
        <v>175544.7408</v>
      </c>
      <c r="G132" s="38">
        <v>175627.584</v>
      </c>
      <c r="H132" s="35">
        <v>1038</v>
      </c>
      <c r="I132" s="56">
        <v>2E-3</v>
      </c>
      <c r="J132" s="56">
        <v>1.9699999999999999E-2</v>
      </c>
      <c r="K132" s="38">
        <f>114683666.73*1359</f>
        <v>155855103086.07001</v>
      </c>
      <c r="L132" s="34">
        <f t="shared" si="77"/>
        <v>8.5579216394696386E-2</v>
      </c>
      <c r="M132" s="38">
        <f>127.39*1359</f>
        <v>173123.01</v>
      </c>
      <c r="N132" s="38">
        <f>127.39*1359</f>
        <v>173123.01</v>
      </c>
      <c r="O132" s="35">
        <v>1048</v>
      </c>
      <c r="P132" s="56">
        <v>1.4E-3</v>
      </c>
      <c r="Q132" s="56">
        <v>2.1299999999999999E-2</v>
      </c>
      <c r="R132" s="62">
        <f t="shared" si="78"/>
        <v>-2.8852646950840279E-3</v>
      </c>
      <c r="S132" s="62">
        <f t="shared" si="79"/>
        <v>-1.4260709752745862E-2</v>
      </c>
      <c r="T132" s="62">
        <f t="shared" si="80"/>
        <v>9.6339113680154135E-3</v>
      </c>
      <c r="U132" s="62">
        <f t="shared" si="81"/>
        <v>-6.0000000000000006E-4</v>
      </c>
      <c r="V132" s="63">
        <f t="shared" si="82"/>
        <v>1.6000000000000007E-3</v>
      </c>
      <c r="X132" s="71"/>
    </row>
    <row r="133" spans="1:25">
      <c r="A133" s="181">
        <v>117</v>
      </c>
      <c r="B133" s="148" t="s">
        <v>184</v>
      </c>
      <c r="C133" s="147" t="s">
        <v>86</v>
      </c>
      <c r="D133" s="38">
        <v>1966596760.7073901</v>
      </c>
      <c r="E133" s="34">
        <f t="shared" si="88"/>
        <v>1.0650893835192576E-3</v>
      </c>
      <c r="F133" s="38">
        <v>1380.7942</v>
      </c>
      <c r="G133" s="38">
        <v>1380.7942</v>
      </c>
      <c r="H133" s="35">
        <v>15</v>
      </c>
      <c r="I133" s="56">
        <v>8.4000000000000005E-2</v>
      </c>
      <c r="J133" s="56">
        <v>8.3599999999999994E-2</v>
      </c>
      <c r="K133" s="38">
        <f>1425488.19*W141</f>
        <v>1934230385.0314617</v>
      </c>
      <c r="L133" s="34">
        <f t="shared" si="77"/>
        <v>1.0620757190503509E-3</v>
      </c>
      <c r="M133" s="38">
        <f>1*W141</f>
        <v>1356.8897999999999</v>
      </c>
      <c r="N133" s="38">
        <f>1*W141</f>
        <v>1356.8897999999999</v>
      </c>
      <c r="O133" s="35">
        <v>15</v>
      </c>
      <c r="P133" s="56">
        <v>8.2500000000000004E-2</v>
      </c>
      <c r="Q133" s="56">
        <v>8.3500000000000005E-2</v>
      </c>
      <c r="R133" s="62">
        <f t="shared" ref="R133" si="89">((K133-D133)/D133)</f>
        <v>-1.645806416577544E-2</v>
      </c>
      <c r="S133" s="62">
        <f t="shared" ref="S133" si="90">((N133-G133)/G133)</f>
        <v>-1.7312065766209129E-2</v>
      </c>
      <c r="T133" s="62">
        <f t="shared" si="80"/>
        <v>0</v>
      </c>
      <c r="U133" s="62">
        <f t="shared" si="81"/>
        <v>-1.5000000000000013E-3</v>
      </c>
      <c r="V133" s="63">
        <f t="shared" si="82"/>
        <v>-9.9999999999988987E-5</v>
      </c>
    </row>
    <row r="134" spans="1:25">
      <c r="A134" s="181">
        <v>118</v>
      </c>
      <c r="B134" s="148" t="s">
        <v>185</v>
      </c>
      <c r="C134" s="147" t="s">
        <v>34</v>
      </c>
      <c r="D134" s="38">
        <v>262927793.6786806</v>
      </c>
      <c r="E134" s="34">
        <f t="shared" si="88"/>
        <v>1.423990963854597E-4</v>
      </c>
      <c r="F134" s="38">
        <v>190908.74417142</v>
      </c>
      <c r="G134" s="38">
        <v>190908.74417142</v>
      </c>
      <c r="H134" s="35">
        <v>11</v>
      </c>
      <c r="I134" s="56">
        <v>1.2999999999999999E-3</v>
      </c>
      <c r="J134" s="56">
        <v>2.1999999999999999E-2</v>
      </c>
      <c r="K134" s="38">
        <f xml:space="preserve"> 190736.8641*W141</f>
        <v>258808905.38127616</v>
      </c>
      <c r="L134" s="34">
        <f t="shared" si="77"/>
        <v>1.4211060709553585E-4</v>
      </c>
      <c r="M134" s="38">
        <f>138.4918*W141</f>
        <v>187918.11080364001</v>
      </c>
      <c r="N134" s="38">
        <f>138.4918*W141</f>
        <v>187918.11080364001</v>
      </c>
      <c r="O134" s="35">
        <v>11</v>
      </c>
      <c r="P134" s="56">
        <v>1.6999999999999999E-3</v>
      </c>
      <c r="Q134" s="56">
        <v>2.3699999999999999E-2</v>
      </c>
      <c r="R134" s="62">
        <f t="shared" si="78"/>
        <v>-1.5665473169557947E-2</v>
      </c>
      <c r="S134" s="62">
        <f t="shared" si="79"/>
        <v>-1.5665250854589707E-2</v>
      </c>
      <c r="T134" s="62">
        <f t="shared" si="80"/>
        <v>0</v>
      </c>
      <c r="U134" s="62">
        <f t="shared" si="81"/>
        <v>3.9999999999999996E-4</v>
      </c>
      <c r="V134" s="63">
        <f t="shared" si="82"/>
        <v>1.7000000000000001E-3</v>
      </c>
    </row>
    <row r="135" spans="1:25">
      <c r="A135" s="181">
        <v>119</v>
      </c>
      <c r="B135" s="148" t="s">
        <v>186</v>
      </c>
      <c r="C135" s="147" t="s">
        <v>40</v>
      </c>
      <c r="D135" s="38">
        <v>14823912739.618067</v>
      </c>
      <c r="E135" s="34">
        <f t="shared" si="88"/>
        <v>8.0284847390391344E-3</v>
      </c>
      <c r="F135" s="38">
        <v>2057.383358</v>
      </c>
      <c r="G135" s="38">
        <v>2071.1913</v>
      </c>
      <c r="H135" s="52">
        <v>118</v>
      </c>
      <c r="I135" s="59">
        <v>2.8E-3</v>
      </c>
      <c r="J135" s="59">
        <v>3.4099999999999998E-2</v>
      </c>
      <c r="K135" s="38">
        <f>10843454.68*W141</f>
        <v>14713373052.054262</v>
      </c>
      <c r="L135" s="34">
        <f t="shared" si="77"/>
        <v>8.0790356644420136E-3</v>
      </c>
      <c r="M135" s="38">
        <f>1.5*W141</f>
        <v>2035.3346999999999</v>
      </c>
      <c r="N135" s="38">
        <f>1.51*W141</f>
        <v>2048.9035979999999</v>
      </c>
      <c r="O135" s="52">
        <v>119</v>
      </c>
      <c r="P135" s="59">
        <v>8.9999999999999993E-3</v>
      </c>
      <c r="Q135" s="59">
        <v>5.45E-2</v>
      </c>
      <c r="R135" s="62">
        <f t="shared" si="78"/>
        <v>-7.4568495852231145E-3</v>
      </c>
      <c r="S135" s="62">
        <f t="shared" si="79"/>
        <v>-1.0760812871317142E-2</v>
      </c>
      <c r="T135" s="62">
        <f t="shared" si="80"/>
        <v>8.4745762711864406E-3</v>
      </c>
      <c r="U135" s="62">
        <f t="shared" si="81"/>
        <v>6.1999999999999989E-3</v>
      </c>
      <c r="V135" s="63">
        <f t="shared" si="82"/>
        <v>2.0400000000000001E-2</v>
      </c>
    </row>
    <row r="136" spans="1:25">
      <c r="A136" s="181">
        <v>120</v>
      </c>
      <c r="B136" s="148" t="s">
        <v>343</v>
      </c>
      <c r="C136" s="147" t="s">
        <v>336</v>
      </c>
      <c r="D136" s="38">
        <v>0</v>
      </c>
      <c r="E136" s="34">
        <f t="shared" si="88"/>
        <v>0</v>
      </c>
      <c r="F136" s="33">
        <v>0</v>
      </c>
      <c r="G136" s="33">
        <v>0</v>
      </c>
      <c r="H136" s="35">
        <v>0</v>
      </c>
      <c r="I136" s="56">
        <v>0</v>
      </c>
      <c r="J136" s="56">
        <v>0</v>
      </c>
      <c r="K136" s="38">
        <f>25003.46*W141</f>
        <v>33926939.838707998</v>
      </c>
      <c r="L136" s="34">
        <f t="shared" si="77"/>
        <v>1.8629104011199621E-5</v>
      </c>
      <c r="M136" s="33">
        <f>1.000138*W141</f>
        <v>1357.0770507923999</v>
      </c>
      <c r="N136" s="33">
        <f>1.000178*W141</f>
        <v>1357.1313263843999</v>
      </c>
      <c r="O136" s="35">
        <v>1</v>
      </c>
      <c r="P136" s="56">
        <v>0</v>
      </c>
      <c r="Q136" s="56">
        <v>0</v>
      </c>
      <c r="R136" s="62" t="e">
        <f>((K136-D136)/D136)</f>
        <v>#DIV/0!</v>
      </c>
      <c r="S136" s="62" t="e">
        <f>((N136-G136)/G136)</f>
        <v>#DIV/0!</v>
      </c>
      <c r="T136" s="62" t="e">
        <f>((O136-H136)/H136)</f>
        <v>#DIV/0!</v>
      </c>
      <c r="U136" s="62">
        <f>P136-I136</f>
        <v>0</v>
      </c>
      <c r="V136" s="63">
        <f>Q136-J136</f>
        <v>0</v>
      </c>
    </row>
    <row r="137" spans="1:25">
      <c r="A137" s="181">
        <v>121</v>
      </c>
      <c r="B137" s="148" t="s">
        <v>187</v>
      </c>
      <c r="C137" s="147" t="s">
        <v>102</v>
      </c>
      <c r="D137" s="38">
        <v>39550505270.448402</v>
      </c>
      <c r="E137" s="34">
        <f>(D137/$D$162)</f>
        <v>2.1420163054282987E-2</v>
      </c>
      <c r="F137" s="38">
        <v>144182.53036400001</v>
      </c>
      <c r="G137" s="38">
        <v>144182.53036400001</v>
      </c>
      <c r="H137" s="35">
        <v>898</v>
      </c>
      <c r="I137" s="59">
        <v>-5.7999999999999996E-3</v>
      </c>
      <c r="J137" s="56">
        <v>7.6499999999999999E-2</v>
      </c>
      <c r="K137" s="38">
        <f>29438558*W141</f>
        <v>39944879076.908401</v>
      </c>
      <c r="L137" s="34">
        <f t="shared" si="77"/>
        <v>2.1933522757319697E-2</v>
      </c>
      <c r="M137" s="38">
        <f>105.53*W141</f>
        <v>143192.580594</v>
      </c>
      <c r="N137" s="38">
        <f>105.53*W141</f>
        <v>143192.580594</v>
      </c>
      <c r="O137" s="35">
        <v>906</v>
      </c>
      <c r="P137" s="59">
        <v>1.0699999999999999E-2</v>
      </c>
      <c r="Q137" s="56">
        <v>0.10970000000000001</v>
      </c>
      <c r="R137" s="62">
        <f t="shared" si="78"/>
        <v>9.9713974262338901E-3</v>
      </c>
      <c r="S137" s="62">
        <f t="shared" si="79"/>
        <v>-6.8659480971848767E-3</v>
      </c>
      <c r="T137" s="62">
        <f t="shared" si="80"/>
        <v>8.9086859688195987E-3</v>
      </c>
      <c r="U137" s="62">
        <f t="shared" si="81"/>
        <v>1.6500000000000001E-2</v>
      </c>
      <c r="V137" s="63">
        <f t="shared" si="82"/>
        <v>3.3200000000000007E-2</v>
      </c>
    </row>
    <row r="138" spans="1:25">
      <c r="A138" s="181">
        <v>122</v>
      </c>
      <c r="B138" s="148" t="s">
        <v>188</v>
      </c>
      <c r="C138" s="147" t="s">
        <v>44</v>
      </c>
      <c r="D138" s="38">
        <v>2800344089.7514558</v>
      </c>
      <c r="E138" s="34">
        <f>(D138/$D$162)</f>
        <v>1.516638702853512E-3</v>
      </c>
      <c r="F138" s="38">
        <v>222887.799764</v>
      </c>
      <c r="G138" s="38">
        <v>231669.650876</v>
      </c>
      <c r="H138" s="35">
        <v>48</v>
      </c>
      <c r="I138" s="56">
        <v>-1.6000000000000001E-3</v>
      </c>
      <c r="J138" s="56">
        <v>-2.86E-2</v>
      </c>
      <c r="K138" s="38">
        <f>2021611.53*W141</f>
        <v>2743104064.6193938</v>
      </c>
      <c r="L138" s="34">
        <f t="shared" si="77"/>
        <v>1.5062239971032172E-3</v>
      </c>
      <c r="M138" s="38">
        <f>160.53*W141</f>
        <v>217821.51959399998</v>
      </c>
      <c r="N138" s="38">
        <f>166.96*W141</f>
        <v>226546.321008</v>
      </c>
      <c r="O138" s="35">
        <v>53</v>
      </c>
      <c r="P138" s="56">
        <v>5.7000000000000002E-3</v>
      </c>
      <c r="Q138" s="56">
        <v>-2.86E-2</v>
      </c>
      <c r="R138" s="62">
        <f t="shared" ref="R138:R139" si="91">((K138-D138)/D138)</f>
        <v>-2.0440354219878134E-2</v>
      </c>
      <c r="S138" s="62">
        <f t="shared" ref="S138:S139" si="92">((N138-G138)/G138)</f>
        <v>-2.2114808083956741E-2</v>
      </c>
      <c r="T138" s="62">
        <f t="shared" ref="T138:T139" si="93">((O138-H138)/H138)</f>
        <v>0.10416666666666667</v>
      </c>
      <c r="U138" s="62">
        <f t="shared" ref="U138:U139" si="94">P138-I138</f>
        <v>7.3000000000000001E-3</v>
      </c>
      <c r="V138" s="63">
        <f t="shared" ref="V138:V139" si="95">Q138-J138</f>
        <v>0</v>
      </c>
    </row>
    <row r="139" spans="1:25" ht="15" customHeight="1">
      <c r="A139" s="181">
        <v>123</v>
      </c>
      <c r="B139" s="148" t="s">
        <v>189</v>
      </c>
      <c r="C139" s="147" t="s">
        <v>51</v>
      </c>
      <c r="D139" s="33">
        <v>157253541106.86002</v>
      </c>
      <c r="E139" s="34">
        <f>(D139/$D$162)</f>
        <v>8.51669648298818E-2</v>
      </c>
      <c r="F139" s="38">
        <v>174755.83944873119</v>
      </c>
      <c r="G139" s="38">
        <v>174755.83944873119</v>
      </c>
      <c r="H139" s="35">
        <v>4348</v>
      </c>
      <c r="I139" s="56">
        <v>6.9999999999999999E-4</v>
      </c>
      <c r="J139" s="56">
        <v>5.8400000000000001E-2</v>
      </c>
      <c r="K139" s="33">
        <f>114263040.73*1359</f>
        <v>155283472352.07001</v>
      </c>
      <c r="L139" s="34">
        <f t="shared" si="77"/>
        <v>8.5265336968779679E-2</v>
      </c>
      <c r="M139" s="38">
        <f>126.74237159*1359</f>
        <v>172242.88299081</v>
      </c>
      <c r="N139" s="38">
        <f>126.74237159*1359</f>
        <v>172242.88299081</v>
      </c>
      <c r="O139" s="35">
        <v>4359</v>
      </c>
      <c r="P139" s="56">
        <v>1.4E-3</v>
      </c>
      <c r="Q139" s="56">
        <v>5.8900000000000001E-2</v>
      </c>
      <c r="R139" s="62">
        <f t="shared" si="91"/>
        <v>-1.2527977054909489E-2</v>
      </c>
      <c r="S139" s="62">
        <f t="shared" si="92"/>
        <v>-1.4379813949841849E-2</v>
      </c>
      <c r="T139" s="62">
        <f t="shared" si="93"/>
        <v>2.5298988040478379E-3</v>
      </c>
      <c r="U139" s="62">
        <f t="shared" si="94"/>
        <v>6.9999999999999999E-4</v>
      </c>
      <c r="V139" s="63">
        <f t="shared" si="95"/>
        <v>5.0000000000000044E-4</v>
      </c>
    </row>
    <row r="140" spans="1:25">
      <c r="A140" s="76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</row>
    <row r="141" spans="1:25">
      <c r="A141" s="193" t="s">
        <v>190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83">
        <v>1356.8897999999999</v>
      </c>
      <c r="Y141" s="123"/>
    </row>
    <row r="142" spans="1:25">
      <c r="A142" s="181">
        <v>124</v>
      </c>
      <c r="B142" s="148" t="s">
        <v>332</v>
      </c>
      <c r="C142" s="147" t="s">
        <v>333</v>
      </c>
      <c r="D142" s="33">
        <v>404917346.83231997</v>
      </c>
      <c r="E142" s="34">
        <f>(D142/$D$162)</f>
        <v>2.1929923608679139E-4</v>
      </c>
      <c r="F142" s="38">
        <v>1394.602142</v>
      </c>
      <c r="G142" s="38">
        <v>1394.602142</v>
      </c>
      <c r="H142" s="35">
        <v>35</v>
      </c>
      <c r="I142" s="56">
        <v>7.5499999999999998E-2</v>
      </c>
      <c r="J142" s="56">
        <v>7.1199999999999999E-2</v>
      </c>
      <c r="K142" s="33">
        <f>335651.14*W141</f>
        <v>455441608.22437197</v>
      </c>
      <c r="L142" s="34">
        <f>(K142/$K$162)</f>
        <v>2.5008058878802074E-4</v>
      </c>
      <c r="M142" s="38">
        <f>1.01*W141</f>
        <v>1370.4586979999999</v>
      </c>
      <c r="N142" s="38">
        <f>1.01*W141</f>
        <v>1370.4586979999999</v>
      </c>
      <c r="O142" s="35">
        <v>35</v>
      </c>
      <c r="P142" s="56">
        <v>7.0400000000000004E-2</v>
      </c>
      <c r="Q142" s="56">
        <v>7.0699999999999999E-2</v>
      </c>
      <c r="R142" s="62">
        <f>((K142-D142)/D142)</f>
        <v>0.1247767273674609</v>
      </c>
      <c r="S142" s="62">
        <f>((N142-G142)/G142)</f>
        <v>-1.7312065766209073E-2</v>
      </c>
      <c r="T142" s="62">
        <f>((O142-H142)/H142)</f>
        <v>0</v>
      </c>
      <c r="U142" s="62">
        <f>P142-I142</f>
        <v>-5.0999999999999934E-3</v>
      </c>
      <c r="V142" s="63">
        <f>Q142-J142</f>
        <v>-5.0000000000000044E-4</v>
      </c>
      <c r="W142" s="83"/>
      <c r="Y142" s="123"/>
    </row>
    <row r="143" spans="1:25">
      <c r="A143" s="181">
        <v>125</v>
      </c>
      <c r="B143" s="148" t="s">
        <v>191</v>
      </c>
      <c r="C143" s="147" t="s">
        <v>62</v>
      </c>
      <c r="D143" s="33">
        <v>1633416077.298568</v>
      </c>
      <c r="E143" s="34">
        <f>(D143/$D$162)</f>
        <v>8.8464201587242972E-4</v>
      </c>
      <c r="F143" s="38">
        <v>170845.66636600002</v>
      </c>
      <c r="G143" s="38">
        <v>170845.66636600002</v>
      </c>
      <c r="H143" s="35">
        <v>23</v>
      </c>
      <c r="I143" s="56">
        <v>3.5999999999999999E-3</v>
      </c>
      <c r="J143" s="56">
        <v>6.4000000000000001E-2</v>
      </c>
      <c r="K143" s="33">
        <f>1167174.31*W141</f>
        <v>1583726916.061038</v>
      </c>
      <c r="L143" s="34">
        <f>(K143/$K$162)</f>
        <v>8.6961610993799071E-4</v>
      </c>
      <c r="M143" s="38">
        <f>119.05*W141</f>
        <v>161537.73069</v>
      </c>
      <c r="N143" s="38">
        <f>119.05*W141</f>
        <v>161537.73069</v>
      </c>
      <c r="O143" s="35">
        <v>76</v>
      </c>
      <c r="P143" s="56">
        <v>1.2699999999999999E-2</v>
      </c>
      <c r="Q143" s="56">
        <v>0.10829999999999999</v>
      </c>
      <c r="R143" s="62">
        <f>((K143-D143)/D143)</f>
        <v>-3.0420394367434305E-2</v>
      </c>
      <c r="S143" s="62">
        <f>((N143-G143)/G143)</f>
        <v>-5.4481543921984982E-2</v>
      </c>
      <c r="T143" s="62">
        <f>((O143-H143)/H143)</f>
        <v>2.3043478260869565</v>
      </c>
      <c r="U143" s="62">
        <f>P143-I143</f>
        <v>9.1000000000000004E-3</v>
      </c>
      <c r="V143" s="63">
        <f>Q143-J143</f>
        <v>4.4299999999999992E-2</v>
      </c>
    </row>
    <row r="144" spans="1:25">
      <c r="A144" s="181">
        <v>126</v>
      </c>
      <c r="B144" s="147" t="s">
        <v>192</v>
      </c>
      <c r="C144" s="147" t="s">
        <v>25</v>
      </c>
      <c r="D144" s="38">
        <v>29497459545.325401</v>
      </c>
      <c r="E144" s="34">
        <f>(D144/$D$162)</f>
        <v>1.5975532773283903E-2</v>
      </c>
      <c r="F144" s="33">
        <v>189652.08337000001</v>
      </c>
      <c r="G144" s="33">
        <v>189652.08337000001</v>
      </c>
      <c r="H144" s="35">
        <v>677</v>
      </c>
      <c r="I144" s="56">
        <v>5.0000000000000001E-4</v>
      </c>
      <c r="J144" s="56">
        <v>1.2800000000000001E-2</v>
      </c>
      <c r="K144" s="38">
        <f>20812803.77*W141</f>
        <v>28240681144.914543</v>
      </c>
      <c r="L144" s="34">
        <f>(K144/$K$162)</f>
        <v>1.5506809305432832E-2</v>
      </c>
      <c r="M144" s="33">
        <f>137.49*W141</f>
        <v>186558.77860200001</v>
      </c>
      <c r="N144" s="33">
        <f>137.49*W141</f>
        <v>186558.77860200001</v>
      </c>
      <c r="O144" s="35">
        <v>677</v>
      </c>
      <c r="P144" s="56">
        <v>5.0000000000000001E-4</v>
      </c>
      <c r="Q144" s="56">
        <v>1.38E-2</v>
      </c>
      <c r="R144" s="62">
        <f t="shared" ref="R144:R162" si="96">((K144-D144)/D144)</f>
        <v>-4.2606326774673908E-2</v>
      </c>
      <c r="S144" s="62">
        <f t="shared" ref="S144:S162" si="97">((N144-G144)/G144)</f>
        <v>-1.6310418072050109E-2</v>
      </c>
      <c r="T144" s="62">
        <f t="shared" ref="T144:T162" si="98">((O144-H144)/H144)</f>
        <v>0</v>
      </c>
      <c r="U144" s="62">
        <f t="shared" ref="U144:U162" si="99">P144-I144</f>
        <v>0</v>
      </c>
      <c r="V144" s="63">
        <f t="shared" ref="V144:V162" si="100">Q144-J144</f>
        <v>9.9999999999999915E-4</v>
      </c>
    </row>
    <row r="145" spans="1:24">
      <c r="A145" s="181">
        <v>127</v>
      </c>
      <c r="B145" s="147" t="s">
        <v>193</v>
      </c>
      <c r="C145" s="147" t="s">
        <v>135</v>
      </c>
      <c r="D145" s="38">
        <v>568087033.40455782</v>
      </c>
      <c r="E145" s="34">
        <f>(D145/$D$162)</f>
        <v>3.0767032687295867E-4</v>
      </c>
      <c r="F145" s="33">
        <v>138079.42000000001</v>
      </c>
      <c r="G145" s="33">
        <v>138079.42000000001</v>
      </c>
      <c r="H145" s="35">
        <v>21</v>
      </c>
      <c r="I145" s="56">
        <v>3.4099999999999998E-3</v>
      </c>
      <c r="J145" s="56">
        <v>2.47E-2</v>
      </c>
      <c r="K145" s="38">
        <f>443698.2*W141</f>
        <v>602049561.85835993</v>
      </c>
      <c r="L145" s="34">
        <f>(K145/$K$162)</f>
        <v>3.3058224411269685E-4</v>
      </c>
      <c r="M145" s="33">
        <f>103.2*W141</f>
        <v>140031.02736000001</v>
      </c>
      <c r="N145" s="33">
        <f>103.2*W141</f>
        <v>140031.02736000001</v>
      </c>
      <c r="O145" s="35">
        <v>22</v>
      </c>
      <c r="P145" s="56">
        <v>8.0000000000000004E-4</v>
      </c>
      <c r="Q145" s="56">
        <v>1.746E-2</v>
      </c>
      <c r="R145" s="62">
        <v>0</v>
      </c>
      <c r="S145" s="62">
        <f t="shared" ref="S145" si="101">((N145-G145)/G145)</f>
        <v>1.4133948129272229E-2</v>
      </c>
      <c r="T145" s="62">
        <f t="shared" ref="T145" si="102">((O145-H145)/H145)</f>
        <v>4.7619047619047616E-2</v>
      </c>
      <c r="U145" s="62">
        <f t="shared" ref="U145" si="103">P145-I145</f>
        <v>-2.6099999999999999E-3</v>
      </c>
      <c r="V145" s="63">
        <f t="shared" ref="V145" si="104">Q145-J145</f>
        <v>-7.2399999999999999E-3</v>
      </c>
    </row>
    <row r="146" spans="1:24">
      <c r="A146" s="181">
        <v>128</v>
      </c>
      <c r="B146" s="148" t="s">
        <v>194</v>
      </c>
      <c r="C146" s="147" t="s">
        <v>71</v>
      </c>
      <c r="D146" s="33">
        <v>17812345531.75</v>
      </c>
      <c r="E146" s="34">
        <f>(D146/$D$162)</f>
        <v>9.6469904255407322E-3</v>
      </c>
      <c r="F146" s="33">
        <v>166840.1</v>
      </c>
      <c r="G146" s="33">
        <v>166840.1</v>
      </c>
      <c r="H146" s="35">
        <v>472</v>
      </c>
      <c r="I146" s="56">
        <v>6.9999999999999999E-4</v>
      </c>
      <c r="J146" s="56">
        <v>6.4699999999999994E-2</v>
      </c>
      <c r="K146" s="33">
        <v>17187933213.799999</v>
      </c>
      <c r="L146" s="34">
        <f t="shared" ref="L146:L147" si="105">(K146/$K$118)</f>
        <v>7.2515118855057473E-2</v>
      </c>
      <c r="M146" s="33">
        <v>163724.65</v>
      </c>
      <c r="N146" s="33">
        <v>163724.65</v>
      </c>
      <c r="O146" s="35">
        <v>470</v>
      </c>
      <c r="P146" s="56">
        <v>1.1999999999999999E-3</v>
      </c>
      <c r="Q146" s="56">
        <v>6.4699999999999994E-2</v>
      </c>
      <c r="R146" s="62">
        <f t="shared" si="96"/>
        <v>-3.5055030615535922E-2</v>
      </c>
      <c r="S146" s="62">
        <f t="shared" si="97"/>
        <v>-1.8673268596698343E-2</v>
      </c>
      <c r="T146" s="62">
        <f t="shared" si="98"/>
        <v>-4.2372881355932203E-3</v>
      </c>
      <c r="U146" s="62">
        <f t="shared" si="99"/>
        <v>4.999999999999999E-4</v>
      </c>
      <c r="V146" s="63">
        <f t="shared" si="100"/>
        <v>0</v>
      </c>
    </row>
    <row r="147" spans="1:24">
      <c r="A147" s="181">
        <v>129</v>
      </c>
      <c r="B147" s="148" t="s">
        <v>195</v>
      </c>
      <c r="C147" s="147" t="s">
        <v>73</v>
      </c>
      <c r="D147" s="38">
        <v>153253575.013248</v>
      </c>
      <c r="E147" s="34">
        <f t="shared" ref="E147" si="106">(D147/$D$118)</f>
        <v>6.3795008152724641E-4</v>
      </c>
      <c r="F147" s="37">
        <v>1453.9762925999999</v>
      </c>
      <c r="G147" s="37">
        <v>1453.9762925999999</v>
      </c>
      <c r="H147" s="35">
        <v>7</v>
      </c>
      <c r="I147" s="56">
        <v>-1.37E-2</v>
      </c>
      <c r="J147" s="56">
        <v>-0.18679999999999999</v>
      </c>
      <c r="K147" s="38">
        <f>111182.69*W141</f>
        <v>150862657.99756199</v>
      </c>
      <c r="L147" s="34">
        <f t="shared" si="105"/>
        <v>6.3648278355536269E-4</v>
      </c>
      <c r="M147" s="37">
        <f>1.0549*W141</f>
        <v>1431.3830500199999</v>
      </c>
      <c r="N147" s="37">
        <f>1.0549*W141</f>
        <v>1431.3830500199999</v>
      </c>
      <c r="O147" s="35">
        <v>7</v>
      </c>
      <c r="P147" s="56">
        <v>1.8E-3</v>
      </c>
      <c r="Q147" s="56">
        <v>0.1075</v>
      </c>
      <c r="R147" s="61">
        <f t="shared" si="96"/>
        <v>-1.5601052148240735E-2</v>
      </c>
      <c r="S147" s="61">
        <f t="shared" si="97"/>
        <v>-1.5538934640810888E-2</v>
      </c>
      <c r="T147" s="61">
        <f t="shared" si="98"/>
        <v>0</v>
      </c>
      <c r="U147" s="62">
        <f t="shared" si="99"/>
        <v>1.55E-2</v>
      </c>
      <c r="V147" s="63">
        <f t="shared" si="100"/>
        <v>0.29430000000000001</v>
      </c>
    </row>
    <row r="148" spans="1:24">
      <c r="A148" s="181">
        <v>130</v>
      </c>
      <c r="B148" s="148" t="s">
        <v>196</v>
      </c>
      <c r="C148" s="147" t="s">
        <v>69</v>
      </c>
      <c r="D148" s="33">
        <v>12765399122.611799</v>
      </c>
      <c r="E148" s="34">
        <f t="shared" ref="E148:E161" si="107">(D148/$D$162)</f>
        <v>6.9136140939178867E-3</v>
      </c>
      <c r="F148" s="33">
        <v>1881.6258695347899</v>
      </c>
      <c r="G148" s="33">
        <v>1881.6258695347899</v>
      </c>
      <c r="H148" s="35">
        <v>349</v>
      </c>
      <c r="I148" s="56">
        <v>5.0299999999999997E-2</v>
      </c>
      <c r="J148" s="56">
        <v>6.9699999999999998E-2</v>
      </c>
      <c r="K148" s="33">
        <v>12355826802.848801</v>
      </c>
      <c r="L148" s="34">
        <f t="shared" ref="L148:L161" si="108">(K148/$K$162)</f>
        <v>6.784519433492296E-3</v>
      </c>
      <c r="M148" s="33">
        <v>1854.5158408233101</v>
      </c>
      <c r="N148" s="33">
        <v>1854.5158408233101</v>
      </c>
      <c r="O148" s="35">
        <v>350</v>
      </c>
      <c r="P148" s="56">
        <v>7.0099999999999996E-2</v>
      </c>
      <c r="Q148" s="56">
        <v>6.9800000000000001E-2</v>
      </c>
      <c r="R148" s="62">
        <f t="shared" si="96"/>
        <v>-3.2084568279381782E-2</v>
      </c>
      <c r="S148" s="62">
        <f t="shared" si="97"/>
        <v>-1.4407767851418007E-2</v>
      </c>
      <c r="T148" s="61">
        <f t="shared" si="98"/>
        <v>2.8653295128939827E-3</v>
      </c>
      <c r="U148" s="62">
        <f t="shared" si="99"/>
        <v>1.9799999999999998E-2</v>
      </c>
      <c r="V148" s="63">
        <f t="shared" si="100"/>
        <v>1.0000000000000286E-4</v>
      </c>
    </row>
    <row r="149" spans="1:24">
      <c r="A149" s="181">
        <v>131</v>
      </c>
      <c r="B149" s="148" t="s">
        <v>197</v>
      </c>
      <c r="C149" s="147" t="s">
        <v>92</v>
      </c>
      <c r="D149" s="33">
        <v>276283884.72275203</v>
      </c>
      <c r="E149" s="34">
        <f t="shared" si="107"/>
        <v>1.4963262339037566E-4</v>
      </c>
      <c r="F149" s="33">
        <v>1449.8339100000001</v>
      </c>
      <c r="G149" s="33">
        <v>1449.8339100000001</v>
      </c>
      <c r="H149" s="35">
        <v>11</v>
      </c>
      <c r="I149" s="56">
        <v>6.7299999999999999E-2</v>
      </c>
      <c r="J149" s="56">
        <v>6.7299999999999999E-2</v>
      </c>
      <c r="K149" s="33">
        <f>200221.62*W141</f>
        <v>271678673.917476</v>
      </c>
      <c r="L149" s="34">
        <f t="shared" si="108"/>
        <v>1.4917732922847024E-4</v>
      </c>
      <c r="M149" s="33">
        <f>1.05*W141</f>
        <v>1424.7342899999999</v>
      </c>
      <c r="N149" s="33">
        <f>1.05*W141</f>
        <v>1424.7342899999999</v>
      </c>
      <c r="O149" s="35">
        <v>11</v>
      </c>
      <c r="P149" s="56">
        <v>6.7299999999999999E-2</v>
      </c>
      <c r="Q149" s="56">
        <v>6.7299999999999999E-2</v>
      </c>
      <c r="R149" s="62">
        <f t="shared" si="96"/>
        <v>-1.6668401813943353E-2</v>
      </c>
      <c r="S149" s="62">
        <f t="shared" si="97"/>
        <v>-1.7312065766209171E-2</v>
      </c>
      <c r="T149" s="61">
        <f t="shared" si="98"/>
        <v>0</v>
      </c>
      <c r="U149" s="62">
        <f t="shared" si="99"/>
        <v>0</v>
      </c>
      <c r="V149" s="63">
        <f t="shared" si="100"/>
        <v>0</v>
      </c>
    </row>
    <row r="150" spans="1:24" ht="15.6">
      <c r="A150" s="181">
        <v>132</v>
      </c>
      <c r="B150" s="148" t="s">
        <v>198</v>
      </c>
      <c r="C150" s="147" t="s">
        <v>36</v>
      </c>
      <c r="D150" s="33">
        <v>132272613689.35699</v>
      </c>
      <c r="E150" s="34">
        <f t="shared" si="107"/>
        <v>7.1637541251823519E-2</v>
      </c>
      <c r="F150" s="33">
        <v>138672</v>
      </c>
      <c r="G150" s="33">
        <v>138672</v>
      </c>
      <c r="H150" s="35">
        <v>3046</v>
      </c>
      <c r="I150" s="56">
        <v>4.3200000000000002E-2</v>
      </c>
      <c r="J150" s="56">
        <v>5.0999999999999997E-2</v>
      </c>
      <c r="K150" s="33">
        <v>132658189493.558</v>
      </c>
      <c r="L150" s="34">
        <f t="shared" si="108"/>
        <v>7.2841913292555682E-2</v>
      </c>
      <c r="M150" s="33">
        <f>100*W141</f>
        <v>135688.97999999998</v>
      </c>
      <c r="N150" s="33">
        <f>100*W141</f>
        <v>135688.97999999998</v>
      </c>
      <c r="O150" s="35">
        <v>3044</v>
      </c>
      <c r="P150" s="56">
        <v>4.6899999999999997E-2</v>
      </c>
      <c r="Q150" s="56">
        <v>5.0700000000000002E-2</v>
      </c>
      <c r="R150" s="62">
        <f t="shared" si="96"/>
        <v>2.9150085830051795E-3</v>
      </c>
      <c r="S150" s="62">
        <f t="shared" si="97"/>
        <v>-2.1511336102457732E-2</v>
      </c>
      <c r="T150" s="62">
        <f t="shared" si="98"/>
        <v>-6.5659881812212733E-4</v>
      </c>
      <c r="U150" s="62">
        <f t="shared" si="99"/>
        <v>3.699999999999995E-3</v>
      </c>
      <c r="V150" s="63">
        <f t="shared" si="100"/>
        <v>-2.9999999999999472E-4</v>
      </c>
      <c r="X150" s="84"/>
    </row>
    <row r="151" spans="1:24" ht="15.6">
      <c r="A151" s="181">
        <v>133</v>
      </c>
      <c r="B151" s="148" t="s">
        <v>199</v>
      </c>
      <c r="C151" s="147" t="s">
        <v>149</v>
      </c>
      <c r="D151" s="33">
        <v>1521519843.04459</v>
      </c>
      <c r="E151" s="34">
        <f t="shared" si="107"/>
        <v>8.2404012048599234E-4</v>
      </c>
      <c r="F151" s="33">
        <v>1587.9133299999999</v>
      </c>
      <c r="G151" s="33">
        <v>1587.9133299999999</v>
      </c>
      <c r="H151" s="35">
        <v>53</v>
      </c>
      <c r="I151" s="56">
        <v>1.9E-3</v>
      </c>
      <c r="J151" s="56">
        <v>0.1205</v>
      </c>
      <c r="K151" s="33">
        <f>1123782.89*W141</f>
        <v>1524849540.8555217</v>
      </c>
      <c r="L151" s="34">
        <f t="shared" si="108"/>
        <v>8.3728685325216989E-4</v>
      </c>
      <c r="M151" s="33">
        <f>1.15*W141</f>
        <v>1560.4232699999998</v>
      </c>
      <c r="N151" s="33">
        <f>1.15*W141</f>
        <v>1560.4232699999998</v>
      </c>
      <c r="O151" s="35">
        <v>53</v>
      </c>
      <c r="P151" s="56">
        <v>1.9E-3</v>
      </c>
      <c r="Q151" s="56">
        <v>0.1124</v>
      </c>
      <c r="R151" s="62">
        <f t="shared" si="96"/>
        <v>2.1884024885728036E-3</v>
      </c>
      <c r="S151" s="62">
        <f t="shared" si="97"/>
        <v>-1.7312065766209098E-2</v>
      </c>
      <c r="T151" s="62">
        <f t="shared" si="98"/>
        <v>0</v>
      </c>
      <c r="U151" s="62">
        <f t="shared" si="99"/>
        <v>0</v>
      </c>
      <c r="V151" s="63">
        <f t="shared" si="100"/>
        <v>-8.0999999999999961E-3</v>
      </c>
      <c r="X151" s="84"/>
    </row>
    <row r="152" spans="1:24" ht="15.6">
      <c r="A152" s="181">
        <v>134</v>
      </c>
      <c r="B152" s="148" t="s">
        <v>326</v>
      </c>
      <c r="C152" s="147" t="s">
        <v>42</v>
      </c>
      <c r="D152" s="38">
        <v>10644887341.151451</v>
      </c>
      <c r="E152" s="34">
        <f t="shared" si="107"/>
        <v>5.7651658552212437E-3</v>
      </c>
      <c r="F152" s="33">
        <v>14733.074114000001</v>
      </c>
      <c r="G152" s="33">
        <v>14733.074114000001</v>
      </c>
      <c r="H152" s="35">
        <v>189</v>
      </c>
      <c r="I152" s="56">
        <v>5.6399999999999999E-2</v>
      </c>
      <c r="J152" s="56">
        <v>7.4700000000000003E-2</v>
      </c>
      <c r="K152" s="38">
        <f>7916420.38*W141</f>
        <v>10741710066.134123</v>
      </c>
      <c r="L152" s="34">
        <f t="shared" si="108"/>
        <v>5.8982164330616815E-3</v>
      </c>
      <c r="M152" s="33">
        <f>10.74*W141</f>
        <v>14572.996451999999</v>
      </c>
      <c r="N152" s="33">
        <f>10.74*W141</f>
        <v>14572.996451999999</v>
      </c>
      <c r="O152" s="35">
        <v>189</v>
      </c>
      <c r="P152" s="56">
        <v>5.6000000000000001E-2</v>
      </c>
      <c r="Q152" s="56">
        <v>7.4300000000000005E-2</v>
      </c>
      <c r="R152" s="62">
        <f t="shared" si="96"/>
        <v>9.0957021788638757E-3</v>
      </c>
      <c r="S152" s="62">
        <f t="shared" si="97"/>
        <v>-1.0865190846212389E-2</v>
      </c>
      <c r="T152" s="62">
        <f t="shared" si="98"/>
        <v>0</v>
      </c>
      <c r="U152" s="62">
        <f t="shared" si="99"/>
        <v>-3.9999999999999758E-4</v>
      </c>
      <c r="V152" s="63">
        <f t="shared" si="100"/>
        <v>-3.9999999999999758E-4</v>
      </c>
      <c r="X152" s="84"/>
    </row>
    <row r="153" spans="1:24" ht="15.6">
      <c r="A153" s="181">
        <v>135</v>
      </c>
      <c r="B153" s="147" t="s">
        <v>200</v>
      </c>
      <c r="C153" s="149" t="s">
        <v>46</v>
      </c>
      <c r="D153" s="33">
        <v>30997121991.650002</v>
      </c>
      <c r="E153" s="34">
        <f t="shared" si="107"/>
        <v>1.6787735143569668E-2</v>
      </c>
      <c r="F153" s="33">
        <v>1505.0656780000002</v>
      </c>
      <c r="G153" s="33">
        <v>1505.0656780000002</v>
      </c>
      <c r="H153" s="35">
        <v>598</v>
      </c>
      <c r="I153" s="56">
        <v>5.4999999999999997E-3</v>
      </c>
      <c r="J153" s="56">
        <v>5.0599999999999999E-2</v>
      </c>
      <c r="K153" s="33">
        <v>30646267504.549999</v>
      </c>
      <c r="L153" s="34">
        <f t="shared" si="108"/>
        <v>1.6827704108047559E-2</v>
      </c>
      <c r="M153" s="33">
        <f>1.1*W141</f>
        <v>1492.5787800000001</v>
      </c>
      <c r="N153" s="33">
        <f>1.1*W141</f>
        <v>1492.5787800000001</v>
      </c>
      <c r="O153" s="35">
        <v>598</v>
      </c>
      <c r="P153" s="56">
        <v>5.4999999999999997E-3</v>
      </c>
      <c r="Q153" s="56">
        <v>4.9299999999999997E-2</v>
      </c>
      <c r="R153" s="62">
        <f t="shared" si="96"/>
        <v>-1.1318937519248251E-2</v>
      </c>
      <c r="S153" s="62">
        <f t="shared" si="97"/>
        <v>-8.2965801310367192E-3</v>
      </c>
      <c r="T153" s="62">
        <f t="shared" si="98"/>
        <v>0</v>
      </c>
      <c r="U153" s="62">
        <f t="shared" si="99"/>
        <v>0</v>
      </c>
      <c r="V153" s="63">
        <f t="shared" si="100"/>
        <v>-1.3000000000000025E-3</v>
      </c>
      <c r="X153" s="84"/>
    </row>
    <row r="154" spans="1:24">
      <c r="A154" s="181">
        <v>136</v>
      </c>
      <c r="B154" s="148" t="s">
        <v>201</v>
      </c>
      <c r="C154" s="147" t="s">
        <v>104</v>
      </c>
      <c r="D154" s="38">
        <v>383234771.12700003</v>
      </c>
      <c r="E154" s="34">
        <f t="shared" si="107"/>
        <v>2.0755616722157983E-4</v>
      </c>
      <c r="F154" s="33">
        <v>1530.3570000000002</v>
      </c>
      <c r="G154" s="33">
        <v>1530.3570000000002</v>
      </c>
      <c r="H154" s="35">
        <v>2</v>
      </c>
      <c r="I154" s="56">
        <v>-0.11459999999999999</v>
      </c>
      <c r="J154" s="56">
        <v>-0.16569999999999999</v>
      </c>
      <c r="K154" s="38">
        <f>278501.82*1356.8</f>
        <v>377871269.37599999</v>
      </c>
      <c r="L154" s="34">
        <f t="shared" si="108"/>
        <v>2.0748712420028297E-4</v>
      </c>
      <c r="M154" s="33">
        <f>1.11*1356.8</f>
        <v>1506.048</v>
      </c>
      <c r="N154" s="33">
        <f>1.11*1356.8</f>
        <v>1506.048</v>
      </c>
      <c r="O154" s="35">
        <v>2</v>
      </c>
      <c r="P154" s="56">
        <v>1.8E-3</v>
      </c>
      <c r="Q154" s="56">
        <v>-0.1641</v>
      </c>
      <c r="R154" s="62">
        <f t="shared" si="96"/>
        <v>-1.3995342163831574E-2</v>
      </c>
      <c r="S154" s="62">
        <f t="shared" si="97"/>
        <v>-1.5884528904040164E-2</v>
      </c>
      <c r="T154" s="62">
        <f t="shared" si="98"/>
        <v>0</v>
      </c>
      <c r="U154" s="62">
        <f t="shared" ref="U154" si="109">P154-I154</f>
        <v>0.11639999999999999</v>
      </c>
      <c r="V154" s="63">
        <f t="shared" ref="V154" si="110">Q154-J154</f>
        <v>1.5999999999999903E-3</v>
      </c>
    </row>
    <row r="155" spans="1:24">
      <c r="A155" s="181">
        <v>137</v>
      </c>
      <c r="B155" s="148" t="s">
        <v>202</v>
      </c>
      <c r="C155" s="147" t="s">
        <v>109</v>
      </c>
      <c r="D155" s="38">
        <v>761396654.05571198</v>
      </c>
      <c r="E155" s="34">
        <f t="shared" si="107"/>
        <v>4.1236490829473394E-4</v>
      </c>
      <c r="F155" s="33">
        <v>1481.86833544</v>
      </c>
      <c r="G155" s="33">
        <v>1481.86833544</v>
      </c>
      <c r="H155" s="35">
        <v>11</v>
      </c>
      <c r="I155" s="56">
        <v>-1.2999999999999999E-3</v>
      </c>
      <c r="J155" s="56">
        <v>1.78E-2</v>
      </c>
      <c r="K155" s="38">
        <f>557235.84*W141</f>
        <v>756107627.4904319</v>
      </c>
      <c r="L155" s="34">
        <f t="shared" si="108"/>
        <v>4.1517471670433572E-4</v>
      </c>
      <c r="M155" s="33">
        <f>1.0815*W141</f>
        <v>1467.4763186999999</v>
      </c>
      <c r="N155" s="33">
        <f>1.0815*W141</f>
        <v>1467.4763186999999</v>
      </c>
      <c r="O155" s="35">
        <v>12</v>
      </c>
      <c r="P155" s="56">
        <v>6.1000000000000004E-3</v>
      </c>
      <c r="Q155" s="56">
        <v>4.5199999999999997E-2</v>
      </c>
      <c r="R155" s="62">
        <f t="shared" ref="R155" si="111">((K155-D155)/D155)</f>
        <v>-6.9464799157011765E-3</v>
      </c>
      <c r="S155" s="62">
        <f t="shared" ref="S155" si="112">((N155-G155)/G155)</f>
        <v>-9.7120752200476924E-3</v>
      </c>
      <c r="T155" s="62">
        <f t="shared" si="98"/>
        <v>9.0909090909090912E-2</v>
      </c>
      <c r="U155" s="62">
        <f t="shared" si="99"/>
        <v>7.4000000000000003E-3</v>
      </c>
      <c r="V155" s="63">
        <f t="shared" si="100"/>
        <v>2.7399999999999997E-2</v>
      </c>
    </row>
    <row r="156" spans="1:24">
      <c r="A156" s="181">
        <v>138</v>
      </c>
      <c r="B156" s="148" t="s">
        <v>203</v>
      </c>
      <c r="C156" s="147" t="s">
        <v>48</v>
      </c>
      <c r="D156" s="38">
        <v>893335637354.40002</v>
      </c>
      <c r="E156" s="34">
        <f t="shared" si="107"/>
        <v>0.48382175862189986</v>
      </c>
      <c r="F156" s="33">
        <v>2330.2399999999998</v>
      </c>
      <c r="G156" s="33">
        <v>2330.2399999999998</v>
      </c>
      <c r="H156" s="35">
        <v>13413</v>
      </c>
      <c r="I156" s="56">
        <v>5.9999999999999995E-4</v>
      </c>
      <c r="J156" s="56">
        <v>8.9999999999999993E-3</v>
      </c>
      <c r="K156" s="38">
        <v>877511422492.29004</v>
      </c>
      <c r="L156" s="34">
        <f t="shared" si="108"/>
        <v>0.48183690124547174</v>
      </c>
      <c r="M156" s="33">
        <v>2295.4899999999998</v>
      </c>
      <c r="N156" s="33">
        <v>2295.4899999999998</v>
      </c>
      <c r="O156" s="35">
        <v>13447</v>
      </c>
      <c r="P156" s="56">
        <v>6.9999999999999999E-4</v>
      </c>
      <c r="Q156" s="56">
        <v>9.7000000000000003E-3</v>
      </c>
      <c r="R156" s="62">
        <f t="shared" si="96"/>
        <v>-1.7713627667394035E-2</v>
      </c>
      <c r="S156" s="62">
        <f t="shared" si="97"/>
        <v>-1.4912627025542434E-2</v>
      </c>
      <c r="T156" s="62">
        <f t="shared" si="98"/>
        <v>2.5348542458808617E-3</v>
      </c>
      <c r="U156" s="62">
        <f t="shared" si="99"/>
        <v>1.0000000000000005E-4</v>
      </c>
      <c r="V156" s="63">
        <f t="shared" si="100"/>
        <v>7.0000000000000097E-4</v>
      </c>
    </row>
    <row r="157" spans="1:24">
      <c r="A157" s="181">
        <v>139</v>
      </c>
      <c r="B157" s="148" t="s">
        <v>204</v>
      </c>
      <c r="C157" s="148" t="s">
        <v>114</v>
      </c>
      <c r="D157" s="38">
        <v>562655285.74508202</v>
      </c>
      <c r="E157" s="34">
        <f t="shared" si="107"/>
        <v>3.0472854598444433E-4</v>
      </c>
      <c r="F157" s="33">
        <v>159564.57775200001</v>
      </c>
      <c r="G157" s="33">
        <v>159564.57775200001</v>
      </c>
      <c r="H157" s="35">
        <v>32</v>
      </c>
      <c r="I157" s="56">
        <v>-1.5E-3</v>
      </c>
      <c r="J157" s="56">
        <v>1.6199999999999999E-2</v>
      </c>
      <c r="K157" s="38">
        <f>408080.4*W141</f>
        <v>553720132.33992004</v>
      </c>
      <c r="L157" s="34">
        <f t="shared" si="108"/>
        <v>3.0404480885973169E-4</v>
      </c>
      <c r="M157" s="33">
        <f>115.73*W141</f>
        <v>157032.856554</v>
      </c>
      <c r="N157" s="33">
        <f>115.73*W141</f>
        <v>157032.856554</v>
      </c>
      <c r="O157" s="35">
        <v>32</v>
      </c>
      <c r="P157" s="56">
        <v>1.5E-3</v>
      </c>
      <c r="Q157" s="56">
        <v>1.7899999999999999E-2</v>
      </c>
      <c r="R157" s="62">
        <f t="shared" ref="R157" si="113">((K157-D157)/D157)</f>
        <v>-1.5880333183629167E-2</v>
      </c>
      <c r="S157" s="62">
        <f t="shared" ref="S157" si="114">((N157-G157)/G157)</f>
        <v>-1.5866436233327987E-2</v>
      </c>
      <c r="T157" s="62">
        <f t="shared" ref="T157" si="115">((O157-H157)/H157)</f>
        <v>0</v>
      </c>
      <c r="U157" s="62">
        <f t="shared" ref="U157" si="116">P157-I157</f>
        <v>3.0000000000000001E-3</v>
      </c>
      <c r="V157" s="63">
        <f t="shared" ref="V157" si="117">Q157-J157</f>
        <v>1.7000000000000001E-3</v>
      </c>
    </row>
    <row r="158" spans="1:24" ht="16.5" customHeight="1">
      <c r="A158" s="181">
        <v>140</v>
      </c>
      <c r="B158" s="148" t="s">
        <v>205</v>
      </c>
      <c r="C158" s="147" t="s">
        <v>51</v>
      </c>
      <c r="D158" s="38">
        <v>187871068452.2496</v>
      </c>
      <c r="E158" s="34">
        <f t="shared" si="107"/>
        <v>0.10174911526190782</v>
      </c>
      <c r="F158" s="33">
        <v>1748.963477844</v>
      </c>
      <c r="G158" s="33">
        <v>1748.963477844</v>
      </c>
      <c r="H158" s="35">
        <v>1009</v>
      </c>
      <c r="I158" s="56">
        <v>2.3999999999999998E-3</v>
      </c>
      <c r="J158" s="56">
        <v>6.08E-2</v>
      </c>
      <c r="K158" s="38">
        <f>135602781.78*1359</f>
        <v>184284180439.01999</v>
      </c>
      <c r="L158" s="34">
        <f t="shared" si="108"/>
        <v>0.10118947306589497</v>
      </c>
      <c r="M158" s="33">
        <f>1.26759372*1359</f>
        <v>1722.65986548</v>
      </c>
      <c r="N158" s="33">
        <f>1.26759372*1359</f>
        <v>1722.65986548</v>
      </c>
      <c r="O158" s="35">
        <v>1015</v>
      </c>
      <c r="P158" s="56">
        <v>6.9999999999999999E-4</v>
      </c>
      <c r="Q158" s="56">
        <v>5.8500000000000003E-2</v>
      </c>
      <c r="R158" s="62">
        <f t="shared" si="96"/>
        <v>-1.9092285165457919E-2</v>
      </c>
      <c r="S158" s="62">
        <f t="shared" si="97"/>
        <v>-1.503954353376504E-2</v>
      </c>
      <c r="T158" s="62">
        <f t="shared" si="98"/>
        <v>5.9464816650148661E-3</v>
      </c>
      <c r="U158" s="62">
        <f t="shared" si="99"/>
        <v>-1.6999999999999997E-3</v>
      </c>
      <c r="V158" s="63">
        <f t="shared" si="100"/>
        <v>-2.2999999999999965E-3</v>
      </c>
    </row>
    <row r="159" spans="1:24" ht="16.5" customHeight="1">
      <c r="A159" s="181">
        <v>141</v>
      </c>
      <c r="B159" s="148" t="s">
        <v>206</v>
      </c>
      <c r="C159" s="147" t="s">
        <v>111</v>
      </c>
      <c r="D159" s="33">
        <v>2465021496.1648245</v>
      </c>
      <c r="E159" s="34">
        <f t="shared" si="107"/>
        <v>1.3350312978078552E-3</v>
      </c>
      <c r="F159" s="33">
        <v>157369.114974</v>
      </c>
      <c r="G159" s="33">
        <v>157369.114974</v>
      </c>
      <c r="H159" s="35">
        <v>33</v>
      </c>
      <c r="I159" s="56">
        <v>2.5999999999999999E-3</v>
      </c>
      <c r="J159" s="56">
        <v>1.9199999999999998E-2</v>
      </c>
      <c r="K159" s="33">
        <f>1776957.00420877*W141</f>
        <v>2411134834.049437</v>
      </c>
      <c r="L159" s="34">
        <f t="shared" si="108"/>
        <v>1.3239414406980019E-3</v>
      </c>
      <c r="M159" s="33">
        <f>114.73*W141</f>
        <v>155675.96675399999</v>
      </c>
      <c r="N159" s="33">
        <f>114.73*W141</f>
        <v>155675.96675399999</v>
      </c>
      <c r="O159" s="35">
        <v>33</v>
      </c>
      <c r="P159" s="56">
        <v>6.6E-3</v>
      </c>
      <c r="Q159" s="56">
        <v>2.6200000000000001E-2</v>
      </c>
      <c r="R159" s="62">
        <f t="shared" si="96"/>
        <v>-2.1860524218237604E-2</v>
      </c>
      <c r="S159" s="62">
        <f t="shared" si="97"/>
        <v>-1.0759088403590114E-2</v>
      </c>
      <c r="T159" s="62">
        <f t="shared" si="98"/>
        <v>0</v>
      </c>
      <c r="U159" s="62">
        <f t="shared" si="99"/>
        <v>4.0000000000000001E-3</v>
      </c>
      <c r="V159" s="63">
        <f t="shared" si="100"/>
        <v>7.0000000000000027E-3</v>
      </c>
    </row>
    <row r="160" spans="1:24" ht="16.5" customHeight="1">
      <c r="A160" s="181">
        <v>142</v>
      </c>
      <c r="B160" s="148" t="s">
        <v>207</v>
      </c>
      <c r="C160" s="147" t="s">
        <v>121</v>
      </c>
      <c r="D160" s="33">
        <v>5940085874.9892921</v>
      </c>
      <c r="E160" s="34">
        <f t="shared" si="107"/>
        <v>3.2170918456959404E-3</v>
      </c>
      <c r="F160" s="33">
        <v>1587.9133299999999</v>
      </c>
      <c r="G160" s="33">
        <v>1587.9133299999999</v>
      </c>
      <c r="H160" s="35">
        <v>57</v>
      </c>
      <c r="I160" s="56">
        <v>-2.7000000000000001E-3</v>
      </c>
      <c r="J160" s="56">
        <v>-3.5000000000000001E-3</v>
      </c>
      <c r="K160" s="33">
        <f>4345455.13*W141</f>
        <v>5896303742.254674</v>
      </c>
      <c r="L160" s="34">
        <f t="shared" si="108"/>
        <v>3.237629335810763E-3</v>
      </c>
      <c r="M160" s="33">
        <f>1.17*W141</f>
        <v>1587.5610659999998</v>
      </c>
      <c r="N160" s="33">
        <f>1.17*W141</f>
        <v>1587.5610659999998</v>
      </c>
      <c r="O160" s="35">
        <v>57</v>
      </c>
      <c r="P160" s="56">
        <v>1.2999999999999999E-3</v>
      </c>
      <c r="Q160" s="56">
        <v>7.9000000000000008E-3</v>
      </c>
      <c r="R160" s="62">
        <f t="shared" ref="R160" si="118">((K160-D160)/D160)</f>
        <v>-7.3706228589998472E-3</v>
      </c>
      <c r="S160" s="62">
        <f t="shared" ref="S160" si="119">((N160-G160)/G160)</f>
        <v>-2.218408230127426E-4</v>
      </c>
      <c r="T160" s="62">
        <f t="shared" si="98"/>
        <v>0</v>
      </c>
      <c r="U160" s="62">
        <f t="shared" si="99"/>
        <v>4.0000000000000001E-3</v>
      </c>
      <c r="V160" s="63">
        <f t="shared" si="100"/>
        <v>1.14E-2</v>
      </c>
    </row>
    <row r="161" spans="1:24">
      <c r="A161" s="181">
        <v>143</v>
      </c>
      <c r="B161" s="148" t="s">
        <v>208</v>
      </c>
      <c r="C161" s="147" t="s">
        <v>123</v>
      </c>
      <c r="D161" s="33">
        <v>1900271098.3630841</v>
      </c>
      <c r="E161" s="34">
        <f t="shared" si="107"/>
        <v>1.0291680598248196E-3</v>
      </c>
      <c r="F161" s="33">
        <v>2071.1913</v>
      </c>
      <c r="G161" s="33">
        <v>2071.1913</v>
      </c>
      <c r="H161" s="35">
        <v>142</v>
      </c>
      <c r="I161" s="56">
        <v>-4.3E-3</v>
      </c>
      <c r="J161" s="56">
        <v>8.2000000000000007E-3</v>
      </c>
      <c r="K161" s="33">
        <f>1391802.09 *W141</f>
        <v>1888522059.5396819</v>
      </c>
      <c r="L161" s="34">
        <f t="shared" si="108"/>
        <v>1.0369775182160795E-3</v>
      </c>
      <c r="M161" s="33">
        <f>1.52*W141</f>
        <v>2062.4724959999999</v>
      </c>
      <c r="N161" s="33">
        <f>1.52*W141</f>
        <v>2062.4724959999999</v>
      </c>
      <c r="O161" s="35">
        <v>142</v>
      </c>
      <c r="P161" s="56">
        <v>1.12E-2</v>
      </c>
      <c r="Q161" s="56">
        <v>1.9800000000000002E-2</v>
      </c>
      <c r="R161" s="62">
        <f t="shared" si="96"/>
        <v>-6.1828224580813378E-3</v>
      </c>
      <c r="S161" s="62">
        <f t="shared" si="97"/>
        <v>-4.2095599764252053E-3</v>
      </c>
      <c r="T161" s="62">
        <f t="shared" si="98"/>
        <v>0</v>
      </c>
      <c r="U161" s="62">
        <f t="shared" si="99"/>
        <v>1.55E-2</v>
      </c>
      <c r="V161" s="63">
        <f t="shared" si="100"/>
        <v>1.1600000000000001E-2</v>
      </c>
    </row>
    <row r="162" spans="1:24">
      <c r="A162" s="41"/>
      <c r="B162" s="42"/>
      <c r="C162" s="77" t="s">
        <v>54</v>
      </c>
      <c r="D162" s="65">
        <f>SUM(D122:D161)</f>
        <v>1846414762120.1338</v>
      </c>
      <c r="E162" s="45">
        <f>(D162/$D$239)</f>
        <v>0.21485486303041715</v>
      </c>
      <c r="F162" s="46"/>
      <c r="G162" s="51"/>
      <c r="H162" s="48">
        <f>SUM(H122:H161)</f>
        <v>30922</v>
      </c>
      <c r="I162" s="81"/>
      <c r="J162" s="81"/>
      <c r="K162" s="65">
        <f>SUM(K122:K161)</f>
        <v>1821179366345.8789</v>
      </c>
      <c r="L162" s="45">
        <f>(K162/$K$239)</f>
        <v>0.21118924174721235</v>
      </c>
      <c r="M162" s="46"/>
      <c r="N162" s="51"/>
      <c r="O162" s="48">
        <f>SUM(O122:O161)</f>
        <v>31055</v>
      </c>
      <c r="P162" s="81"/>
      <c r="Q162" s="81"/>
      <c r="R162" s="62">
        <f t="shared" si="96"/>
        <v>-1.3667241126949453E-2</v>
      </c>
      <c r="S162" s="62" t="e">
        <f t="shared" si="97"/>
        <v>#DIV/0!</v>
      </c>
      <c r="T162" s="62">
        <f t="shared" si="98"/>
        <v>4.3011448159886168E-3</v>
      </c>
      <c r="U162" s="62">
        <f t="shared" si="99"/>
        <v>0</v>
      </c>
      <c r="V162" s="63">
        <f t="shared" si="100"/>
        <v>0</v>
      </c>
    </row>
    <row r="163" spans="1:24" ht="6" customHeight="1">
      <c r="A163" s="41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</row>
    <row r="164" spans="1:24">
      <c r="A164" s="194" t="s">
        <v>209</v>
      </c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</row>
    <row r="165" spans="1:24">
      <c r="A165" s="181">
        <v>144</v>
      </c>
      <c r="B165" s="148" t="s">
        <v>210</v>
      </c>
      <c r="C165" s="147" t="s">
        <v>211</v>
      </c>
      <c r="D165" s="78">
        <v>2382213551.1414599</v>
      </c>
      <c r="E165" s="34">
        <f>(D165/$D$171)</f>
        <v>4.7448837935711585E-3</v>
      </c>
      <c r="F165" s="66">
        <v>112.262655567458</v>
      </c>
      <c r="G165" s="66">
        <v>112.262655567458</v>
      </c>
      <c r="H165" s="35">
        <v>8</v>
      </c>
      <c r="I165" s="56">
        <v>5.9999999999999995E-4</v>
      </c>
      <c r="J165" s="56">
        <v>6.7900000000000002E-2</v>
      </c>
      <c r="K165" s="78">
        <v>2386501535.5335102</v>
      </c>
      <c r="L165" s="34">
        <f>(K165/$K$171)</f>
        <v>4.7290869448848617E-3</v>
      </c>
      <c r="M165" s="66">
        <v>112.464728347479</v>
      </c>
      <c r="N165" s="66">
        <v>112.464728347479</v>
      </c>
      <c r="O165" s="35">
        <v>8</v>
      </c>
      <c r="P165" s="56">
        <v>5.9999999999999995E-4</v>
      </c>
      <c r="Q165" s="56">
        <v>6.9800000000000001E-2</v>
      </c>
      <c r="R165" s="62">
        <f t="shared" ref="R165:R171" si="120">((K165-D165)/D165)</f>
        <v>1.7999999999981692E-3</v>
      </c>
      <c r="S165" s="62">
        <f t="shared" ref="S165:T171" si="121">((N165-G165)/G165)</f>
        <v>1.7999999999962042E-3</v>
      </c>
      <c r="T165" s="62">
        <f t="shared" si="121"/>
        <v>0</v>
      </c>
      <c r="U165" s="62">
        <f t="shared" ref="U165:V171" si="122">P165-I165</f>
        <v>0</v>
      </c>
      <c r="V165" s="63">
        <f t="shared" si="122"/>
        <v>1.8999999999999989E-3</v>
      </c>
    </row>
    <row r="166" spans="1:24">
      <c r="A166" s="181">
        <v>145</v>
      </c>
      <c r="B166" s="148" t="s">
        <v>212</v>
      </c>
      <c r="C166" s="147" t="s">
        <v>23</v>
      </c>
      <c r="D166" s="78">
        <v>260057097726.06</v>
      </c>
      <c r="E166" s="34">
        <v>0</v>
      </c>
      <c r="F166" s="66">
        <v>104.0228</v>
      </c>
      <c r="G166" s="66">
        <v>104.0228</v>
      </c>
      <c r="H166" s="35">
        <v>45</v>
      </c>
      <c r="I166" s="56">
        <v>0.18140000000000001</v>
      </c>
      <c r="J166" s="56">
        <v>0.1158</v>
      </c>
      <c r="K166" s="78">
        <v>260513441955.79999</v>
      </c>
      <c r="L166" s="34">
        <f t="shared" ref="L166:L170" si="123">(K166/$K$171)</f>
        <v>0.51623294558022492</v>
      </c>
      <c r="M166" s="66">
        <v>104.2054</v>
      </c>
      <c r="N166" s="66">
        <v>104.2054</v>
      </c>
      <c r="O166" s="35">
        <v>45</v>
      </c>
      <c r="P166" s="56">
        <v>9.1499999999999998E-2</v>
      </c>
      <c r="Q166" s="56">
        <v>0.1143</v>
      </c>
      <c r="R166" s="62">
        <f t="shared" ref="R166" si="124">((K166-D166)/D166)</f>
        <v>1.7547847520035618E-3</v>
      </c>
      <c r="S166" s="62">
        <f t="shared" ref="S166" si="125">((N166-G166)/G166)</f>
        <v>1.7553843964976299E-3</v>
      </c>
      <c r="T166" s="62">
        <f t="shared" ref="T166" si="126">((O166-H166)/H166)</f>
        <v>0</v>
      </c>
      <c r="U166" s="62">
        <f t="shared" ref="U166" si="127">P166-I166</f>
        <v>-8.9900000000000008E-2</v>
      </c>
      <c r="V166" s="63">
        <f t="shared" ref="V166" si="128">Q166-J166</f>
        <v>-1.5000000000000013E-3</v>
      </c>
    </row>
    <row r="167" spans="1:24">
      <c r="A167" s="181">
        <v>146</v>
      </c>
      <c r="B167" s="148" t="s">
        <v>213</v>
      </c>
      <c r="C167" s="147" t="s">
        <v>46</v>
      </c>
      <c r="D167" s="38">
        <v>170647847866</v>
      </c>
      <c r="E167" s="34">
        <f>(D167/$D$171)</f>
        <v>0.33989572738313184</v>
      </c>
      <c r="F167" s="66">
        <v>103</v>
      </c>
      <c r="G167" s="66">
        <v>103</v>
      </c>
      <c r="H167" s="35">
        <v>851</v>
      </c>
      <c r="I167" s="56">
        <v>9.4E-2</v>
      </c>
      <c r="J167" s="56">
        <v>9.4E-2</v>
      </c>
      <c r="K167" s="38">
        <v>170647847866</v>
      </c>
      <c r="L167" s="34">
        <f t="shared" si="123"/>
        <v>0.33815545370491001</v>
      </c>
      <c r="M167" s="66">
        <v>103</v>
      </c>
      <c r="N167" s="66">
        <v>103</v>
      </c>
      <c r="O167" s="35">
        <v>851</v>
      </c>
      <c r="P167" s="56">
        <v>9.4E-2</v>
      </c>
      <c r="Q167" s="56">
        <v>9.4E-2</v>
      </c>
      <c r="R167" s="62">
        <f t="shared" si="120"/>
        <v>0</v>
      </c>
      <c r="S167" s="62">
        <f t="shared" si="121"/>
        <v>0</v>
      </c>
      <c r="T167" s="62">
        <f t="shared" si="121"/>
        <v>0</v>
      </c>
      <c r="U167" s="62">
        <f t="shared" si="122"/>
        <v>0</v>
      </c>
      <c r="V167" s="63">
        <f t="shared" si="122"/>
        <v>0</v>
      </c>
    </row>
    <row r="168" spans="1:24" ht="15.75" customHeight="1">
      <c r="A168" s="181">
        <v>147</v>
      </c>
      <c r="B168" s="148" t="s">
        <v>215</v>
      </c>
      <c r="C168" s="147" t="s">
        <v>159</v>
      </c>
      <c r="D168" s="38">
        <v>6578845645.6599998</v>
      </c>
      <c r="E168" s="34">
        <f>(D168/$D$171)</f>
        <v>1.3103719466939036E-2</v>
      </c>
      <c r="F168" s="66">
        <v>418.75</v>
      </c>
      <c r="G168" s="66">
        <v>418.75</v>
      </c>
      <c r="H168" s="35">
        <v>5533</v>
      </c>
      <c r="I168" s="56">
        <v>0.76190000000000002</v>
      </c>
      <c r="J168" s="56">
        <v>8.3099999999999993E-2</v>
      </c>
      <c r="K168" s="38">
        <v>6590702542.8601398</v>
      </c>
      <c r="L168" s="34">
        <f t="shared" si="123"/>
        <v>1.3060123737189065E-2</v>
      </c>
      <c r="M168" s="66">
        <v>418.75</v>
      </c>
      <c r="N168" s="66">
        <v>418.75</v>
      </c>
      <c r="O168" s="35">
        <v>5533</v>
      </c>
      <c r="P168" s="56">
        <v>0.16520000000000001</v>
      </c>
      <c r="Q168" s="56">
        <v>7.5200000000000003E-2</v>
      </c>
      <c r="R168" s="62">
        <f t="shared" si="120"/>
        <v>1.8022762409636223E-3</v>
      </c>
      <c r="S168" s="62">
        <f t="shared" si="121"/>
        <v>0</v>
      </c>
      <c r="T168" s="62">
        <f t="shared" si="121"/>
        <v>0</v>
      </c>
      <c r="U168" s="62">
        <f t="shared" si="122"/>
        <v>-0.59670000000000001</v>
      </c>
      <c r="V168" s="63">
        <f t="shared" si="122"/>
        <v>-7.8999999999999904E-3</v>
      </c>
    </row>
    <row r="169" spans="1:24">
      <c r="A169" s="181">
        <v>148</v>
      </c>
      <c r="B169" s="148" t="s">
        <v>214</v>
      </c>
      <c r="C169" s="147" t="s">
        <v>159</v>
      </c>
      <c r="D169" s="38">
        <v>28271657823.240002</v>
      </c>
      <c r="E169" s="34">
        <f>(D169/$D$171)</f>
        <v>5.6311379371762685E-2</v>
      </c>
      <c r="F169" s="66">
        <v>69.25</v>
      </c>
      <c r="G169" s="66">
        <v>69.25</v>
      </c>
      <c r="H169" s="35">
        <v>8119</v>
      </c>
      <c r="I169" s="56">
        <v>0.46400000000000002</v>
      </c>
      <c r="J169" s="56">
        <v>7.9299999999999995E-2</v>
      </c>
      <c r="K169" s="38">
        <v>28274495347.240002</v>
      </c>
      <c r="L169" s="34">
        <f t="shared" si="123"/>
        <v>5.6028686690096169E-2</v>
      </c>
      <c r="M169" s="66">
        <v>69.25</v>
      </c>
      <c r="N169" s="66">
        <v>69.25</v>
      </c>
      <c r="O169" s="35">
        <v>8119</v>
      </c>
      <c r="P169" s="56">
        <v>3.3999999999999998E-3</v>
      </c>
      <c r="Q169" s="56">
        <v>7.3300000000000004E-2</v>
      </c>
      <c r="R169" s="62">
        <f t="shared" si="120"/>
        <v>1.0036638168659091E-4</v>
      </c>
      <c r="S169" s="62">
        <f t="shared" si="121"/>
        <v>0</v>
      </c>
      <c r="T169" s="62">
        <f t="shared" si="121"/>
        <v>0</v>
      </c>
      <c r="U169" s="62">
        <f t="shared" si="122"/>
        <v>-0.46060000000000001</v>
      </c>
      <c r="V169" s="63">
        <f t="shared" si="122"/>
        <v>-5.9999999999999915E-3</v>
      </c>
    </row>
    <row r="170" spans="1:24">
      <c r="A170" s="181">
        <v>149</v>
      </c>
      <c r="B170" s="148" t="s">
        <v>322</v>
      </c>
      <c r="C170" s="147" t="s">
        <v>159</v>
      </c>
      <c r="D170" s="38">
        <v>34121745959.531101</v>
      </c>
      <c r="E170" s="34">
        <f>(D170/$D$171)</f>
        <v>6.7963562432995811E-2</v>
      </c>
      <c r="F170" s="66">
        <v>6.75</v>
      </c>
      <c r="G170" s="66">
        <v>6.75</v>
      </c>
      <c r="H170" s="35">
        <v>211092</v>
      </c>
      <c r="I170" s="56">
        <v>0</v>
      </c>
      <c r="J170" s="56">
        <v>0</v>
      </c>
      <c r="K170" s="38">
        <v>36230203687.4795</v>
      </c>
      <c r="L170" s="34">
        <f t="shared" si="123"/>
        <v>7.1793703342694901E-2</v>
      </c>
      <c r="M170" s="66">
        <v>7.95</v>
      </c>
      <c r="N170" s="66">
        <v>7.95</v>
      </c>
      <c r="O170" s="35">
        <v>215231</v>
      </c>
      <c r="P170" s="56">
        <v>0</v>
      </c>
      <c r="Q170" s="56">
        <v>0</v>
      </c>
      <c r="R170" s="62">
        <f t="shared" si="120"/>
        <v>6.17921993337932E-2</v>
      </c>
      <c r="S170" s="62">
        <f t="shared" si="121"/>
        <v>0.17777777777777781</v>
      </c>
      <c r="T170" s="62">
        <f t="shared" si="121"/>
        <v>1.9607564474257669E-2</v>
      </c>
      <c r="U170" s="62">
        <f t="shared" si="122"/>
        <v>0</v>
      </c>
      <c r="V170" s="63">
        <f t="shared" si="122"/>
        <v>0</v>
      </c>
    </row>
    <row r="171" spans="1:24">
      <c r="A171" s="41"/>
      <c r="B171" s="79"/>
      <c r="C171" s="43" t="s">
        <v>54</v>
      </c>
      <c r="D171" s="44">
        <f>SUM(D165:D170)</f>
        <v>502059408571.63251</v>
      </c>
      <c r="E171" s="45">
        <f>(D171/$D$239)</f>
        <v>5.8421275476550794E-2</v>
      </c>
      <c r="F171" s="46"/>
      <c r="G171" s="80"/>
      <c r="H171" s="48">
        <f>SUM(H165:H170)</f>
        <v>225648</v>
      </c>
      <c r="I171" s="82"/>
      <c r="J171" s="82"/>
      <c r="K171" s="44">
        <f>SUM(K165:K170)</f>
        <v>504643192934.91315</v>
      </c>
      <c r="L171" s="45">
        <f>(K171/$K$239)</f>
        <v>5.8519888396635668E-2</v>
      </c>
      <c r="M171" s="46"/>
      <c r="N171" s="80"/>
      <c r="O171" s="48">
        <f>SUM(O165:O170)</f>
        <v>229787</v>
      </c>
      <c r="P171" s="82"/>
      <c r="Q171" s="82"/>
      <c r="R171" s="62">
        <f t="shared" si="120"/>
        <v>5.1463717623210165E-3</v>
      </c>
      <c r="S171" s="62" t="e">
        <f t="shared" si="121"/>
        <v>#DIV/0!</v>
      </c>
      <c r="T171" s="62">
        <f t="shared" si="121"/>
        <v>1.8342728497482804E-2</v>
      </c>
      <c r="U171" s="62">
        <f t="shared" si="122"/>
        <v>0</v>
      </c>
      <c r="V171" s="63">
        <f t="shared" si="122"/>
        <v>0</v>
      </c>
    </row>
    <row r="172" spans="1:24" ht="5.25" customHeight="1">
      <c r="A172" s="41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</row>
    <row r="173" spans="1:24" ht="15" customHeight="1">
      <c r="A173" s="194" t="s">
        <v>216</v>
      </c>
      <c r="B173" s="194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</row>
    <row r="174" spans="1:24">
      <c r="A174" s="183">
        <v>150</v>
      </c>
      <c r="B174" s="148" t="s">
        <v>217</v>
      </c>
      <c r="C174" s="147" t="s">
        <v>58</v>
      </c>
      <c r="D174" s="33">
        <v>821779652.44000006</v>
      </c>
      <c r="E174" s="34">
        <f t="shared" ref="E174:E193" si="129">(D174/$D$204)</f>
        <v>6.7386578396116366E-3</v>
      </c>
      <c r="F174" s="33">
        <v>8.9</v>
      </c>
      <c r="G174" s="33">
        <v>9.0500000000000007</v>
      </c>
      <c r="H174" s="36">
        <v>11970</v>
      </c>
      <c r="I174" s="57">
        <v>-2.8589E-2</v>
      </c>
      <c r="J174" s="57">
        <v>0.13474900000000001</v>
      </c>
      <c r="K174" s="33">
        <v>829902200.15999997</v>
      </c>
      <c r="L174" s="60">
        <f t="shared" ref="L174:L203" si="130">(K174/$K$204)</f>
        <v>6.6284154799345265E-3</v>
      </c>
      <c r="M174" s="33">
        <v>9</v>
      </c>
      <c r="N174" s="33">
        <v>9.14</v>
      </c>
      <c r="O174" s="36">
        <v>11970</v>
      </c>
      <c r="P174" s="57">
        <v>1.2241E-2</v>
      </c>
      <c r="Q174" s="57">
        <v>0.14699000000000001</v>
      </c>
      <c r="R174" s="62">
        <f>((K174-D174)/D174)</f>
        <v>9.8840944721406993E-3</v>
      </c>
      <c r="S174" s="62">
        <f>((N174-G174)/G174)</f>
        <v>9.9447513812154532E-3</v>
      </c>
      <c r="T174" s="62">
        <f>((O174-H174)/H174)</f>
        <v>0</v>
      </c>
      <c r="U174" s="62">
        <f>P174-I174</f>
        <v>4.0829999999999998E-2</v>
      </c>
      <c r="V174" s="63">
        <f>Q174-J174</f>
        <v>1.2241000000000002E-2</v>
      </c>
      <c r="X174" s="134"/>
    </row>
    <row r="175" spans="1:24">
      <c r="A175" s="183">
        <v>151</v>
      </c>
      <c r="B175" s="148" t="s">
        <v>218</v>
      </c>
      <c r="C175" s="148" t="s">
        <v>219</v>
      </c>
      <c r="D175" s="33">
        <v>2940728453.33814</v>
      </c>
      <c r="E175" s="34">
        <f t="shared" si="129"/>
        <v>2.4114204808329581E-2</v>
      </c>
      <c r="F175" s="33">
        <v>2729.5970515608201</v>
      </c>
      <c r="G175" s="33">
        <v>2749.2750213992299</v>
      </c>
      <c r="H175" s="36">
        <v>222</v>
      </c>
      <c r="I175" s="57">
        <v>6.9999999999999999E-4</v>
      </c>
      <c r="J175" s="57">
        <v>0.24279999999999999</v>
      </c>
      <c r="K175" s="33">
        <v>3048226531.1458201</v>
      </c>
      <c r="L175" s="60">
        <f t="shared" si="130"/>
        <v>2.4346136112783766E-2</v>
      </c>
      <c r="M175" s="33">
        <v>2781.63</v>
      </c>
      <c r="N175" s="33">
        <v>2801.77</v>
      </c>
      <c r="O175" s="36">
        <v>223</v>
      </c>
      <c r="P175" s="57">
        <v>1.84E-2</v>
      </c>
      <c r="Q175" s="57">
        <v>0.26650000000000001</v>
      </c>
      <c r="R175" s="62">
        <f>((K175-D175)/D175)</f>
        <v>3.6554914713616181E-2</v>
      </c>
      <c r="S175" s="62">
        <f>((N175-G175)/G175)</f>
        <v>1.9094116882512911E-2</v>
      </c>
      <c r="T175" s="62">
        <f>((O175-H175)/H175)</f>
        <v>4.5045045045045045E-3</v>
      </c>
      <c r="U175" s="62">
        <f>P175-I175</f>
        <v>1.77E-2</v>
      </c>
      <c r="V175" s="63">
        <f>Q175-J175</f>
        <v>2.3700000000000027E-2</v>
      </c>
    </row>
    <row r="176" spans="1:24">
      <c r="A176" s="183">
        <v>152</v>
      </c>
      <c r="B176" s="148" t="s">
        <v>220</v>
      </c>
      <c r="C176" s="147" t="s">
        <v>23</v>
      </c>
      <c r="D176" s="33">
        <v>13038293189.33</v>
      </c>
      <c r="E176" s="34">
        <f t="shared" si="129"/>
        <v>0.1069150305128156</v>
      </c>
      <c r="F176" s="33">
        <v>1243.5156999999999</v>
      </c>
      <c r="G176" s="33">
        <v>1281.0085999999999</v>
      </c>
      <c r="H176" s="36">
        <v>22671</v>
      </c>
      <c r="I176" s="57">
        <v>0.28260000000000002</v>
      </c>
      <c r="J176" s="57">
        <v>0.70089999999999997</v>
      </c>
      <c r="K176" s="33">
        <v>13249984112.219999</v>
      </c>
      <c r="L176" s="60">
        <f t="shared" si="130"/>
        <v>0.10582740927954305</v>
      </c>
      <c r="M176" s="33">
        <v>1259.4233999999999</v>
      </c>
      <c r="N176" s="33">
        <v>1297.396</v>
      </c>
      <c r="O176" s="36">
        <v>22702</v>
      </c>
      <c r="P176" s="57">
        <v>0.66700000000000004</v>
      </c>
      <c r="Q176" s="57">
        <v>0.70689999999999997</v>
      </c>
      <c r="R176" s="62">
        <f t="shared" ref="R176:R203" si="131">((K176-D176)/D176)</f>
        <v>1.6236091627640226E-2</v>
      </c>
      <c r="S176" s="62">
        <f t="shared" ref="S176:T203" si="132">((N176-G176)/G176)</f>
        <v>1.2792576099801415E-2</v>
      </c>
      <c r="T176" s="62">
        <f t="shared" si="132"/>
        <v>1.3673856468616294E-3</v>
      </c>
      <c r="U176" s="62">
        <f t="shared" ref="U176:V203" si="133">P176-I176</f>
        <v>0.38440000000000002</v>
      </c>
      <c r="V176" s="63">
        <f t="shared" si="133"/>
        <v>6.0000000000000053E-3</v>
      </c>
    </row>
    <row r="177" spans="1:24">
      <c r="A177" s="183">
        <v>153</v>
      </c>
      <c r="B177" s="148" t="s">
        <v>221</v>
      </c>
      <c r="C177" s="147" t="s">
        <v>125</v>
      </c>
      <c r="D177" s="33">
        <v>7296802826.3400002</v>
      </c>
      <c r="E177" s="34">
        <f t="shared" si="129"/>
        <v>5.9834357572398578E-2</v>
      </c>
      <c r="F177" s="33">
        <v>42.386800000000001</v>
      </c>
      <c r="G177" s="33">
        <v>42.943600000000004</v>
      </c>
      <c r="H177" s="35">
        <v>6272</v>
      </c>
      <c r="I177" s="56">
        <v>6.8999999999999999E-3</v>
      </c>
      <c r="J177" s="56">
        <v>0.24990000000000001</v>
      </c>
      <c r="K177" s="33">
        <v>7402909835.8100004</v>
      </c>
      <c r="L177" s="60">
        <f t="shared" si="130"/>
        <v>5.9126921392402942E-2</v>
      </c>
      <c r="M177" s="33">
        <v>43.011600000000001</v>
      </c>
      <c r="N177" s="33">
        <v>43.568100000000001</v>
      </c>
      <c r="O177" s="35">
        <v>6275</v>
      </c>
      <c r="P177" s="56">
        <v>2.1299999999999999E-2</v>
      </c>
      <c r="Q177" s="56">
        <v>0.26819999999999999</v>
      </c>
      <c r="R177" s="62">
        <f t="shared" si="131"/>
        <v>1.454157553592858E-2</v>
      </c>
      <c r="S177" s="62">
        <f t="shared" si="132"/>
        <v>1.4542329939734852E-2</v>
      </c>
      <c r="T177" s="62">
        <f t="shared" si="132"/>
        <v>4.7831632653061223E-4</v>
      </c>
      <c r="U177" s="62">
        <f t="shared" si="133"/>
        <v>1.44E-2</v>
      </c>
      <c r="V177" s="63">
        <f t="shared" si="133"/>
        <v>1.8299999999999983E-2</v>
      </c>
    </row>
    <row r="178" spans="1:24">
      <c r="A178" s="183">
        <v>154</v>
      </c>
      <c r="B178" s="148" t="s">
        <v>222</v>
      </c>
      <c r="C178" s="147" t="s">
        <v>133</v>
      </c>
      <c r="D178" s="38">
        <v>3190421873.3400002</v>
      </c>
      <c r="E178" s="34">
        <f t="shared" si="129"/>
        <v>2.616171050794025E-2</v>
      </c>
      <c r="F178" s="33">
        <v>7.6238000000000001</v>
      </c>
      <c r="G178" s="33">
        <v>7.8167</v>
      </c>
      <c r="H178" s="35">
        <v>2736</v>
      </c>
      <c r="I178" s="56">
        <v>0.503</v>
      </c>
      <c r="J178" s="56">
        <v>1.0799000000000001</v>
      </c>
      <c r="K178" s="38">
        <v>3289431512.04</v>
      </c>
      <c r="L178" s="60">
        <f t="shared" si="130"/>
        <v>2.6272636402683052E-2</v>
      </c>
      <c r="M178" s="33">
        <v>7.8601999999999999</v>
      </c>
      <c r="N178" s="33">
        <v>8.0630000000000006</v>
      </c>
      <c r="O178" s="35">
        <v>2736</v>
      </c>
      <c r="P178" s="56">
        <v>0.98440000000000005</v>
      </c>
      <c r="Q178" s="56">
        <v>1.1397999999999999</v>
      </c>
      <c r="R178" s="62">
        <f t="shared" si="131"/>
        <v>3.1033400167968461E-2</v>
      </c>
      <c r="S178" s="62">
        <f t="shared" si="132"/>
        <v>3.150946051402774E-2</v>
      </c>
      <c r="T178" s="62">
        <f t="shared" si="132"/>
        <v>0</v>
      </c>
      <c r="U178" s="62">
        <f t="shared" si="133"/>
        <v>0.48140000000000005</v>
      </c>
      <c r="V178" s="63">
        <f t="shared" si="133"/>
        <v>5.9899999999999842E-2</v>
      </c>
      <c r="X178" s="134"/>
    </row>
    <row r="179" spans="1:24">
      <c r="A179" s="183">
        <v>155</v>
      </c>
      <c r="B179" s="148" t="s">
        <v>223</v>
      </c>
      <c r="C179" s="147" t="s">
        <v>27</v>
      </c>
      <c r="D179" s="38">
        <v>1900039694.47</v>
      </c>
      <c r="E179" s="34">
        <f t="shared" si="129"/>
        <v>1.558047506371958E-2</v>
      </c>
      <c r="F179" s="33">
        <v>1.5654999999999999</v>
      </c>
      <c r="G179" s="33">
        <v>1.5783</v>
      </c>
      <c r="H179" s="35">
        <v>414</v>
      </c>
      <c r="I179" s="56">
        <v>3.2000000000000002E-3</v>
      </c>
      <c r="J179" s="56">
        <v>0.2591</v>
      </c>
      <c r="K179" s="38">
        <v>2160390033.7600002</v>
      </c>
      <c r="L179" s="60">
        <f t="shared" si="130"/>
        <v>1.7255000335835064E-2</v>
      </c>
      <c r="M179" s="33">
        <v>1.6004</v>
      </c>
      <c r="N179" s="33">
        <v>1.6125</v>
      </c>
      <c r="O179" s="35">
        <v>442</v>
      </c>
      <c r="P179" s="56">
        <v>2.1999999999999999E-2</v>
      </c>
      <c r="Q179" s="56">
        <v>0.2868</v>
      </c>
      <c r="R179" s="62">
        <f t="shared" ref="R179" si="134">((K179-D179)/D179)</f>
        <v>0.13702363168924359</v>
      </c>
      <c r="S179" s="62">
        <f t="shared" ref="S179" si="135">((N179-G179)/G179)</f>
        <v>2.1668884242539446E-2</v>
      </c>
      <c r="T179" s="62">
        <f t="shared" ref="T179" si="136">((O179-H179)/H179)</f>
        <v>6.7632850241545889E-2</v>
      </c>
      <c r="U179" s="62">
        <f t="shared" ref="U179" si="137">P179-I179</f>
        <v>1.8799999999999997E-2</v>
      </c>
      <c r="V179" s="63">
        <f t="shared" ref="V179" si="138">Q179-J179</f>
        <v>2.7700000000000002E-2</v>
      </c>
    </row>
    <row r="180" spans="1:24">
      <c r="A180" s="183">
        <v>156</v>
      </c>
      <c r="B180" s="148" t="s">
        <v>224</v>
      </c>
      <c r="C180" s="147" t="s">
        <v>69</v>
      </c>
      <c r="D180" s="33">
        <v>9060658639.0273495</v>
      </c>
      <c r="E180" s="34">
        <f t="shared" si="129"/>
        <v>7.4298114085252845E-2</v>
      </c>
      <c r="F180" s="33">
        <v>13431.5741888509</v>
      </c>
      <c r="G180" s="33">
        <v>13530.1665936808</v>
      </c>
      <c r="H180" s="35">
        <v>1581</v>
      </c>
      <c r="I180" s="56">
        <v>0.24940000000000001</v>
      </c>
      <c r="J180" s="56">
        <v>0.7954</v>
      </c>
      <c r="K180" s="33">
        <v>9171154681.1360893</v>
      </c>
      <c r="L180" s="60">
        <f t="shared" si="130"/>
        <v>7.3249864436552251E-2</v>
      </c>
      <c r="M180" s="33">
        <v>13576.8665897803</v>
      </c>
      <c r="N180" s="33">
        <v>13678.7181898078</v>
      </c>
      <c r="O180" s="35">
        <v>1593</v>
      </c>
      <c r="P180" s="56">
        <v>0.56399999999999995</v>
      </c>
      <c r="Q180" s="56">
        <v>0.78720000000000001</v>
      </c>
      <c r="R180" s="62">
        <f t="shared" si="131"/>
        <v>1.2195144581741075E-2</v>
      </c>
      <c r="S180" s="62">
        <f t="shared" si="132"/>
        <v>1.0979288030080846E-2</v>
      </c>
      <c r="T180" s="62">
        <f t="shared" si="132"/>
        <v>7.5901328273244783E-3</v>
      </c>
      <c r="U180" s="62">
        <f t="shared" si="133"/>
        <v>0.31459999999999994</v>
      </c>
      <c r="V180" s="63">
        <f t="shared" si="133"/>
        <v>-8.1999999999999851E-3</v>
      </c>
    </row>
    <row r="181" spans="1:24">
      <c r="A181" s="183">
        <v>157</v>
      </c>
      <c r="B181" s="148" t="s">
        <v>225</v>
      </c>
      <c r="C181" s="147" t="s">
        <v>71</v>
      </c>
      <c r="D181" s="33">
        <v>1788587988.2</v>
      </c>
      <c r="E181" s="34">
        <f t="shared" si="129"/>
        <v>1.4666562298948048E-2</v>
      </c>
      <c r="F181" s="33">
        <v>280.48</v>
      </c>
      <c r="G181" s="33">
        <v>282.64999999999998</v>
      </c>
      <c r="H181" s="35">
        <v>508</v>
      </c>
      <c r="I181" s="56">
        <v>8.5000000000000006E-3</v>
      </c>
      <c r="J181" s="56">
        <v>0.2147</v>
      </c>
      <c r="K181" s="33">
        <v>1833499740.98</v>
      </c>
      <c r="L181" s="60">
        <f t="shared" si="130"/>
        <v>1.4644132842670759E-2</v>
      </c>
      <c r="M181" s="33">
        <v>287.04000000000002</v>
      </c>
      <c r="N181" s="33">
        <v>289.3</v>
      </c>
      <c r="O181" s="35">
        <v>508</v>
      </c>
      <c r="P181" s="56">
        <v>2.35E-2</v>
      </c>
      <c r="Q181" s="56">
        <v>0.2432</v>
      </c>
      <c r="R181" s="62">
        <f t="shared" si="131"/>
        <v>2.5110172424448785E-2</v>
      </c>
      <c r="S181" s="62">
        <f t="shared" si="132"/>
        <v>2.3527330620909375E-2</v>
      </c>
      <c r="T181" s="62">
        <f t="shared" si="132"/>
        <v>0</v>
      </c>
      <c r="U181" s="62">
        <f t="shared" si="133"/>
        <v>1.4999999999999999E-2</v>
      </c>
      <c r="V181" s="63">
        <f t="shared" si="133"/>
        <v>2.8499999999999998E-2</v>
      </c>
    </row>
    <row r="182" spans="1:24">
      <c r="A182" s="183">
        <v>158</v>
      </c>
      <c r="B182" s="148" t="s">
        <v>226</v>
      </c>
      <c r="C182" s="147" t="s">
        <v>227</v>
      </c>
      <c r="D182" s="33">
        <v>4537929931.5</v>
      </c>
      <c r="E182" s="34">
        <f t="shared" si="129"/>
        <v>3.7211382659226223E-2</v>
      </c>
      <c r="F182" s="33">
        <v>2.4289999999999998</v>
      </c>
      <c r="G182" s="33">
        <v>2.4739</v>
      </c>
      <c r="H182" s="35">
        <v>4567</v>
      </c>
      <c r="I182" s="56">
        <v>1.9E-3</v>
      </c>
      <c r="J182" s="56">
        <v>0.24229999999999999</v>
      </c>
      <c r="K182" s="33">
        <v>4614612602.2299995</v>
      </c>
      <c r="L182" s="60">
        <f t="shared" si="130"/>
        <v>3.6856836384606746E-2</v>
      </c>
      <c r="M182" s="33">
        <v>2.4592000000000001</v>
      </c>
      <c r="N182" s="33">
        <v>2.5047999999999999</v>
      </c>
      <c r="O182" s="35">
        <v>4642</v>
      </c>
      <c r="P182" s="56">
        <v>1.24E-2</v>
      </c>
      <c r="Q182" s="56">
        <v>0.15770000000000001</v>
      </c>
      <c r="R182" s="62">
        <f t="shared" si="131"/>
        <v>1.6898161031025948E-2</v>
      </c>
      <c r="S182" s="62">
        <f t="shared" si="132"/>
        <v>1.2490399773636739E-2</v>
      </c>
      <c r="T182" s="62">
        <f t="shared" si="132"/>
        <v>1.6422158966498797E-2</v>
      </c>
      <c r="U182" s="62">
        <f t="shared" si="133"/>
        <v>1.0499999999999999E-2</v>
      </c>
      <c r="V182" s="63">
        <f t="shared" si="133"/>
        <v>-8.4599999999999981E-2</v>
      </c>
    </row>
    <row r="183" spans="1:24">
      <c r="A183" s="183">
        <v>159</v>
      </c>
      <c r="B183" s="148" t="s">
        <v>228</v>
      </c>
      <c r="C183" s="147" t="s">
        <v>29</v>
      </c>
      <c r="D183" s="50">
        <v>929071817.95000005</v>
      </c>
      <c r="E183" s="34">
        <f t="shared" si="129"/>
        <v>7.6184620427166274E-3</v>
      </c>
      <c r="F183" s="33">
        <v>255.2251</v>
      </c>
      <c r="G183" s="33">
        <v>256.44549999999998</v>
      </c>
      <c r="H183" s="35">
        <v>187</v>
      </c>
      <c r="I183" s="56">
        <v>6.3599999999999996E-4</v>
      </c>
      <c r="J183" s="56">
        <v>0.25069999999999998</v>
      </c>
      <c r="K183" s="50">
        <v>946961262.27999997</v>
      </c>
      <c r="L183" s="60">
        <f t="shared" si="130"/>
        <v>7.5633643200186153E-3</v>
      </c>
      <c r="M183" s="33">
        <v>259.83440000000002</v>
      </c>
      <c r="N183" s="33">
        <v>261.39370000000002</v>
      </c>
      <c r="O183" s="35">
        <v>188</v>
      </c>
      <c r="P183" s="56">
        <v>3.3E-3</v>
      </c>
      <c r="Q183" s="56">
        <v>0.2611</v>
      </c>
      <c r="R183" s="62">
        <f t="shared" si="131"/>
        <v>1.925517918461141E-2</v>
      </c>
      <c r="S183" s="62">
        <f t="shared" si="132"/>
        <v>1.9295327857186198E-2</v>
      </c>
      <c r="T183" s="62">
        <f t="shared" si="132"/>
        <v>5.3475935828877002E-3</v>
      </c>
      <c r="U183" s="62">
        <f t="shared" si="133"/>
        <v>2.6640000000000001E-3</v>
      </c>
      <c r="V183" s="63">
        <f t="shared" si="133"/>
        <v>1.040000000000002E-2</v>
      </c>
    </row>
    <row r="184" spans="1:24">
      <c r="A184" s="183">
        <v>160</v>
      </c>
      <c r="B184" s="148" t="s">
        <v>229</v>
      </c>
      <c r="C184" s="147" t="s">
        <v>77</v>
      </c>
      <c r="D184" s="50">
        <v>1653795129.6900001</v>
      </c>
      <c r="E184" s="34">
        <f t="shared" si="129"/>
        <v>1.3561250248418309E-2</v>
      </c>
      <c r="F184" s="33">
        <v>190.56</v>
      </c>
      <c r="G184" s="33">
        <v>191.18</v>
      </c>
      <c r="H184" s="35">
        <v>111</v>
      </c>
      <c r="I184" s="56">
        <v>-1E-4</v>
      </c>
      <c r="J184" s="56">
        <v>0.1236</v>
      </c>
      <c r="K184" s="50">
        <v>1705023720.3</v>
      </c>
      <c r="L184" s="60">
        <f t="shared" si="130"/>
        <v>1.3617996938811822E-2</v>
      </c>
      <c r="M184" s="33">
        <v>194.18</v>
      </c>
      <c r="N184" s="33">
        <v>194.91</v>
      </c>
      <c r="O184" s="35">
        <v>111</v>
      </c>
      <c r="P184" s="56">
        <v>2.1600000000000001E-2</v>
      </c>
      <c r="Q184" s="56">
        <v>0.1452</v>
      </c>
      <c r="R184" s="62">
        <f t="shared" si="131"/>
        <v>3.097638255809991E-2</v>
      </c>
      <c r="S184" s="62">
        <f t="shared" si="132"/>
        <v>1.9510409038602312E-2</v>
      </c>
      <c r="T184" s="62">
        <f t="shared" si="132"/>
        <v>0</v>
      </c>
      <c r="U184" s="62">
        <f t="shared" si="133"/>
        <v>2.1700000000000001E-2</v>
      </c>
      <c r="V184" s="63">
        <f t="shared" si="133"/>
        <v>2.1599999999999994E-2</v>
      </c>
    </row>
    <row r="185" spans="1:24" ht="15.75" customHeight="1">
      <c r="A185" s="183">
        <v>161</v>
      </c>
      <c r="B185" s="148" t="s">
        <v>230</v>
      </c>
      <c r="C185" s="147" t="s">
        <v>80</v>
      </c>
      <c r="D185" s="38">
        <v>830533344.08000004</v>
      </c>
      <c r="E185" s="34">
        <f t="shared" si="129"/>
        <v>6.8104388001407551E-3</v>
      </c>
      <c r="F185" s="33">
        <v>2.34</v>
      </c>
      <c r="G185" s="33">
        <v>2.37</v>
      </c>
      <c r="H185" s="35">
        <v>165</v>
      </c>
      <c r="I185" s="56">
        <v>6.8000000000000005E-2</v>
      </c>
      <c r="J185" s="56">
        <v>0.29170000000000001</v>
      </c>
      <c r="K185" s="38">
        <v>836457436.73000002</v>
      </c>
      <c r="L185" s="60">
        <f t="shared" si="130"/>
        <v>6.6807720486324329E-3</v>
      </c>
      <c r="M185" s="33">
        <v>2.36</v>
      </c>
      <c r="N185" s="33">
        <v>2.39</v>
      </c>
      <c r="O185" s="35">
        <v>168</v>
      </c>
      <c r="P185" s="56">
        <v>6.8000000000000005E-2</v>
      </c>
      <c r="Q185" s="56">
        <v>0.30259999999999998</v>
      </c>
      <c r="R185" s="62">
        <f t="shared" si="131"/>
        <v>7.1328775566045733E-3</v>
      </c>
      <c r="S185" s="62">
        <f t="shared" si="132"/>
        <v>8.4388185654008518E-3</v>
      </c>
      <c r="T185" s="62">
        <f t="shared" si="132"/>
        <v>1.8181818181818181E-2</v>
      </c>
      <c r="U185" s="62">
        <f t="shared" si="133"/>
        <v>0</v>
      </c>
      <c r="V185" s="63">
        <f t="shared" si="133"/>
        <v>1.0899999999999965E-2</v>
      </c>
    </row>
    <row r="186" spans="1:24">
      <c r="A186" s="183">
        <v>162</v>
      </c>
      <c r="B186" s="148" t="s">
        <v>231</v>
      </c>
      <c r="C186" s="147" t="s">
        <v>82</v>
      </c>
      <c r="D186" s="33">
        <v>17967598088.700001</v>
      </c>
      <c r="E186" s="34">
        <f t="shared" si="129"/>
        <v>0.14733571871718915</v>
      </c>
      <c r="F186" s="33">
        <v>534.74</v>
      </c>
      <c r="G186" s="33">
        <v>540.08000000000004</v>
      </c>
      <c r="H186" s="35">
        <v>5605</v>
      </c>
      <c r="I186" s="56">
        <v>3.5000000000000001E-3</v>
      </c>
      <c r="J186" s="56">
        <v>0.2485</v>
      </c>
      <c r="K186" s="33">
        <v>18149670203.669998</v>
      </c>
      <c r="L186" s="60">
        <f t="shared" si="130"/>
        <v>0.14496112302210895</v>
      </c>
      <c r="M186" s="33">
        <v>540.03</v>
      </c>
      <c r="N186" s="33">
        <v>545.45000000000005</v>
      </c>
      <c r="O186" s="35">
        <v>5607</v>
      </c>
      <c r="P186" s="56">
        <v>9.7999999999999997E-3</v>
      </c>
      <c r="Q186" s="56">
        <v>0.26079999999999998</v>
      </c>
      <c r="R186" s="62">
        <f t="shared" si="131"/>
        <v>1.0133358619842702E-2</v>
      </c>
      <c r="S186" s="62">
        <f t="shared" si="132"/>
        <v>9.942971411642727E-3</v>
      </c>
      <c r="T186" s="62">
        <f t="shared" si="132"/>
        <v>3.568242640499554E-4</v>
      </c>
      <c r="U186" s="62">
        <f t="shared" si="133"/>
        <v>6.3E-3</v>
      </c>
      <c r="V186" s="63">
        <f t="shared" si="133"/>
        <v>1.2299999999999978E-2</v>
      </c>
    </row>
    <row r="187" spans="1:24">
      <c r="A187" s="183">
        <v>163</v>
      </c>
      <c r="B187" s="148" t="s">
        <v>232</v>
      </c>
      <c r="C187" s="147" t="s">
        <v>90</v>
      </c>
      <c r="D187" s="33">
        <v>5259457823.9200001</v>
      </c>
      <c r="E187" s="34">
        <f t="shared" si="129"/>
        <v>4.3127968174963963E-2</v>
      </c>
      <c r="F187" s="33">
        <v>3.6326000000000001</v>
      </c>
      <c r="G187" s="33">
        <v>3.6951000000000001</v>
      </c>
      <c r="H187" s="35">
        <v>10202</v>
      </c>
      <c r="I187" s="56">
        <v>1.8700000000000001E-2</v>
      </c>
      <c r="J187" s="56">
        <v>0.18540000000000001</v>
      </c>
      <c r="K187" s="33">
        <v>6049739674.96</v>
      </c>
      <c r="L187" s="60">
        <f t="shared" si="130"/>
        <v>4.8319173154798077E-2</v>
      </c>
      <c r="M187" s="33">
        <v>3.6657000000000002</v>
      </c>
      <c r="N187" s="33">
        <v>3.7219000000000002</v>
      </c>
      <c r="O187" s="35">
        <v>10202</v>
      </c>
      <c r="P187" s="56">
        <v>8.0999999999999996E-3</v>
      </c>
      <c r="Q187" s="56">
        <v>0.19500000000000001</v>
      </c>
      <c r="R187" s="62">
        <f t="shared" si="131"/>
        <v>0.15025918592707413</v>
      </c>
      <c r="S187" s="62">
        <f t="shared" si="132"/>
        <v>7.2528483667560163E-3</v>
      </c>
      <c r="T187" s="62">
        <f t="shared" si="132"/>
        <v>0</v>
      </c>
      <c r="U187" s="62">
        <f t="shared" si="133"/>
        <v>-1.0600000000000002E-2</v>
      </c>
      <c r="V187" s="63">
        <f t="shared" si="133"/>
        <v>9.5999999999999974E-3</v>
      </c>
    </row>
    <row r="188" spans="1:24">
      <c r="A188" s="183">
        <v>164</v>
      </c>
      <c r="B188" s="148" t="s">
        <v>233</v>
      </c>
      <c r="C188" s="147" t="s">
        <v>92</v>
      </c>
      <c r="D188" s="33">
        <v>332091329.16000003</v>
      </c>
      <c r="E188" s="34">
        <f t="shared" si="129"/>
        <v>2.7231750409815276E-3</v>
      </c>
      <c r="F188" s="33">
        <v>376.53607221999999</v>
      </c>
      <c r="G188" s="33">
        <v>376.53607221999999</v>
      </c>
      <c r="H188" s="35">
        <v>32</v>
      </c>
      <c r="I188" s="56">
        <v>-3.7000000000000002E-3</v>
      </c>
      <c r="J188" s="56">
        <v>8.3199999999999996E-2</v>
      </c>
      <c r="K188" s="33">
        <v>336919700.08999997</v>
      </c>
      <c r="L188" s="60">
        <f t="shared" si="130"/>
        <v>2.6909722074973394E-3</v>
      </c>
      <c r="M188" s="33">
        <v>382.16472456000002</v>
      </c>
      <c r="N188" s="33">
        <v>382.16472456000002</v>
      </c>
      <c r="O188" s="35">
        <v>32</v>
      </c>
      <c r="P188" s="56">
        <v>1.46E-2</v>
      </c>
      <c r="Q188" s="56">
        <v>9.9400000000000002E-2</v>
      </c>
      <c r="R188" s="62">
        <f t="shared" si="131"/>
        <v>1.4539286352982921E-2</v>
      </c>
      <c r="S188" s="62">
        <f t="shared" si="132"/>
        <v>1.49485076072907E-2</v>
      </c>
      <c r="T188" s="62">
        <f t="shared" si="132"/>
        <v>0</v>
      </c>
      <c r="U188" s="62">
        <f t="shared" si="133"/>
        <v>1.83E-2</v>
      </c>
      <c r="V188" s="63">
        <f t="shared" si="133"/>
        <v>1.6200000000000006E-2</v>
      </c>
    </row>
    <row r="189" spans="1:24">
      <c r="A189" s="183">
        <v>165</v>
      </c>
      <c r="B189" s="148" t="s">
        <v>234</v>
      </c>
      <c r="C189" s="148" t="s">
        <v>94</v>
      </c>
      <c r="D189" s="53">
        <v>84023004.129999995</v>
      </c>
      <c r="E189" s="34">
        <f t="shared" si="129"/>
        <v>6.8899524806582512E-4</v>
      </c>
      <c r="F189" s="33">
        <v>1.6475</v>
      </c>
      <c r="G189" s="33">
        <v>1.6475</v>
      </c>
      <c r="H189" s="35">
        <v>34</v>
      </c>
      <c r="I189" s="56">
        <v>4.0000000000000002E-4</v>
      </c>
      <c r="J189" s="56">
        <v>0.15709999999999999</v>
      </c>
      <c r="K189" s="53">
        <v>83347656.359999999</v>
      </c>
      <c r="L189" s="60">
        <f t="shared" si="130"/>
        <v>6.6569638630476695E-4</v>
      </c>
      <c r="M189" s="33">
        <v>1.6339473900000001</v>
      </c>
      <c r="N189" s="33">
        <v>1.6339473900000001</v>
      </c>
      <c r="O189" s="35">
        <v>34</v>
      </c>
      <c r="P189" s="56">
        <v>-8.5000000000000006E-3</v>
      </c>
      <c r="Q189" s="56">
        <v>0.13800000000000001</v>
      </c>
      <c r="R189" s="62">
        <f t="shared" si="131"/>
        <v>-8.0376532235755457E-3</v>
      </c>
      <c r="S189" s="62">
        <f t="shared" si="132"/>
        <v>-8.2261669195750255E-3</v>
      </c>
      <c r="T189" s="62">
        <f t="shared" si="132"/>
        <v>0</v>
      </c>
      <c r="U189" s="62">
        <f t="shared" si="133"/>
        <v>-8.8999999999999999E-3</v>
      </c>
      <c r="V189" s="63">
        <f t="shared" si="133"/>
        <v>-1.9099999999999978E-2</v>
      </c>
    </row>
    <row r="190" spans="1:24" ht="13.5" customHeight="1">
      <c r="A190" s="183">
        <v>166</v>
      </c>
      <c r="B190" s="148" t="s">
        <v>235</v>
      </c>
      <c r="C190" s="147" t="s">
        <v>36</v>
      </c>
      <c r="D190" s="38">
        <v>10607458925.059999</v>
      </c>
      <c r="E190" s="34">
        <f t="shared" si="129"/>
        <v>8.6981998193162741E-2</v>
      </c>
      <c r="F190" s="33">
        <v>7.3296159999999997</v>
      </c>
      <c r="G190" s="33">
        <v>7.4347250000000003</v>
      </c>
      <c r="H190" s="35">
        <v>8340</v>
      </c>
      <c r="I190" s="56">
        <v>-1.6999999999999999E-3</v>
      </c>
      <c r="J190" s="56">
        <v>0.18029999999999999</v>
      </c>
      <c r="K190" s="38">
        <v>10964569072.43</v>
      </c>
      <c r="L190" s="60">
        <f t="shared" si="130"/>
        <v>8.7573836238167044E-2</v>
      </c>
      <c r="M190" s="33">
        <v>7.4672409999999996</v>
      </c>
      <c r="N190" s="33">
        <v>7.5747669999999996</v>
      </c>
      <c r="O190" s="35">
        <v>8314</v>
      </c>
      <c r="P190" s="56">
        <v>1.8800000000000001E-2</v>
      </c>
      <c r="Q190" s="56">
        <v>0.20250000000000001</v>
      </c>
      <c r="R190" s="62">
        <f t="shared" si="131"/>
        <v>3.366594675434776E-2</v>
      </c>
      <c r="S190" s="62">
        <f t="shared" si="132"/>
        <v>1.8836204432578114E-2</v>
      </c>
      <c r="T190" s="62">
        <f t="shared" si="132"/>
        <v>-3.1175059952038369E-3</v>
      </c>
      <c r="U190" s="62">
        <f t="shared" si="133"/>
        <v>2.0500000000000001E-2</v>
      </c>
      <c r="V190" s="63">
        <f t="shared" si="133"/>
        <v>2.2200000000000025E-2</v>
      </c>
      <c r="X190" s="134"/>
    </row>
    <row r="191" spans="1:24" ht="13.5" customHeight="1">
      <c r="A191" s="183">
        <v>167</v>
      </c>
      <c r="B191" s="148" t="s">
        <v>236</v>
      </c>
      <c r="C191" s="147" t="s">
        <v>237</v>
      </c>
      <c r="D191" s="38">
        <v>142679306.19</v>
      </c>
      <c r="E191" s="34">
        <f t="shared" si="129"/>
        <v>1.1699815423183546E-3</v>
      </c>
      <c r="F191" s="33">
        <v>3.0188000000000001</v>
      </c>
      <c r="G191" s="33">
        <v>3.0352000000000001</v>
      </c>
      <c r="H191" s="35">
        <v>118</v>
      </c>
      <c r="I191" s="56">
        <v>1.5209E-5</v>
      </c>
      <c r="J191" s="56">
        <v>8.2824000000000005E-4</v>
      </c>
      <c r="K191" s="38">
        <v>144224204.71000001</v>
      </c>
      <c r="L191" s="60">
        <f t="shared" si="130"/>
        <v>1.1519163955664938E-3</v>
      </c>
      <c r="M191" s="33">
        <v>2.9996</v>
      </c>
      <c r="N191" s="33">
        <v>3.0171000000000001</v>
      </c>
      <c r="O191" s="35">
        <v>118</v>
      </c>
      <c r="P191" s="56">
        <v>-4.0358999999999998E-5</v>
      </c>
      <c r="Q191" s="56">
        <v>7.6210899999999996E-4</v>
      </c>
      <c r="R191" s="62">
        <f t="shared" si="131"/>
        <v>1.082776866003774E-2</v>
      </c>
      <c r="S191" s="62">
        <f t="shared" si="132"/>
        <v>-5.9633632050606232E-3</v>
      </c>
      <c r="T191" s="62">
        <f t="shared" si="132"/>
        <v>0</v>
      </c>
      <c r="U191" s="62">
        <f>P191-I191</f>
        <v>-5.5567999999999994E-5</v>
      </c>
      <c r="V191" s="63">
        <f>Q191-J191</f>
        <v>-6.6131000000000089E-5</v>
      </c>
    </row>
    <row r="192" spans="1:24">
      <c r="A192" s="183">
        <v>168</v>
      </c>
      <c r="B192" s="148" t="s">
        <v>238</v>
      </c>
      <c r="C192" s="147" t="s">
        <v>149</v>
      </c>
      <c r="D192" s="38">
        <v>1711983212.5799999</v>
      </c>
      <c r="E192" s="34">
        <f t="shared" si="129"/>
        <v>1.4038397108619132E-2</v>
      </c>
      <c r="F192" s="33">
        <v>439.36</v>
      </c>
      <c r="G192" s="33">
        <v>443.85</v>
      </c>
      <c r="H192" s="35">
        <v>158</v>
      </c>
      <c r="I192" s="56">
        <v>1.37E-2</v>
      </c>
      <c r="J192" s="56">
        <v>0.2266</v>
      </c>
      <c r="K192" s="38">
        <v>1760659283.9000001</v>
      </c>
      <c r="L192" s="60">
        <f t="shared" si="130"/>
        <v>1.4062357287452934E-2</v>
      </c>
      <c r="M192" s="33">
        <v>439.82</v>
      </c>
      <c r="N192" s="33">
        <v>444.17</v>
      </c>
      <c r="O192" s="35">
        <v>158</v>
      </c>
      <c r="P192" s="56">
        <v>1.37E-2</v>
      </c>
      <c r="Q192" s="56">
        <v>0.2359</v>
      </c>
      <c r="R192" s="62">
        <f t="shared" si="131"/>
        <v>2.8432563451743293E-2</v>
      </c>
      <c r="S192" s="62">
        <f t="shared" si="132"/>
        <v>7.2096428973750855E-4</v>
      </c>
      <c r="T192" s="62">
        <f t="shared" si="132"/>
        <v>0</v>
      </c>
      <c r="U192" s="62">
        <f t="shared" si="133"/>
        <v>0</v>
      </c>
      <c r="V192" s="63">
        <f t="shared" si="133"/>
        <v>9.3000000000000027E-3</v>
      </c>
    </row>
    <row r="193" spans="1:22">
      <c r="A193" s="183">
        <v>169</v>
      </c>
      <c r="B193" s="148" t="s">
        <v>342</v>
      </c>
      <c r="C193" s="147" t="s">
        <v>336</v>
      </c>
      <c r="D193" s="33">
        <v>0</v>
      </c>
      <c r="E193" s="34">
        <f t="shared" si="129"/>
        <v>0</v>
      </c>
      <c r="F193" s="33">
        <v>0</v>
      </c>
      <c r="G193" s="33">
        <v>0</v>
      </c>
      <c r="H193" s="35">
        <v>0</v>
      </c>
      <c r="I193" s="56">
        <v>0</v>
      </c>
      <c r="J193" s="56">
        <v>0</v>
      </c>
      <c r="K193" s="33">
        <v>49839760.32</v>
      </c>
      <c r="L193" s="60">
        <f t="shared" si="130"/>
        <v>3.9806936137489873E-4</v>
      </c>
      <c r="M193" s="33">
        <v>0.997</v>
      </c>
      <c r="N193" s="33">
        <v>1.0009999999999999</v>
      </c>
      <c r="O193" s="35">
        <v>1</v>
      </c>
      <c r="P193" s="56">
        <v>0</v>
      </c>
      <c r="Q193" s="56">
        <v>0</v>
      </c>
      <c r="R193" s="62" t="e">
        <f t="shared" ref="R193" si="139">((K193-D193)/D193)</f>
        <v>#DIV/0!</v>
      </c>
      <c r="S193" s="62" t="e">
        <f t="shared" ref="S193" si="140">((N193-G193)/G193)</f>
        <v>#DIV/0!</v>
      </c>
      <c r="T193" s="62" t="e">
        <f t="shared" ref="T193" si="141">((O193-H193)/H193)</f>
        <v>#DIV/0!</v>
      </c>
      <c r="U193" s="62">
        <f t="shared" ref="U193" si="142">P193-I193</f>
        <v>0</v>
      </c>
      <c r="V193" s="63">
        <f t="shared" ref="V193" si="143">Q193-J193</f>
        <v>0</v>
      </c>
    </row>
    <row r="194" spans="1:22">
      <c r="A194" s="183">
        <v>170</v>
      </c>
      <c r="B194" s="148" t="s">
        <v>239</v>
      </c>
      <c r="C194" s="147" t="s">
        <v>32</v>
      </c>
      <c r="D194" s="38">
        <v>2716614003.5999999</v>
      </c>
      <c r="E194" s="34">
        <f t="shared" ref="E194:E203" si="144">(D194/$D$204)</f>
        <v>2.2276448678430233E-2</v>
      </c>
      <c r="F194" s="33">
        <v>552.22</v>
      </c>
      <c r="G194" s="33">
        <v>552.22</v>
      </c>
      <c r="H194" s="35">
        <v>823</v>
      </c>
      <c r="I194" s="56">
        <v>8.6E-3</v>
      </c>
      <c r="J194" s="56">
        <v>0.26090000000000002</v>
      </c>
      <c r="K194" s="38">
        <v>2718416297.6100001</v>
      </c>
      <c r="L194" s="60">
        <f t="shared" si="130"/>
        <v>2.1711947099923964E-2</v>
      </c>
      <c r="M194" s="33">
        <v>552.22</v>
      </c>
      <c r="N194" s="33">
        <v>552.22</v>
      </c>
      <c r="O194" s="35">
        <v>823</v>
      </c>
      <c r="P194" s="56">
        <v>6.6E-4</v>
      </c>
      <c r="Q194" s="56">
        <v>0.26179999999999998</v>
      </c>
      <c r="R194" s="62">
        <f t="shared" si="131"/>
        <v>6.6343396876106307E-4</v>
      </c>
      <c r="S194" s="62">
        <f t="shared" si="132"/>
        <v>0</v>
      </c>
      <c r="T194" s="62">
        <f t="shared" si="132"/>
        <v>0</v>
      </c>
      <c r="U194" s="62">
        <f t="shared" si="133"/>
        <v>-7.9399999999999991E-3</v>
      </c>
      <c r="V194" s="63">
        <f t="shared" si="133"/>
        <v>8.9999999999995639E-4</v>
      </c>
    </row>
    <row r="195" spans="1:22">
      <c r="A195" s="183">
        <v>171</v>
      </c>
      <c r="B195" s="148" t="s">
        <v>240</v>
      </c>
      <c r="C195" s="147" t="s">
        <v>104</v>
      </c>
      <c r="D195" s="33">
        <v>53387740.329999998</v>
      </c>
      <c r="E195" s="34">
        <f t="shared" si="144"/>
        <v>4.3778367333105977E-4</v>
      </c>
      <c r="F195" s="33">
        <v>3.1</v>
      </c>
      <c r="G195" s="33">
        <v>3.1</v>
      </c>
      <c r="H195" s="35">
        <v>8</v>
      </c>
      <c r="I195" s="56">
        <v>1.6E-2</v>
      </c>
      <c r="J195" s="56">
        <v>0.18060000000000001</v>
      </c>
      <c r="K195" s="33">
        <v>54375721.829999998</v>
      </c>
      <c r="L195" s="60">
        <f t="shared" si="130"/>
        <v>4.3429801275511506E-4</v>
      </c>
      <c r="M195" s="33">
        <v>3.16</v>
      </c>
      <c r="N195" s="33">
        <v>3.16</v>
      </c>
      <c r="O195" s="35">
        <v>8</v>
      </c>
      <c r="P195" s="56">
        <v>1.89E-2</v>
      </c>
      <c r="Q195" s="56">
        <v>0.20300000000000001</v>
      </c>
      <c r="R195" s="62">
        <f t="shared" si="131"/>
        <v>1.8505774806970559E-2</v>
      </c>
      <c r="S195" s="62">
        <f t="shared" si="132"/>
        <v>1.9354838709677438E-2</v>
      </c>
      <c r="T195" s="62">
        <f t="shared" si="132"/>
        <v>0</v>
      </c>
      <c r="U195" s="62">
        <f t="shared" si="133"/>
        <v>2.8999999999999998E-3</v>
      </c>
      <c r="V195" s="63">
        <f t="shared" si="133"/>
        <v>2.2400000000000003E-2</v>
      </c>
    </row>
    <row r="196" spans="1:22">
      <c r="A196" s="183">
        <v>172</v>
      </c>
      <c r="B196" s="148" t="s">
        <v>241</v>
      </c>
      <c r="C196" s="147" t="s">
        <v>44</v>
      </c>
      <c r="D196" s="33">
        <v>563077539.57000005</v>
      </c>
      <c r="E196" s="34">
        <f t="shared" si="144"/>
        <v>4.6172801493276801E-3</v>
      </c>
      <c r="F196" s="33">
        <v>4.2691330000000001</v>
      </c>
      <c r="G196" s="33">
        <v>4.3346349999999996</v>
      </c>
      <c r="H196" s="35">
        <v>137</v>
      </c>
      <c r="I196" s="56">
        <v>2.5999999999999999E-3</v>
      </c>
      <c r="J196" s="56">
        <v>0.2046</v>
      </c>
      <c r="K196" s="33">
        <v>576106209.49000001</v>
      </c>
      <c r="L196" s="60">
        <f t="shared" si="130"/>
        <v>4.6013509981461705E-3</v>
      </c>
      <c r="M196" s="33">
        <v>4.34</v>
      </c>
      <c r="N196" s="33">
        <v>4.41</v>
      </c>
      <c r="O196" s="35">
        <v>141</v>
      </c>
      <c r="P196" s="56">
        <v>-2.52E-2</v>
      </c>
      <c r="Q196" s="56">
        <v>0.2046</v>
      </c>
      <c r="R196" s="62">
        <f t="shared" si="131"/>
        <v>2.313832288524496E-2</v>
      </c>
      <c r="S196" s="62">
        <f t="shared" si="132"/>
        <v>1.7386700379616871E-2</v>
      </c>
      <c r="T196" s="62">
        <f t="shared" si="132"/>
        <v>2.9197080291970802E-2</v>
      </c>
      <c r="U196" s="62">
        <f t="shared" si="133"/>
        <v>-2.7799999999999998E-2</v>
      </c>
      <c r="V196" s="63">
        <f t="shared" si="133"/>
        <v>0</v>
      </c>
    </row>
    <row r="197" spans="1:22">
      <c r="A197" s="183">
        <v>173</v>
      </c>
      <c r="B197" s="148" t="s">
        <v>323</v>
      </c>
      <c r="C197" s="147" t="s">
        <v>324</v>
      </c>
      <c r="D197" s="33">
        <v>204172382.688535</v>
      </c>
      <c r="E197" s="34">
        <f t="shared" si="144"/>
        <v>1.6742296102746804E-3</v>
      </c>
      <c r="F197" s="33">
        <v>122.20772785130301</v>
      </c>
      <c r="G197" s="33">
        <v>122.92881715428101</v>
      </c>
      <c r="H197" s="35">
        <v>113</v>
      </c>
      <c r="I197" s="56">
        <v>-2.3E-3</v>
      </c>
      <c r="J197" s="56">
        <v>6.0199999999999997E-2</v>
      </c>
      <c r="K197" s="33">
        <v>204833197.79023701</v>
      </c>
      <c r="L197" s="34">
        <f t="shared" si="130"/>
        <v>1.6359994452063602E-3</v>
      </c>
      <c r="M197" s="33">
        <v>123.249931058873</v>
      </c>
      <c r="N197" s="33">
        <v>123.986940282999</v>
      </c>
      <c r="O197" s="35">
        <v>113</v>
      </c>
      <c r="P197" s="56">
        <v>8.6E-3</v>
      </c>
      <c r="Q197" s="56">
        <v>6.9199999999999998E-2</v>
      </c>
      <c r="R197" s="62">
        <f t="shared" ref="R197" si="145">((K197-D197)/D197)</f>
        <v>3.2365547827792078E-3</v>
      </c>
      <c r="S197" s="62">
        <f t="shared" ref="S197" si="146">((N197-G197)/G197)</f>
        <v>8.6076084779210405E-3</v>
      </c>
      <c r="T197" s="62">
        <f t="shared" ref="T197" si="147">((O197-H197)/H197)</f>
        <v>0</v>
      </c>
      <c r="U197" s="62">
        <f t="shared" ref="U197" si="148">P197-I197</f>
        <v>1.09E-2</v>
      </c>
      <c r="V197" s="63">
        <f t="shared" ref="V197" si="149">Q197-J197</f>
        <v>9.0000000000000011E-3</v>
      </c>
    </row>
    <row r="198" spans="1:22">
      <c r="A198" s="183">
        <v>174</v>
      </c>
      <c r="B198" s="148" t="s">
        <v>242</v>
      </c>
      <c r="C198" s="147" t="s">
        <v>48</v>
      </c>
      <c r="D198" s="38">
        <v>10673409268.379999</v>
      </c>
      <c r="E198" s="34">
        <f t="shared" si="144"/>
        <v>8.7522796199926284E-2</v>
      </c>
      <c r="F198" s="33">
        <v>11828.93</v>
      </c>
      <c r="G198" s="33">
        <v>11937.35</v>
      </c>
      <c r="H198" s="35">
        <v>6186</v>
      </c>
      <c r="I198" s="56">
        <v>-1.1999999999999999E-3</v>
      </c>
      <c r="J198" s="56">
        <v>0.22689999999999999</v>
      </c>
      <c r="K198" s="38">
        <v>10971272870.469999</v>
      </c>
      <c r="L198" s="34">
        <f t="shared" si="130"/>
        <v>8.7627379364928384E-2</v>
      </c>
      <c r="M198" s="33">
        <v>12076.9</v>
      </c>
      <c r="N198" s="33">
        <v>12188.58</v>
      </c>
      <c r="O198" s="35">
        <v>6277</v>
      </c>
      <c r="P198" s="56">
        <v>2.0899999999999998E-2</v>
      </c>
      <c r="Q198" s="56">
        <v>0.2525</v>
      </c>
      <c r="R198" s="62">
        <f t="shared" si="131"/>
        <v>2.7907072107917926E-2</v>
      </c>
      <c r="S198" s="62">
        <f t="shared" si="132"/>
        <v>2.1045709474883417E-2</v>
      </c>
      <c r="T198" s="62">
        <f t="shared" si="132"/>
        <v>1.4710636922082122E-2</v>
      </c>
      <c r="U198" s="62">
        <f t="shared" si="133"/>
        <v>2.2099999999999998E-2</v>
      </c>
      <c r="V198" s="63">
        <f t="shared" si="133"/>
        <v>2.5600000000000012E-2</v>
      </c>
    </row>
    <row r="199" spans="1:22">
      <c r="A199" s="183">
        <v>175</v>
      </c>
      <c r="B199" s="148" t="s">
        <v>243</v>
      </c>
      <c r="C199" s="148" t="s">
        <v>114</v>
      </c>
      <c r="D199" s="38">
        <v>194663365</v>
      </c>
      <c r="E199" s="34">
        <f t="shared" si="144"/>
        <v>1.5962549166891264E-3</v>
      </c>
      <c r="F199" s="33">
        <v>1668.3459</v>
      </c>
      <c r="G199" s="33">
        <v>1696.2665999999999</v>
      </c>
      <c r="H199" s="35">
        <v>76</v>
      </c>
      <c r="I199" s="56">
        <v>3.0000000000000001E-3</v>
      </c>
      <c r="J199" s="56">
        <v>0.15459999999999999</v>
      </c>
      <c r="K199" s="38">
        <v>198217109.25999999</v>
      </c>
      <c r="L199" s="34">
        <f t="shared" si="130"/>
        <v>1.5831568528840534E-3</v>
      </c>
      <c r="M199" s="33">
        <v>1690.6367</v>
      </c>
      <c r="N199" s="33">
        <v>1719.1259</v>
      </c>
      <c r="O199" s="35">
        <v>76</v>
      </c>
      <c r="P199" s="56">
        <v>1.34E-2</v>
      </c>
      <c r="Q199" s="56">
        <v>0.1706</v>
      </c>
      <c r="R199" s="62">
        <f t="shared" si="131"/>
        <v>1.8255845212580141E-2</v>
      </c>
      <c r="S199" s="62">
        <f t="shared" si="132"/>
        <v>1.3476242472733988E-2</v>
      </c>
      <c r="T199" s="62">
        <f t="shared" si="132"/>
        <v>0</v>
      </c>
      <c r="U199" s="62">
        <f t="shared" si="133"/>
        <v>1.04E-2</v>
      </c>
      <c r="V199" s="63">
        <f t="shared" si="133"/>
        <v>1.6000000000000014E-2</v>
      </c>
    </row>
    <row r="200" spans="1:22">
      <c r="A200" s="183">
        <v>176</v>
      </c>
      <c r="B200" s="148" t="s">
        <v>244</v>
      </c>
      <c r="C200" s="148" t="s">
        <v>94</v>
      </c>
      <c r="D200" s="38">
        <v>833889440.71000004</v>
      </c>
      <c r="E200" s="34">
        <f t="shared" si="144"/>
        <v>6.8379590566950447E-3</v>
      </c>
      <c r="F200" s="33">
        <v>1.5862000000000001</v>
      </c>
      <c r="G200" s="33">
        <v>1.5862000000000001</v>
      </c>
      <c r="H200" s="35">
        <v>47</v>
      </c>
      <c r="I200" s="56">
        <v>2.5999999999999999E-3</v>
      </c>
      <c r="J200" s="56">
        <v>3.9199999999999999E-2</v>
      </c>
      <c r="K200" s="38">
        <v>836763482.03999996</v>
      </c>
      <c r="L200" s="34">
        <f t="shared" si="130"/>
        <v>6.6832164275845238E-3</v>
      </c>
      <c r="M200" s="33">
        <v>1.5920000000000001</v>
      </c>
      <c r="N200" s="33">
        <v>1.5920000000000001</v>
      </c>
      <c r="O200" s="35">
        <v>47</v>
      </c>
      <c r="P200" s="56">
        <v>2.8E-3</v>
      </c>
      <c r="Q200" s="56">
        <v>4.1399999999999999E-2</v>
      </c>
      <c r="R200" s="62">
        <f t="shared" si="131"/>
        <v>3.4465496140026349E-3</v>
      </c>
      <c r="S200" s="62">
        <f t="shared" si="132"/>
        <v>3.6565376371201783E-3</v>
      </c>
      <c r="T200" s="62">
        <f t="shared" si="132"/>
        <v>0</v>
      </c>
      <c r="U200" s="62">
        <f t="shared" si="133"/>
        <v>2.0000000000000009E-4</v>
      </c>
      <c r="V200" s="63">
        <f t="shared" si="133"/>
        <v>2.2000000000000006E-3</v>
      </c>
    </row>
    <row r="201" spans="1:22">
      <c r="A201" s="183">
        <v>177</v>
      </c>
      <c r="B201" s="148" t="s">
        <v>245</v>
      </c>
      <c r="C201" s="147" t="s">
        <v>51</v>
      </c>
      <c r="D201" s="33">
        <v>5878281264.5299997</v>
      </c>
      <c r="E201" s="34">
        <f t="shared" si="144"/>
        <v>4.8202369101076552E-2</v>
      </c>
      <c r="F201" s="33">
        <v>2.74254</v>
      </c>
      <c r="G201" s="33">
        <v>2.7610600000000001</v>
      </c>
      <c r="H201" s="35">
        <v>3311</v>
      </c>
      <c r="I201" s="56">
        <v>2.0999999999999999E-3</v>
      </c>
      <c r="J201" s="56">
        <v>0.23480000000000001</v>
      </c>
      <c r="K201" s="33">
        <v>6004003543.0699997</v>
      </c>
      <c r="L201" s="60">
        <f t="shared" si="130"/>
        <v>4.7953879407470312E-2</v>
      </c>
      <c r="M201" s="33">
        <v>2.7732000000000001</v>
      </c>
      <c r="N201" s="33">
        <v>2.7919100000000001</v>
      </c>
      <c r="O201" s="35">
        <v>3331</v>
      </c>
      <c r="P201" s="56">
        <v>1.12E-2</v>
      </c>
      <c r="Q201" s="56">
        <v>0.24859999999999999</v>
      </c>
      <c r="R201" s="62">
        <f t="shared" si="131"/>
        <v>2.1387591522477468E-2</v>
      </c>
      <c r="S201" s="62">
        <f t="shared" si="132"/>
        <v>1.1173245058057429E-2</v>
      </c>
      <c r="T201" s="62">
        <f t="shared" si="132"/>
        <v>6.0404711567502269E-3</v>
      </c>
      <c r="U201" s="62">
        <f t="shared" si="133"/>
        <v>9.1000000000000004E-3</v>
      </c>
      <c r="V201" s="63">
        <f t="shared" si="133"/>
        <v>1.3799999999999979E-2</v>
      </c>
    </row>
    <row r="202" spans="1:22">
      <c r="A202" s="183">
        <v>178</v>
      </c>
      <c r="B202" s="148" t="s">
        <v>246</v>
      </c>
      <c r="C202" s="147" t="s">
        <v>51</v>
      </c>
      <c r="D202" s="33">
        <v>3781984072.0599999</v>
      </c>
      <c r="E202" s="34">
        <f t="shared" si="144"/>
        <v>3.1012567104579426E-2</v>
      </c>
      <c r="F202" s="33">
        <v>2.2365300000000001</v>
      </c>
      <c r="G202" s="33">
        <v>2.2527900000000001</v>
      </c>
      <c r="H202" s="35">
        <v>1768</v>
      </c>
      <c r="I202" s="56">
        <v>3.7000000000000002E-3</v>
      </c>
      <c r="J202" s="56">
        <v>0.25109999999999999</v>
      </c>
      <c r="K202" s="33">
        <v>3852756511.2800002</v>
      </c>
      <c r="L202" s="60">
        <f t="shared" si="130"/>
        <v>3.0771904080822282E-2</v>
      </c>
      <c r="M202" s="33">
        <v>2.2589199999999998</v>
      </c>
      <c r="N202" s="33">
        <v>2.2753000000000001</v>
      </c>
      <c r="O202" s="35">
        <v>1792</v>
      </c>
      <c r="P202" s="56">
        <v>0.01</v>
      </c>
      <c r="Q202" s="56">
        <v>0.26369999999999999</v>
      </c>
      <c r="R202" s="62">
        <f t="shared" si="131"/>
        <v>1.8713045288276796E-2</v>
      </c>
      <c r="S202" s="62">
        <f t="shared" si="132"/>
        <v>9.9920542971160334E-3</v>
      </c>
      <c r="T202" s="62">
        <f t="shared" si="132"/>
        <v>1.3574660633484163E-2</v>
      </c>
      <c r="U202" s="62">
        <f t="shared" si="133"/>
        <v>6.3E-3</v>
      </c>
      <c r="V202" s="63">
        <f t="shared" si="133"/>
        <v>1.26E-2</v>
      </c>
    </row>
    <row r="203" spans="1:22">
      <c r="A203" s="183">
        <v>179</v>
      </c>
      <c r="B203" s="148" t="s">
        <v>247</v>
      </c>
      <c r="C203" s="147" t="s">
        <v>119</v>
      </c>
      <c r="D203" s="67">
        <v>12956635501.530001</v>
      </c>
      <c r="E203" s="34">
        <f t="shared" si="144"/>
        <v>0.10624543104485093</v>
      </c>
      <c r="F203" s="33">
        <v>819.89</v>
      </c>
      <c r="G203" s="33">
        <v>828.81</v>
      </c>
      <c r="H203" s="35">
        <v>41</v>
      </c>
      <c r="I203" s="56">
        <v>1.1999999999999999E-3</v>
      </c>
      <c r="J203" s="56">
        <v>0.19220000000000001</v>
      </c>
      <c r="K203" s="67">
        <v>13159440421.450001</v>
      </c>
      <c r="L203" s="60">
        <f t="shared" si="130"/>
        <v>0.10510423828253333</v>
      </c>
      <c r="M203" s="33">
        <v>832.64</v>
      </c>
      <c r="N203" s="33">
        <v>841.82</v>
      </c>
      <c r="O203" s="35">
        <v>41</v>
      </c>
      <c r="P203" s="56">
        <v>1.5699999999999999E-2</v>
      </c>
      <c r="Q203" s="56">
        <v>0.21079999999999999</v>
      </c>
      <c r="R203" s="62">
        <f t="shared" si="131"/>
        <v>1.565259128390635E-2</v>
      </c>
      <c r="S203" s="62">
        <f t="shared" si="132"/>
        <v>1.5697204425622405E-2</v>
      </c>
      <c r="T203" s="62">
        <f t="shared" si="132"/>
        <v>0</v>
      </c>
      <c r="U203" s="62">
        <f t="shared" si="133"/>
        <v>1.4499999999999999E-2</v>
      </c>
      <c r="V203" s="63">
        <f t="shared" si="133"/>
        <v>1.8599999999999978E-2</v>
      </c>
    </row>
    <row r="204" spans="1:22">
      <c r="A204" s="41"/>
      <c r="B204" s="42"/>
      <c r="C204" s="43" t="s">
        <v>54</v>
      </c>
      <c r="D204" s="85">
        <f>SUM(D174:D203)</f>
        <v>121950048807.84406</v>
      </c>
      <c r="E204" s="45">
        <f>(D204/$D$239)</f>
        <v>1.4190506689340073E-2</v>
      </c>
      <c r="F204" s="46"/>
      <c r="G204" s="86"/>
      <c r="H204" s="48">
        <f>SUM(H174:H203)</f>
        <v>88403</v>
      </c>
      <c r="I204" s="104"/>
      <c r="J204" s="104"/>
      <c r="K204" s="85">
        <f>SUM(K174:K203)</f>
        <v>125203708589.52214</v>
      </c>
      <c r="L204" s="45">
        <f>(K204/$K$239)</f>
        <v>1.4518985207928338E-2</v>
      </c>
      <c r="M204" s="46"/>
      <c r="N204" s="86"/>
      <c r="O204" s="48">
        <f>SUM(O174:O203)</f>
        <v>88673</v>
      </c>
      <c r="P204" s="104"/>
      <c r="Q204" s="104"/>
      <c r="R204" s="62">
        <f t="shared" ref="R204" si="150">((K204-D204)/D204)</f>
        <v>2.6680266334332157E-2</v>
      </c>
      <c r="S204" s="62" t="e">
        <f t="shared" ref="S204" si="151">((N204-G204)/G204)</f>
        <v>#DIV/0!</v>
      </c>
      <c r="T204" s="62">
        <f t="shared" ref="T204" si="152">((O204-H204)/H204)</f>
        <v>3.0541949933825777E-3</v>
      </c>
      <c r="U204" s="62">
        <f t="shared" ref="U204" si="153">P204-I204</f>
        <v>0</v>
      </c>
      <c r="V204" s="63">
        <f t="shared" ref="V204" si="154">Q204-J204</f>
        <v>0</v>
      </c>
    </row>
    <row r="205" spans="1:22" ht="5.25" customHeight="1">
      <c r="A205" s="41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</row>
    <row r="206" spans="1:22" ht="15" customHeight="1">
      <c r="A206" s="194" t="s">
        <v>248</v>
      </c>
      <c r="B206" s="194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</row>
    <row r="207" spans="1:22" ht="15" customHeight="1">
      <c r="A207" s="181">
        <v>180</v>
      </c>
      <c r="B207" s="148" t="s">
        <v>328</v>
      </c>
      <c r="C207" s="147" t="s">
        <v>135</v>
      </c>
      <c r="D207" s="87">
        <v>585464664.89963901</v>
      </c>
      <c r="E207" s="34">
        <v>0</v>
      </c>
      <c r="F207" s="88">
        <v>1000</v>
      </c>
      <c r="G207" s="88">
        <v>1000</v>
      </c>
      <c r="H207" s="35">
        <v>33</v>
      </c>
      <c r="I207" s="56">
        <v>1.9599999999999999E-3</v>
      </c>
      <c r="J207" s="56">
        <v>2.4199999999999999E-2</v>
      </c>
      <c r="K207" s="87">
        <v>595445570.10000002</v>
      </c>
      <c r="L207" s="60">
        <f>(K207/$K$210)</f>
        <v>3.8575789455988024E-2</v>
      </c>
      <c r="M207" s="88">
        <v>1031.47</v>
      </c>
      <c r="N207" s="88">
        <v>1031.47</v>
      </c>
      <c r="O207" s="35">
        <v>33</v>
      </c>
      <c r="P207" s="56">
        <v>1.8E-3</v>
      </c>
      <c r="Q207" s="56">
        <v>3.0360000000000002E-2</v>
      </c>
      <c r="R207" s="62">
        <f>((K207-D207)/D207)</f>
        <v>1.7047835332764192E-2</v>
      </c>
      <c r="S207" s="62">
        <f t="shared" ref="S207" si="155">((N207-G207)/G207)</f>
        <v>3.1470000000000026E-2</v>
      </c>
      <c r="T207" s="62">
        <f t="shared" ref="T207" si="156">((O207-H207)/H207)</f>
        <v>0</v>
      </c>
      <c r="U207" s="62">
        <f t="shared" ref="U207" si="157">P207-I207</f>
        <v>-1.5999999999999999E-4</v>
      </c>
      <c r="V207" s="63">
        <f t="shared" ref="V207" si="158">Q207-J207</f>
        <v>6.1600000000000023E-3</v>
      </c>
    </row>
    <row r="208" spans="1:22">
      <c r="A208" s="181">
        <v>181</v>
      </c>
      <c r="B208" s="148" t="s">
        <v>249</v>
      </c>
      <c r="C208" s="147" t="s">
        <v>250</v>
      </c>
      <c r="D208" s="87">
        <v>1806547654.6300001</v>
      </c>
      <c r="E208" s="34">
        <f>(D208/$D$210)</f>
        <v>0.12013554214377573</v>
      </c>
      <c r="F208" s="88">
        <v>49.229500000000002</v>
      </c>
      <c r="G208" s="88">
        <v>49.737000000000002</v>
      </c>
      <c r="H208" s="35">
        <v>1336</v>
      </c>
      <c r="I208" s="56">
        <v>5.8999999999999999E-3</v>
      </c>
      <c r="J208" s="56">
        <v>0.2316</v>
      </c>
      <c r="K208" s="87">
        <v>1841039517.4100001</v>
      </c>
      <c r="L208" s="60">
        <f>(K208/$K$210)</f>
        <v>0.11927127578064749</v>
      </c>
      <c r="M208" s="88">
        <v>50.173900000000003</v>
      </c>
      <c r="N208" s="88">
        <v>50.700699999999998</v>
      </c>
      <c r="O208" s="35">
        <v>1334</v>
      </c>
      <c r="P208" s="56">
        <v>2.4500000000000001E-2</v>
      </c>
      <c r="Q208" s="56">
        <v>0.25530000000000003</v>
      </c>
      <c r="R208" s="62">
        <f>((K208-D208)/D208)</f>
        <v>1.9092694671851471E-2</v>
      </c>
      <c r="S208" s="62">
        <f t="shared" ref="S208:T210" si="159">((N208-G208)/G208)</f>
        <v>1.9375917325130099E-2</v>
      </c>
      <c r="T208" s="62">
        <f t="shared" si="159"/>
        <v>-1.4970059880239522E-3</v>
      </c>
      <c r="U208" s="62">
        <f t="shared" ref="U208:V210" si="160">P208-I208</f>
        <v>1.8600000000000002E-2</v>
      </c>
      <c r="V208" s="63">
        <f t="shared" si="160"/>
        <v>2.3700000000000027E-2</v>
      </c>
    </row>
    <row r="209" spans="1:24">
      <c r="A209" s="181">
        <v>182</v>
      </c>
      <c r="B209" s="148" t="s">
        <v>251</v>
      </c>
      <c r="C209" s="147" t="s">
        <v>48</v>
      </c>
      <c r="D209" s="50">
        <v>12645566255.41</v>
      </c>
      <c r="E209" s="34">
        <f>(D209/$D$210)</f>
        <v>0.84093101774271251</v>
      </c>
      <c r="F209" s="88">
        <v>5.93</v>
      </c>
      <c r="G209" s="88">
        <v>6.01</v>
      </c>
      <c r="H209" s="35">
        <v>14251</v>
      </c>
      <c r="I209" s="56">
        <v>5.0000000000000001E-3</v>
      </c>
      <c r="J209" s="56">
        <v>0.32669999999999999</v>
      </c>
      <c r="K209" s="50">
        <v>12999247492.360001</v>
      </c>
      <c r="L209" s="60">
        <f>(K209/$K$210)</f>
        <v>0.8421529347633645</v>
      </c>
      <c r="M209" s="88">
        <v>6.09</v>
      </c>
      <c r="N209" s="88">
        <v>6.17</v>
      </c>
      <c r="O209" s="35">
        <v>14381</v>
      </c>
      <c r="P209" s="56">
        <v>2.6599999999999999E-2</v>
      </c>
      <c r="Q209" s="56">
        <v>0.36199999999999999</v>
      </c>
      <c r="R209" s="62">
        <f>((K209-D209)/D209)</f>
        <v>2.7968793947735601E-2</v>
      </c>
      <c r="S209" s="62">
        <f t="shared" si="159"/>
        <v>2.662229617304495E-2</v>
      </c>
      <c r="T209" s="62">
        <f t="shared" si="159"/>
        <v>9.1221668654831237E-3</v>
      </c>
      <c r="U209" s="62">
        <f t="shared" si="160"/>
        <v>2.1599999999999998E-2</v>
      </c>
      <c r="V209" s="63">
        <f t="shared" si="160"/>
        <v>3.5299999999999998E-2</v>
      </c>
    </row>
    <row r="210" spans="1:24">
      <c r="A210" s="41"/>
      <c r="B210" s="42"/>
      <c r="C210" s="77" t="s">
        <v>54</v>
      </c>
      <c r="D210" s="85">
        <f>SUM(D207:D209)</f>
        <v>15037578574.93964</v>
      </c>
      <c r="E210" s="45">
        <f>(D210/$D$239)</f>
        <v>1.7498218446422814E-3</v>
      </c>
      <c r="F210" s="46"/>
      <c r="G210" s="86"/>
      <c r="H210" s="48">
        <f>SUM(H207:H209)</f>
        <v>15620</v>
      </c>
      <c r="I210" s="104"/>
      <c r="J210" s="104"/>
      <c r="K210" s="85">
        <f>SUM(K207:K209)</f>
        <v>15435732579.870001</v>
      </c>
      <c r="L210" s="45">
        <f>(K210/$K$239)</f>
        <v>1.7899723221091962E-3</v>
      </c>
      <c r="M210" s="46"/>
      <c r="N210" s="86"/>
      <c r="O210" s="48">
        <f>SUM(O207:O209)</f>
        <v>15748</v>
      </c>
      <c r="P210" s="104"/>
      <c r="Q210" s="104"/>
      <c r="R210" s="62">
        <f>((K210-D210)/D210)</f>
        <v>2.6477268460887091E-2</v>
      </c>
      <c r="S210" s="62" t="e">
        <f t="shared" si="159"/>
        <v>#DIV/0!</v>
      </c>
      <c r="T210" s="62">
        <f t="shared" si="159"/>
        <v>8.1946222791293207E-3</v>
      </c>
      <c r="U210" s="62">
        <f t="shared" si="160"/>
        <v>0</v>
      </c>
      <c r="V210" s="63">
        <f t="shared" si="160"/>
        <v>0</v>
      </c>
    </row>
    <row r="211" spans="1:24" ht="6" customHeight="1">
      <c r="A211" s="41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</row>
    <row r="212" spans="1:24" ht="15" customHeight="1">
      <c r="A212" s="195" t="s">
        <v>252</v>
      </c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</row>
    <row r="213" spans="1:24">
      <c r="A213" s="196" t="s">
        <v>253</v>
      </c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</row>
    <row r="214" spans="1:24">
      <c r="A214" s="181">
        <v>183</v>
      </c>
      <c r="B214" s="148" t="s">
        <v>254</v>
      </c>
      <c r="C214" s="147" t="s">
        <v>255</v>
      </c>
      <c r="D214" s="54">
        <v>13703369735.059999</v>
      </c>
      <c r="E214" s="34">
        <f>(D214/$D$238)</f>
        <v>0.11962576223179694</v>
      </c>
      <c r="F214" s="89">
        <v>3.66</v>
      </c>
      <c r="G214" s="89">
        <v>3.73</v>
      </c>
      <c r="H214" s="52">
        <v>15886</v>
      </c>
      <c r="I214" s="59">
        <v>4.0000000000000001E-3</v>
      </c>
      <c r="J214" s="59">
        <v>0.24179999999999999</v>
      </c>
      <c r="K214" s="54">
        <v>14043729969.059999</v>
      </c>
      <c r="L214" s="34">
        <f>(K214/$K$238)</f>
        <v>0.11991783021735419</v>
      </c>
      <c r="M214" s="89">
        <v>3.68</v>
      </c>
      <c r="N214" s="89">
        <v>3.75</v>
      </c>
      <c r="O214" s="52">
        <v>15885</v>
      </c>
      <c r="P214" s="59">
        <v>5.3E-3</v>
      </c>
      <c r="Q214" s="59">
        <v>0.24840000000000001</v>
      </c>
      <c r="R214" s="61">
        <f>((K214-D214)/D214)</f>
        <v>2.4837703468599415E-2</v>
      </c>
      <c r="S214" s="61">
        <f>((N214-G214)/G214)</f>
        <v>5.3619302949061707E-3</v>
      </c>
      <c r="T214" s="61">
        <f>((O214-H214)/H214)</f>
        <v>-6.2948508120357552E-5</v>
      </c>
      <c r="U214" s="61">
        <f>P214-I214</f>
        <v>1.2999999999999999E-3</v>
      </c>
      <c r="V214" s="108">
        <f>Q214-J214</f>
        <v>6.6000000000000225E-3</v>
      </c>
    </row>
    <row r="215" spans="1:24">
      <c r="A215" s="181">
        <v>184</v>
      </c>
      <c r="B215" s="148" t="s">
        <v>256</v>
      </c>
      <c r="C215" s="147" t="s">
        <v>48</v>
      </c>
      <c r="D215" s="54">
        <v>21702320724.369999</v>
      </c>
      <c r="E215" s="34">
        <f>(D215/$D$238)</f>
        <v>0.18945388682094969</v>
      </c>
      <c r="F215" s="89">
        <v>1247.97</v>
      </c>
      <c r="G215" s="89">
        <v>1263.56</v>
      </c>
      <c r="H215" s="52">
        <v>5754</v>
      </c>
      <c r="I215" s="59">
        <v>5.7999999999999996E-3</v>
      </c>
      <c r="J215" s="59">
        <v>0.32900000000000001</v>
      </c>
      <c r="K215" s="54">
        <v>22515206270.040001</v>
      </c>
      <c r="L215" s="34">
        <f>(K215/$K$238)</f>
        <v>0.19225481326882027</v>
      </c>
      <c r="M215" s="89">
        <v>1264.6400000000001</v>
      </c>
      <c r="N215" s="89">
        <v>1280.22</v>
      </c>
      <c r="O215" s="52">
        <v>5869</v>
      </c>
      <c r="P215" s="59">
        <v>1.3100000000000001E-2</v>
      </c>
      <c r="Q215" s="59">
        <v>0.34649999999999997</v>
      </c>
      <c r="R215" s="61">
        <f>((K215-D215)/D215)</f>
        <v>3.7456157615309564E-2</v>
      </c>
      <c r="S215" s="61">
        <f>((N215-G215)/G215)</f>
        <v>1.3184969451391372E-2</v>
      </c>
      <c r="T215" s="61">
        <f>((O215-H215)/H215)</f>
        <v>1.9986096628432395E-2</v>
      </c>
      <c r="U215" s="61">
        <f>P215-I215</f>
        <v>7.3000000000000009E-3</v>
      </c>
      <c r="V215" s="108">
        <f>Q215-J215</f>
        <v>1.749999999999996E-2</v>
      </c>
    </row>
    <row r="216" spans="1:24" ht="6" customHeight="1">
      <c r="A216" s="76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</row>
    <row r="217" spans="1:24" ht="15" customHeight="1">
      <c r="A217" s="196" t="s">
        <v>190</v>
      </c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</row>
    <row r="218" spans="1:24">
      <c r="A218" s="181">
        <v>185</v>
      </c>
      <c r="B218" s="148" t="s">
        <v>257</v>
      </c>
      <c r="C218" s="147" t="s">
        <v>23</v>
      </c>
      <c r="D218" s="38">
        <v>1529685918.22</v>
      </c>
      <c r="E218" s="34">
        <f>(D218/$D$238)</f>
        <v>1.3353638373642882E-2</v>
      </c>
      <c r="F218" s="88">
        <v>1.1739999999999999</v>
      </c>
      <c r="G218" s="88">
        <v>1.1739999999999999</v>
      </c>
      <c r="H218" s="35">
        <v>902</v>
      </c>
      <c r="I218" s="56">
        <v>0.1336</v>
      </c>
      <c r="J218" s="56">
        <v>0.13589999999999999</v>
      </c>
      <c r="K218" s="38">
        <v>1519600232.22</v>
      </c>
      <c r="L218" s="34">
        <f t="shared" ref="L218:L231" si="161">(K218/$K$238)</f>
        <v>1.297569542045297E-2</v>
      </c>
      <c r="M218" s="88">
        <v>1.1758</v>
      </c>
      <c r="N218" s="88">
        <v>1.1758</v>
      </c>
      <c r="O218" s="35">
        <v>901</v>
      </c>
      <c r="P218" s="56">
        <v>7.9899999999999999E-2</v>
      </c>
      <c r="Q218" s="56">
        <v>0.13220000000000001</v>
      </c>
      <c r="R218" s="62">
        <f>((K218-D218)/D218)</f>
        <v>-6.5933051222280209E-3</v>
      </c>
      <c r="S218" s="62">
        <f>((N218-G218)/G218)</f>
        <v>1.5332197614991686E-3</v>
      </c>
      <c r="T218" s="62">
        <f>((O218-H218)/H218)</f>
        <v>-1.1086474501108647E-3</v>
      </c>
      <c r="U218" s="62">
        <f>P218-I218</f>
        <v>-5.3699999999999998E-2</v>
      </c>
      <c r="V218" s="63">
        <f>Q218-J218</f>
        <v>-3.6999999999999811E-3</v>
      </c>
      <c r="X218" s="109"/>
    </row>
    <row r="219" spans="1:24">
      <c r="A219" s="181">
        <v>186</v>
      </c>
      <c r="B219" s="148" t="s">
        <v>258</v>
      </c>
      <c r="C219" s="147" t="s">
        <v>259</v>
      </c>
      <c r="D219" s="38">
        <v>376250433.63999999</v>
      </c>
      <c r="E219" s="34">
        <f>(D219/$D$238)</f>
        <v>3.2845384591114997E-3</v>
      </c>
      <c r="F219" s="88">
        <v>1149.5</v>
      </c>
      <c r="G219" s="88">
        <v>1149.5</v>
      </c>
      <c r="H219" s="35">
        <v>19</v>
      </c>
      <c r="I219" s="56">
        <v>2.3E-3</v>
      </c>
      <c r="J219" s="56">
        <v>2.9899999999999999E-2</v>
      </c>
      <c r="K219" s="38">
        <v>372347841.75</v>
      </c>
      <c r="L219" s="34">
        <f t="shared" si="161"/>
        <v>3.1794363297461947E-3</v>
      </c>
      <c r="M219" s="88">
        <v>1137.57</v>
      </c>
      <c r="N219" s="88">
        <v>1137.57</v>
      </c>
      <c r="O219" s="35">
        <v>19</v>
      </c>
      <c r="P219" s="56">
        <v>2.5999999999999999E-3</v>
      </c>
      <c r="Q219" s="56">
        <v>3.2500000000000001E-2</v>
      </c>
      <c r="R219" s="62">
        <f>((K219-D219)/D219)</f>
        <v>-1.037232529473713E-2</v>
      </c>
      <c r="S219" s="62">
        <f>((N219-G219)/G219)</f>
        <v>-1.0378425402348903E-2</v>
      </c>
      <c r="T219" s="62">
        <f>((O219-H219)/H219)</f>
        <v>0</v>
      </c>
      <c r="U219" s="62">
        <f>P219-I219</f>
        <v>2.9999999999999992E-4</v>
      </c>
      <c r="V219" s="63">
        <f>Q219-J219</f>
        <v>2.6000000000000016E-3</v>
      </c>
      <c r="X219" s="109"/>
    </row>
    <row r="220" spans="1:24">
      <c r="A220" s="181">
        <v>187</v>
      </c>
      <c r="B220" s="148" t="s">
        <v>260</v>
      </c>
      <c r="C220" s="147" t="s">
        <v>71</v>
      </c>
      <c r="D220" s="38">
        <v>336796676.67000002</v>
      </c>
      <c r="E220" s="34">
        <f>(D220/$D$238)</f>
        <v>2.9401205647034529E-3</v>
      </c>
      <c r="F220" s="88">
        <v>127.1</v>
      </c>
      <c r="G220" s="88">
        <v>127.1</v>
      </c>
      <c r="H220" s="35">
        <v>82</v>
      </c>
      <c r="I220" s="56">
        <v>2.5000000000000001E-3</v>
      </c>
      <c r="J220" s="56">
        <v>0.14990000000000001</v>
      </c>
      <c r="K220" s="38">
        <v>337999721.99000001</v>
      </c>
      <c r="L220" s="34">
        <f t="shared" si="161"/>
        <v>2.8861415994473664E-3</v>
      </c>
      <c r="M220" s="88">
        <v>127.49</v>
      </c>
      <c r="N220" s="88">
        <v>127.49</v>
      </c>
      <c r="O220" s="35">
        <v>82</v>
      </c>
      <c r="P220" s="56">
        <v>3.0999999999999999E-3</v>
      </c>
      <c r="Q220" s="56">
        <v>0.14990000000000001</v>
      </c>
      <c r="R220" s="62">
        <f t="shared" ref="R220:R239" si="162">((K220-D220)/D220)</f>
        <v>3.572022538627245E-3</v>
      </c>
      <c r="S220" s="62">
        <f t="shared" ref="S220:S238" si="163">((N220-G220)/G220)</f>
        <v>3.0684500393391078E-3</v>
      </c>
      <c r="T220" s="62">
        <f t="shared" ref="T220:T238" si="164">((O220-H220)/H220)</f>
        <v>0</v>
      </c>
      <c r="U220" s="62">
        <f t="shared" ref="U220:U238" si="165">P220-I220</f>
        <v>5.9999999999999984E-4</v>
      </c>
      <c r="V220" s="63">
        <f t="shared" ref="V220:V238" si="166">Q220-J220</f>
        <v>0</v>
      </c>
    </row>
    <row r="221" spans="1:24">
      <c r="A221" s="181">
        <v>188</v>
      </c>
      <c r="B221" s="187" t="s">
        <v>261</v>
      </c>
      <c r="C221" s="147" t="s">
        <v>262</v>
      </c>
      <c r="D221" s="38">
        <v>56185394.252381504</v>
      </c>
      <c r="E221" s="34">
        <v>0</v>
      </c>
      <c r="F221" s="88">
        <v>109.88303655711</v>
      </c>
      <c r="G221" s="88">
        <v>109.88303655711</v>
      </c>
      <c r="H221" s="35">
        <v>14</v>
      </c>
      <c r="I221" s="56">
        <v>3.0000000000000001E-3</v>
      </c>
      <c r="J221" s="56">
        <v>9.8799999999999999E-2</v>
      </c>
      <c r="K221" s="38">
        <v>53278935.157198399</v>
      </c>
      <c r="L221" s="34">
        <f t="shared" si="161"/>
        <v>4.5494283316599454E-4</v>
      </c>
      <c r="M221" s="88">
        <v>104.19</v>
      </c>
      <c r="N221" s="88">
        <v>104.19</v>
      </c>
      <c r="O221" s="35">
        <v>14</v>
      </c>
      <c r="P221" s="56">
        <v>3.0000000000000001E-3</v>
      </c>
      <c r="Q221" s="56">
        <v>4.19E-2</v>
      </c>
      <c r="R221" s="62">
        <f t="shared" si="162"/>
        <v>-5.1729797999235536E-2</v>
      </c>
      <c r="S221" s="62">
        <f t="shared" si="163"/>
        <v>-5.180996753899441E-2</v>
      </c>
      <c r="T221" s="62">
        <f t="shared" si="164"/>
        <v>0</v>
      </c>
      <c r="U221" s="62">
        <f t="shared" si="165"/>
        <v>0</v>
      </c>
      <c r="V221" s="63">
        <f t="shared" si="166"/>
        <v>-5.6899999999999999E-2</v>
      </c>
    </row>
    <row r="222" spans="1:24">
      <c r="A222" s="181">
        <v>189</v>
      </c>
      <c r="B222" s="187" t="s">
        <v>263</v>
      </c>
      <c r="C222" s="147" t="s">
        <v>77</v>
      </c>
      <c r="D222" s="50">
        <v>74939342.260000005</v>
      </c>
      <c r="E222" s="34">
        <f>(D222/$D$238)</f>
        <v>6.5419499818836061E-4</v>
      </c>
      <c r="F222" s="88">
        <v>107.01</v>
      </c>
      <c r="G222" s="88">
        <v>107.01</v>
      </c>
      <c r="H222" s="35">
        <v>17</v>
      </c>
      <c r="I222" s="56">
        <v>5.7000000000000002E-3</v>
      </c>
      <c r="J222" s="56">
        <v>8.43E-2</v>
      </c>
      <c r="K222" s="50">
        <v>76404171.359999999</v>
      </c>
      <c r="L222" s="34">
        <f t="shared" si="161"/>
        <v>6.5240662339930897E-4</v>
      </c>
      <c r="M222" s="88">
        <v>107.66</v>
      </c>
      <c r="N222" s="88">
        <v>107.66</v>
      </c>
      <c r="O222" s="35">
        <v>17</v>
      </c>
      <c r="P222" s="56">
        <v>6.6E-3</v>
      </c>
      <c r="Q222" s="56">
        <v>9.0999999999999998E-2</v>
      </c>
      <c r="R222" s="62">
        <f t="shared" si="162"/>
        <v>1.9546863580918675E-2</v>
      </c>
      <c r="S222" s="62">
        <f t="shared" si="163"/>
        <v>6.074198673021133E-3</v>
      </c>
      <c r="T222" s="62">
        <f t="shared" si="164"/>
        <v>0</v>
      </c>
      <c r="U222" s="62">
        <f t="shared" si="165"/>
        <v>8.9999999999999976E-4</v>
      </c>
      <c r="V222" s="63">
        <f t="shared" si="166"/>
        <v>6.6999999999999976E-3</v>
      </c>
    </row>
    <row r="223" spans="1:24">
      <c r="A223" s="181">
        <v>190</v>
      </c>
      <c r="B223" s="148" t="s">
        <v>264</v>
      </c>
      <c r="C223" s="147" t="s">
        <v>80</v>
      </c>
      <c r="D223" s="50">
        <v>324115079.97000003</v>
      </c>
      <c r="E223" s="34">
        <v>0</v>
      </c>
      <c r="F223" s="88">
        <v>1.2087000000000001</v>
      </c>
      <c r="G223" s="88">
        <v>1.2087000000000001</v>
      </c>
      <c r="H223" s="35">
        <v>65</v>
      </c>
      <c r="I223" s="56">
        <v>0.14050000000000001</v>
      </c>
      <c r="J223" s="56">
        <v>0.13969999999999999</v>
      </c>
      <c r="K223" s="50">
        <v>324587365.61000001</v>
      </c>
      <c r="L223" s="34">
        <f t="shared" si="161"/>
        <v>2.7716149972743724E-3</v>
      </c>
      <c r="M223" s="88">
        <v>1.2104999999999999</v>
      </c>
      <c r="N223" s="88">
        <v>1.2104999999999999</v>
      </c>
      <c r="O223" s="35">
        <v>64</v>
      </c>
      <c r="P223" s="56">
        <v>0.14050000000000001</v>
      </c>
      <c r="Q223" s="56">
        <v>0.13969999999999999</v>
      </c>
      <c r="R223" s="62">
        <f t="shared" ref="R223:R224" si="167">((K223-D223)/D223)</f>
        <v>1.4571541689565948E-3</v>
      </c>
      <c r="S223" s="62">
        <f t="shared" ref="S223:S224" si="168">((N223-G223)/G223)</f>
        <v>1.4892032762470436E-3</v>
      </c>
      <c r="T223" s="62">
        <f t="shared" ref="T223" si="169">((O223-H223)/H223)</f>
        <v>-1.5384615384615385E-2</v>
      </c>
      <c r="U223" s="62">
        <f t="shared" ref="U223" si="170">P223-I223</f>
        <v>0</v>
      </c>
      <c r="V223" s="63">
        <f t="shared" ref="V223" si="171">Q223-J223</f>
        <v>0</v>
      </c>
    </row>
    <row r="224" spans="1:24">
      <c r="A224" s="181">
        <v>191</v>
      </c>
      <c r="B224" s="148" t="s">
        <v>265</v>
      </c>
      <c r="C224" s="147" t="s">
        <v>82</v>
      </c>
      <c r="D224" s="38">
        <v>5709750128.0200005</v>
      </c>
      <c r="E224" s="34">
        <f t="shared" ref="E224:E231" si="172">(D224/$D$238)</f>
        <v>4.9844178798588192E-2</v>
      </c>
      <c r="F224" s="88">
        <v>147.19</v>
      </c>
      <c r="G224" s="88">
        <v>147.19</v>
      </c>
      <c r="H224" s="35">
        <v>796</v>
      </c>
      <c r="I224" s="56">
        <v>2.2000000000000001E-3</v>
      </c>
      <c r="J224" s="56">
        <v>3.44E-2</v>
      </c>
      <c r="K224" s="38">
        <v>5844331172.6899996</v>
      </c>
      <c r="L224" s="34">
        <f t="shared" si="161"/>
        <v>4.9904086367700204E-2</v>
      </c>
      <c r="M224" s="88">
        <v>147.62</v>
      </c>
      <c r="N224" s="88">
        <v>147.62</v>
      </c>
      <c r="O224" s="35">
        <v>804</v>
      </c>
      <c r="P224" s="56">
        <v>2.5999999999999999E-3</v>
      </c>
      <c r="Q224" s="56">
        <v>3.7499999999999999E-2</v>
      </c>
      <c r="R224" s="62">
        <f t="shared" si="167"/>
        <v>2.3570391287274856E-2</v>
      </c>
      <c r="S224" s="62">
        <f t="shared" si="168"/>
        <v>2.9213941164481748E-3</v>
      </c>
      <c r="T224" s="62">
        <f t="shared" si="164"/>
        <v>1.0050251256281407E-2</v>
      </c>
      <c r="U224" s="62">
        <f t="shared" si="165"/>
        <v>3.9999999999999975E-4</v>
      </c>
      <c r="V224" s="63">
        <f t="shared" si="166"/>
        <v>3.0999999999999986E-3</v>
      </c>
    </row>
    <row r="225" spans="1:22">
      <c r="A225" s="181">
        <v>192</v>
      </c>
      <c r="B225" s="148" t="s">
        <v>266</v>
      </c>
      <c r="C225" s="147" t="s">
        <v>69</v>
      </c>
      <c r="D225" s="38">
        <v>998476701.70728505</v>
      </c>
      <c r="E225" s="34">
        <f t="shared" si="172"/>
        <v>8.716362385437857E-3</v>
      </c>
      <c r="F225" s="37">
        <v>1364.4688183957801</v>
      </c>
      <c r="G225" s="37">
        <v>1364.4688183957801</v>
      </c>
      <c r="H225" s="35">
        <v>349</v>
      </c>
      <c r="I225" s="56">
        <v>0.1174</v>
      </c>
      <c r="J225" s="56">
        <v>0.1173</v>
      </c>
      <c r="K225" s="38">
        <v>1022085522.77624</v>
      </c>
      <c r="L225" s="34">
        <f t="shared" si="161"/>
        <v>8.7274732893558096E-3</v>
      </c>
      <c r="M225" s="37">
        <v>1367.50045931158</v>
      </c>
      <c r="N225" s="37">
        <v>1367.50045931158</v>
      </c>
      <c r="O225" s="35">
        <v>348</v>
      </c>
      <c r="P225" s="56">
        <v>0.1159</v>
      </c>
      <c r="Q225" s="56">
        <v>0.11749999999999999</v>
      </c>
      <c r="R225" s="62">
        <f t="shared" si="162"/>
        <v>2.3644839212158344E-2</v>
      </c>
      <c r="S225" s="62">
        <f t="shared" si="163"/>
        <v>2.2218469743883612E-3</v>
      </c>
      <c r="T225" s="62">
        <f t="shared" si="164"/>
        <v>-2.8653295128939827E-3</v>
      </c>
      <c r="U225" s="62">
        <f t="shared" si="165"/>
        <v>-1.5000000000000013E-3</v>
      </c>
      <c r="V225" s="63">
        <f t="shared" si="166"/>
        <v>1.9999999999999185E-4</v>
      </c>
    </row>
    <row r="226" spans="1:22">
      <c r="A226" s="181">
        <v>193</v>
      </c>
      <c r="B226" s="148" t="s">
        <v>267</v>
      </c>
      <c r="C226" s="147" t="s">
        <v>255</v>
      </c>
      <c r="D226" s="38">
        <v>45605539982.910004</v>
      </c>
      <c r="E226" s="34">
        <f t="shared" si="172"/>
        <v>0.39812087011636144</v>
      </c>
      <c r="F226" s="37">
        <v>1309.3499999999999</v>
      </c>
      <c r="G226" s="37">
        <v>1309.3499999999999</v>
      </c>
      <c r="H226" s="35">
        <v>12693</v>
      </c>
      <c r="I226" s="56">
        <v>2.8999999999999998E-3</v>
      </c>
      <c r="J226" s="56">
        <v>3.8399999999999997E-2</v>
      </c>
      <c r="K226" s="38">
        <v>46074473024.220001</v>
      </c>
      <c r="L226" s="34">
        <f t="shared" si="161"/>
        <v>0.39342474154979068</v>
      </c>
      <c r="M226" s="37">
        <v>1313.27</v>
      </c>
      <c r="N226" s="37">
        <v>1313.27</v>
      </c>
      <c r="O226" s="35">
        <v>12782</v>
      </c>
      <c r="P226" s="56">
        <v>3.0000000000000001E-3</v>
      </c>
      <c r="Q226" s="56">
        <v>4.1399999999999999E-2</v>
      </c>
      <c r="R226" s="62">
        <f t="shared" si="162"/>
        <v>1.0282370113054757E-2</v>
      </c>
      <c r="S226" s="62">
        <f t="shared" si="163"/>
        <v>2.9938519112537314E-3</v>
      </c>
      <c r="T226" s="62">
        <f t="shared" si="164"/>
        <v>7.0117387536437403E-3</v>
      </c>
      <c r="U226" s="62">
        <f t="shared" si="165"/>
        <v>1.0000000000000026E-4</v>
      </c>
      <c r="V226" s="63">
        <f t="shared" si="166"/>
        <v>3.0000000000000027E-3</v>
      </c>
    </row>
    <row r="227" spans="1:22">
      <c r="A227" s="181">
        <v>194</v>
      </c>
      <c r="B227" s="148" t="s">
        <v>268</v>
      </c>
      <c r="C227" s="147" t="s">
        <v>269</v>
      </c>
      <c r="D227" s="38">
        <v>497290745.77999997</v>
      </c>
      <c r="E227" s="34">
        <f t="shared" si="172"/>
        <v>4.34117926210146E-3</v>
      </c>
      <c r="F227" s="89">
        <v>134.47999999999999</v>
      </c>
      <c r="G227" s="89">
        <v>134.97</v>
      </c>
      <c r="H227" s="52">
        <v>137</v>
      </c>
      <c r="I227" s="56">
        <v>-1.44E-2</v>
      </c>
      <c r="J227" s="56">
        <v>0.10639999999999999</v>
      </c>
      <c r="K227" s="38">
        <v>521388555.87</v>
      </c>
      <c r="L227" s="34">
        <f t="shared" si="161"/>
        <v>4.4520782198060951E-3</v>
      </c>
      <c r="M227" s="89">
        <v>135.43</v>
      </c>
      <c r="N227" s="89">
        <v>135.9</v>
      </c>
      <c r="O227" s="52">
        <v>139</v>
      </c>
      <c r="P227" s="56">
        <v>2.3199999999999998E-2</v>
      </c>
      <c r="Q227" s="56">
        <v>0.114</v>
      </c>
      <c r="R227" s="62">
        <f>((K227-D227)/D227)</f>
        <v>4.8458191298538331E-2</v>
      </c>
      <c r="S227" s="62">
        <f t="shared" si="163"/>
        <v>6.8904200933541295E-3</v>
      </c>
      <c r="T227" s="62">
        <f t="shared" si="164"/>
        <v>1.4598540145985401E-2</v>
      </c>
      <c r="U227" s="62">
        <f t="shared" si="165"/>
        <v>3.7599999999999995E-2</v>
      </c>
      <c r="V227" s="63">
        <f t="shared" si="166"/>
        <v>7.6000000000000095E-3</v>
      </c>
    </row>
    <row r="228" spans="1:22">
      <c r="A228" s="181">
        <v>195</v>
      </c>
      <c r="B228" s="148" t="s">
        <v>270</v>
      </c>
      <c r="C228" s="147" t="s">
        <v>269</v>
      </c>
      <c r="D228" s="38">
        <v>949505167.50999999</v>
      </c>
      <c r="E228" s="34">
        <f t="shared" si="172"/>
        <v>8.2888575293861063E-3</v>
      </c>
      <c r="F228" s="89">
        <v>141.66</v>
      </c>
      <c r="G228" s="89">
        <v>141.66</v>
      </c>
      <c r="H228" s="52">
        <v>134</v>
      </c>
      <c r="I228" s="56">
        <v>-3.0000000000000001E-3</v>
      </c>
      <c r="J228" s="56">
        <v>4.4499999999999998E-2</v>
      </c>
      <c r="K228" s="38">
        <v>953797754.44000006</v>
      </c>
      <c r="L228" s="34">
        <f t="shared" si="161"/>
        <v>8.1443717182412712E-3</v>
      </c>
      <c r="M228" s="89">
        <v>142.35</v>
      </c>
      <c r="N228" s="89">
        <v>142.35</v>
      </c>
      <c r="O228" s="52">
        <v>133</v>
      </c>
      <c r="P228" s="56">
        <v>-4.8999999999999998E-3</v>
      </c>
      <c r="Q228" s="56">
        <v>4.9599999999999998E-2</v>
      </c>
      <c r="R228" s="62">
        <f t="shared" si="162"/>
        <v>4.5208673705873833E-3</v>
      </c>
      <c r="S228" s="62">
        <f t="shared" si="163"/>
        <v>4.8708174502329364E-3</v>
      </c>
      <c r="T228" s="62">
        <f t="shared" si="164"/>
        <v>-7.462686567164179E-3</v>
      </c>
      <c r="U228" s="62">
        <f t="shared" si="165"/>
        <v>-1.8999999999999998E-3</v>
      </c>
      <c r="V228" s="63">
        <f t="shared" si="166"/>
        <v>5.1000000000000004E-3</v>
      </c>
    </row>
    <row r="229" spans="1:22" ht="13.5" customHeight="1">
      <c r="A229" s="181">
        <v>196</v>
      </c>
      <c r="B229" s="148" t="s">
        <v>271</v>
      </c>
      <c r="C229" s="147" t="s">
        <v>102</v>
      </c>
      <c r="D229" s="38">
        <v>3158459303</v>
      </c>
      <c r="E229" s="34">
        <f t="shared" si="172"/>
        <v>2.7572276666577935E-2</v>
      </c>
      <c r="F229" s="66">
        <v>104.49</v>
      </c>
      <c r="G229" s="66">
        <v>104.49</v>
      </c>
      <c r="H229" s="35">
        <v>854</v>
      </c>
      <c r="I229" s="56">
        <v>-3.3399999999999999E-2</v>
      </c>
      <c r="J229" s="56">
        <v>0.17469999999999999</v>
      </c>
      <c r="K229" s="38">
        <v>3269165508</v>
      </c>
      <c r="L229" s="34">
        <f t="shared" si="161"/>
        <v>2.791503647567033E-2</v>
      </c>
      <c r="M229" s="66">
        <v>104.89</v>
      </c>
      <c r="N229" s="66">
        <v>104.89</v>
      </c>
      <c r="O229" s="35">
        <v>864</v>
      </c>
      <c r="P229" s="56">
        <v>3.8999999999999998E-3</v>
      </c>
      <c r="Q229" s="56">
        <v>0.17499999999999999</v>
      </c>
      <c r="R229" s="62">
        <f t="shared" si="162"/>
        <v>3.5050698577894578E-2</v>
      </c>
      <c r="S229" s="62">
        <f t="shared" si="163"/>
        <v>3.8281175232080171E-3</v>
      </c>
      <c r="T229" s="62">
        <f t="shared" si="164"/>
        <v>1.1709601873536301E-2</v>
      </c>
      <c r="U229" s="62">
        <f t="shared" si="165"/>
        <v>3.73E-2</v>
      </c>
      <c r="V229" s="63">
        <f t="shared" si="166"/>
        <v>2.9999999999999472E-4</v>
      </c>
    </row>
    <row r="230" spans="1:22" ht="15.75" customHeight="1">
      <c r="A230" s="181">
        <v>197</v>
      </c>
      <c r="B230" s="148" t="s">
        <v>272</v>
      </c>
      <c r="C230" s="147" t="s">
        <v>48</v>
      </c>
      <c r="D230" s="38">
        <v>2355368338.54</v>
      </c>
      <c r="E230" s="34">
        <f t="shared" si="172"/>
        <v>2.0561565387351415E-2</v>
      </c>
      <c r="F230" s="66">
        <v>151.61000000000001</v>
      </c>
      <c r="G230" s="66">
        <v>151.61000000000001</v>
      </c>
      <c r="H230" s="35">
        <v>2565</v>
      </c>
      <c r="I230" s="56">
        <v>2.1600000000000001E-2</v>
      </c>
      <c r="J230" s="56">
        <v>5.2200000000000003E-2</v>
      </c>
      <c r="K230" s="38">
        <v>2429306562.48</v>
      </c>
      <c r="L230" s="34">
        <f t="shared" si="161"/>
        <v>2.0743575428122531E-2</v>
      </c>
      <c r="M230" s="66">
        <v>152.47999999999999</v>
      </c>
      <c r="N230" s="66">
        <v>152.47999999999999</v>
      </c>
      <c r="O230" s="35">
        <v>2626</v>
      </c>
      <c r="P230" s="56">
        <v>3.3999999999999998E-3</v>
      </c>
      <c r="Q230" s="56">
        <v>5.5800000000000002E-2</v>
      </c>
      <c r="R230" s="62">
        <f t="shared" si="162"/>
        <v>3.1391363605503611E-2</v>
      </c>
      <c r="S230" s="62">
        <f t="shared" si="163"/>
        <v>5.7384077567441197E-3</v>
      </c>
      <c r="T230" s="62">
        <f t="shared" si="164"/>
        <v>2.3781676413255362E-2</v>
      </c>
      <c r="U230" s="62">
        <f t="shared" si="165"/>
        <v>-1.8200000000000001E-2</v>
      </c>
      <c r="V230" s="63">
        <f t="shared" si="166"/>
        <v>3.599999999999999E-3</v>
      </c>
    </row>
    <row r="231" spans="1:22">
      <c r="A231" s="181">
        <v>198</v>
      </c>
      <c r="B231" s="148" t="s">
        <v>273</v>
      </c>
      <c r="C231" s="147" t="s">
        <v>51</v>
      </c>
      <c r="D231" s="38">
        <v>4176533512.4000001</v>
      </c>
      <c r="E231" s="34">
        <f t="shared" si="172"/>
        <v>3.6459718636155339E-2</v>
      </c>
      <c r="F231" s="66">
        <v>1.2558100000000001</v>
      </c>
      <c r="G231" s="66">
        <v>1.2558100000000001</v>
      </c>
      <c r="H231" s="35">
        <v>2179</v>
      </c>
      <c r="I231" s="56">
        <v>1.9E-3</v>
      </c>
      <c r="J231" s="56">
        <v>8.48E-2</v>
      </c>
      <c r="K231" s="38">
        <v>4172029793.52</v>
      </c>
      <c r="L231" s="34">
        <f t="shared" si="161"/>
        <v>3.5624493033068597E-2</v>
      </c>
      <c r="M231" s="66">
        <v>1.2586999999999999</v>
      </c>
      <c r="N231" s="66">
        <v>1.2586999999999999</v>
      </c>
      <c r="O231" s="35">
        <v>2185</v>
      </c>
      <c r="P231" s="56">
        <v>2.3E-3</v>
      </c>
      <c r="Q231" s="56">
        <v>8.6699999999999999E-2</v>
      </c>
      <c r="R231" s="62">
        <f t="shared" si="162"/>
        <v>-1.0783389781570557E-3</v>
      </c>
      <c r="S231" s="62">
        <f t="shared" si="163"/>
        <v>2.3013035411406477E-3</v>
      </c>
      <c r="T231" s="62">
        <f t="shared" si="164"/>
        <v>2.7535566773749425E-3</v>
      </c>
      <c r="U231" s="62">
        <f t="shared" si="165"/>
        <v>3.9999999999999996E-4</v>
      </c>
      <c r="V231" s="63">
        <f t="shared" si="166"/>
        <v>1.8999999999999989E-3</v>
      </c>
    </row>
    <row r="232" spans="1:22" ht="6" customHeight="1">
      <c r="A232" s="41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</row>
    <row r="233" spans="1:22">
      <c r="A233" s="196" t="s">
        <v>274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</row>
    <row r="234" spans="1:22">
      <c r="A234" s="181">
        <v>199</v>
      </c>
      <c r="B234" s="148" t="s">
        <v>275</v>
      </c>
      <c r="C234" s="147" t="s">
        <v>19</v>
      </c>
      <c r="D234" s="87">
        <v>551688207.78999996</v>
      </c>
      <c r="E234" s="34">
        <f>(D234/$D$210)</f>
        <v>3.6687303413955021E-2</v>
      </c>
      <c r="F234" s="88">
        <v>115.5865</v>
      </c>
      <c r="G234" s="88">
        <v>115.5865</v>
      </c>
      <c r="H234" s="36">
        <v>110</v>
      </c>
      <c r="I234" s="57">
        <v>5.8999999999999999E-3</v>
      </c>
      <c r="J234" s="57">
        <v>0.1021</v>
      </c>
      <c r="K234" s="87">
        <v>576504005.78999996</v>
      </c>
      <c r="L234" s="60">
        <f>(K234/K235)</f>
        <v>4.6232610450191641E-2</v>
      </c>
      <c r="M234" s="88">
        <v>115.6597</v>
      </c>
      <c r="N234" s="88">
        <v>115.6597</v>
      </c>
      <c r="O234" s="36">
        <v>110</v>
      </c>
      <c r="P234" s="57">
        <v>5.9999999999999995E-4</v>
      </c>
      <c r="Q234" s="57">
        <v>0.1028</v>
      </c>
      <c r="R234" s="62">
        <f>((K234-D234)/D234)</f>
        <v>4.4981563226463107E-2</v>
      </c>
      <c r="S234" s="62">
        <f t="shared" ref="S234" si="173">((N234-G234)/G234)</f>
        <v>6.3329195018449328E-4</v>
      </c>
      <c r="T234" s="62">
        <f t="shared" ref="T234" si="174">((O234-H234)/H234)</f>
        <v>0</v>
      </c>
      <c r="U234" s="62">
        <f t="shared" ref="U234" si="175">P234-I234</f>
        <v>-5.3E-3</v>
      </c>
      <c r="V234" s="63">
        <f t="shared" ref="V234" si="176">Q234-J234</f>
        <v>7.0000000000000617E-4</v>
      </c>
    </row>
    <row r="235" spans="1:22">
      <c r="A235" s="181">
        <v>200</v>
      </c>
      <c r="B235" s="148" t="s">
        <v>276</v>
      </c>
      <c r="C235" s="147" t="s">
        <v>23</v>
      </c>
      <c r="D235" s="87">
        <v>11919553300.870001</v>
      </c>
      <c r="E235" s="34">
        <f>(D235/$D$210)</f>
        <v>0.79265110679016648</v>
      </c>
      <c r="F235" s="88">
        <v>133.18289999999999</v>
      </c>
      <c r="G235" s="88">
        <v>137.1985</v>
      </c>
      <c r="H235" s="36">
        <v>5608</v>
      </c>
      <c r="I235" s="57">
        <v>0.45739999999999997</v>
      </c>
      <c r="J235" s="57">
        <v>1.0949</v>
      </c>
      <c r="K235" s="87">
        <v>12469639939.780001</v>
      </c>
      <c r="L235" s="60">
        <f>(K235/$K$210)</f>
        <v>0.80784244448766029</v>
      </c>
      <c r="M235" s="88">
        <v>133.83539999999999</v>
      </c>
      <c r="N235" s="88">
        <v>137.8706</v>
      </c>
      <c r="O235" s="36">
        <v>5789</v>
      </c>
      <c r="P235" s="57">
        <v>0.25540000000000002</v>
      </c>
      <c r="Q235" s="57">
        <v>1.0410999999999999</v>
      </c>
      <c r="R235" s="62">
        <f>((K235-D235)/D235)</f>
        <v>4.6149937420041517E-2</v>
      </c>
      <c r="S235" s="62">
        <f t="shared" ref="S235" si="177">((N235-G235)/G235)</f>
        <v>4.8987416043178343E-3</v>
      </c>
      <c r="T235" s="62">
        <f t="shared" ref="T235" si="178">((O235-H235)/H235)</f>
        <v>3.2275320970042799E-2</v>
      </c>
      <c r="U235" s="62">
        <f t="shared" ref="U235" si="179">P235-I235</f>
        <v>-0.20199999999999996</v>
      </c>
      <c r="V235" s="63">
        <f t="shared" ref="V235" si="180">Q235-J235</f>
        <v>-5.380000000000007E-2</v>
      </c>
    </row>
    <row r="236" spans="1:22">
      <c r="A236" s="181">
        <v>201</v>
      </c>
      <c r="B236" s="148" t="s">
        <v>277</v>
      </c>
      <c r="C236" s="147" t="s">
        <v>255</v>
      </c>
      <c r="D236" s="38">
        <v>347678988.39999998</v>
      </c>
      <c r="E236" s="34">
        <f t="shared" ref="E236" si="181">(D236/$D$238)</f>
        <v>3.0351194489716495E-3</v>
      </c>
      <c r="F236" s="37">
        <v>1482.66</v>
      </c>
      <c r="G236" s="37">
        <v>1482.66</v>
      </c>
      <c r="H236" s="35">
        <v>146</v>
      </c>
      <c r="I236" s="56">
        <v>5.4999999999999997E-3</v>
      </c>
      <c r="J236" s="56">
        <v>0.188</v>
      </c>
      <c r="K236" s="38">
        <v>349082016.32999998</v>
      </c>
      <c r="L236" s="34">
        <f t="shared" ref="L236" si="182">(K236/$K$238)</f>
        <v>2.9807720640041991E-3</v>
      </c>
      <c r="M236" s="37">
        <v>1488.64</v>
      </c>
      <c r="N236" s="37">
        <v>1488.64</v>
      </c>
      <c r="O236" s="35">
        <v>146</v>
      </c>
      <c r="P236" s="56">
        <v>4.0000000000000001E-3</v>
      </c>
      <c r="Q236" s="56">
        <v>0.1928</v>
      </c>
      <c r="R236" s="62">
        <f t="shared" ref="R236" si="183">((K236-D236)/D236)</f>
        <v>4.0354119081416635E-3</v>
      </c>
      <c r="S236" s="62">
        <f t="shared" ref="S236" si="184">((N236-G236)/G236)</f>
        <v>4.0332915165985578E-3</v>
      </c>
      <c r="T236" s="62">
        <f t="shared" ref="T236" si="185">((O236-H236)/H236)</f>
        <v>0</v>
      </c>
      <c r="U236" s="62">
        <f t="shared" ref="U236" si="186">P236-I236</f>
        <v>-1.4999999999999996E-3</v>
      </c>
      <c r="V236" s="63">
        <f t="shared" ref="V236" si="187">Q236-J236</f>
        <v>4.7999999999999987E-3</v>
      </c>
    </row>
    <row r="237" spans="1:22">
      <c r="A237" s="181">
        <v>202</v>
      </c>
      <c r="B237" s="148" t="s">
        <v>278</v>
      </c>
      <c r="C237" s="147" t="s">
        <v>279</v>
      </c>
      <c r="D237" s="38">
        <v>178487469.19999999</v>
      </c>
      <c r="E237" s="34">
        <f t="shared" ref="E237" si="188">(D237/$D$238)</f>
        <v>1.5581349671421451E-3</v>
      </c>
      <c r="F237" s="37">
        <v>119.2</v>
      </c>
      <c r="G237" s="37">
        <v>121.66</v>
      </c>
      <c r="H237" s="35">
        <v>307</v>
      </c>
      <c r="I237" s="56">
        <v>5.8999999999999999E-3</v>
      </c>
      <c r="J237" s="56">
        <v>9.64E-2</v>
      </c>
      <c r="K237" s="38">
        <v>186316445.72</v>
      </c>
      <c r="L237" s="34">
        <f t="shared" ref="L237" si="189">(K237/$K$238)</f>
        <v>1.5909351684898088E-3</v>
      </c>
      <c r="M237" s="37">
        <v>124.42</v>
      </c>
      <c r="N237" s="37">
        <v>126.98</v>
      </c>
      <c r="O237" s="35">
        <v>307</v>
      </c>
      <c r="P237" s="56">
        <v>4.3799999999999999E-2</v>
      </c>
      <c r="Q237" s="56">
        <v>0.14430000000000001</v>
      </c>
      <c r="R237" s="62">
        <f t="shared" ref="R237" si="190">((K237-D237)/D237)</f>
        <v>4.3862891636540786E-2</v>
      </c>
      <c r="S237" s="62">
        <f t="shared" ref="S237" si="191">((N237-G237)/G237)</f>
        <v>4.372842347525898E-2</v>
      </c>
      <c r="T237" s="62">
        <f t="shared" ref="T237" si="192">((O237-H237)/H237)</f>
        <v>0</v>
      </c>
      <c r="U237" s="62">
        <f t="shared" ref="U237" si="193">P237-I237</f>
        <v>3.7899999999999996E-2</v>
      </c>
      <c r="V237" s="63">
        <f t="shared" ref="V237" si="194">Q237-J237</f>
        <v>4.7900000000000012E-2</v>
      </c>
    </row>
    <row r="238" spans="1:22">
      <c r="A238" s="41"/>
      <c r="B238" s="42"/>
      <c r="C238" s="77" t="s">
        <v>54</v>
      </c>
      <c r="D238" s="65">
        <f>SUM(D214:D237)</f>
        <v>114551995150.56964</v>
      </c>
      <c r="E238" s="45">
        <f>(D238/$D$239)</f>
        <v>1.3329644959985057E-2</v>
      </c>
      <c r="F238" s="46"/>
      <c r="G238" s="80"/>
      <c r="H238" s="90">
        <f>SUM(H214:H237)</f>
        <v>48617</v>
      </c>
      <c r="I238" s="82"/>
      <c r="J238" s="82"/>
      <c r="K238" s="65">
        <f>SUM(K214:K237)</f>
        <v>117111274808.80344</v>
      </c>
      <c r="L238" s="45">
        <f>(K238/$K$239)</f>
        <v>1.3580563114189917E-2</v>
      </c>
      <c r="M238" s="46"/>
      <c r="N238" s="80"/>
      <c r="O238" s="48">
        <f>SUM(O214:O237)</f>
        <v>49084</v>
      </c>
      <c r="P238" s="82"/>
      <c r="Q238" s="82"/>
      <c r="R238" s="62">
        <f t="shared" si="162"/>
        <v>2.2341641931856553E-2</v>
      </c>
      <c r="S238" s="62" t="e">
        <f t="shared" si="163"/>
        <v>#DIV/0!</v>
      </c>
      <c r="T238" s="62">
        <f t="shared" si="164"/>
        <v>9.6056934817039304E-3</v>
      </c>
      <c r="U238" s="62">
        <f t="shared" si="165"/>
        <v>0</v>
      </c>
      <c r="V238" s="63">
        <f t="shared" si="166"/>
        <v>0</v>
      </c>
    </row>
    <row r="239" spans="1:22">
      <c r="A239" s="91"/>
      <c r="B239" s="91"/>
      <c r="C239" s="92" t="s">
        <v>280</v>
      </c>
      <c r="D239" s="93">
        <f>SUM(D26,D76,D118,D162,D171,D204,D210,D238)</f>
        <v>8593776915622.9697</v>
      </c>
      <c r="E239" s="94"/>
      <c r="F239" s="94"/>
      <c r="G239" s="95"/>
      <c r="H239" s="93">
        <f>SUM(H26,H76,H118,H162,H171,H204,H210,H238)</f>
        <v>1276077</v>
      </c>
      <c r="I239" s="105"/>
      <c r="J239" s="105"/>
      <c r="K239" s="93">
        <f>SUM(K26,K76,K118,K162,K171,K204,K210,K238)</f>
        <v>8623447630565.292</v>
      </c>
      <c r="L239" s="94"/>
      <c r="M239" s="94"/>
      <c r="N239" s="95"/>
      <c r="O239" s="93">
        <f>SUM(O26,O76,O118,O162,O171,O204,O210,O238)</f>
        <v>1287324</v>
      </c>
      <c r="P239" s="106"/>
      <c r="Q239" s="93"/>
      <c r="R239" s="110">
        <f t="shared" si="162"/>
        <v>3.4525814707131496E-3</v>
      </c>
      <c r="S239" s="110"/>
      <c r="T239" s="110"/>
      <c r="U239" s="110"/>
      <c r="V239" s="110"/>
    </row>
    <row r="240" spans="1:22" ht="6.75" customHeight="1">
      <c r="A240" s="41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42"/>
    </row>
    <row r="241" spans="1:22" ht="14.4" customHeight="1">
      <c r="A241" s="195" t="s">
        <v>281</v>
      </c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</row>
    <row r="242" spans="1:22" ht="14.4" customHeight="1">
      <c r="A242" s="181">
        <v>1</v>
      </c>
      <c r="B242" s="148" t="s">
        <v>282</v>
      </c>
      <c r="C242" s="147" t="s">
        <v>23</v>
      </c>
      <c r="D242" s="38">
        <v>2170665895.8228364</v>
      </c>
      <c r="E242" s="34">
        <f t="shared" ref="E242:E245" si="195">(D242/$D$238)</f>
        <v>1.8949175812867036E-2</v>
      </c>
      <c r="F242" s="37">
        <v>1445.4153685599999</v>
      </c>
      <c r="G242" s="37">
        <v>1445.4153685599999</v>
      </c>
      <c r="H242" s="35">
        <v>57</v>
      </c>
      <c r="I242" s="56">
        <v>3.9899999999999998E-2</v>
      </c>
      <c r="J242" s="56">
        <v>3.8600000000000002E-2</v>
      </c>
      <c r="K242" s="38">
        <f>1625551.9*FX_RATE</f>
        <v>2205694792.4806199</v>
      </c>
      <c r="L242" s="34">
        <f>(K242/$K$247)</f>
        <v>7.0265969040644555E-2</v>
      </c>
      <c r="M242" s="37">
        <f>1.0501*FX_RATE</f>
        <v>1424.86997898</v>
      </c>
      <c r="N242" s="37">
        <f>1.0501*FX_RATE</f>
        <v>1424.86997898</v>
      </c>
      <c r="O242" s="35">
        <v>58</v>
      </c>
      <c r="P242" s="56">
        <v>0.16439999999999999</v>
      </c>
      <c r="Q242" s="56">
        <v>4.7500000000000001E-2</v>
      </c>
      <c r="R242" s="62">
        <f t="shared" ref="R242" si="196">((K242-D242)/D242)</f>
        <v>1.6137396697111266E-2</v>
      </c>
      <c r="S242" s="62">
        <f t="shared" ref="S242" si="197">((N242-G242)/G242)</f>
        <v>-1.4214176787443673E-2</v>
      </c>
      <c r="T242" s="62">
        <f t="shared" ref="T242" si="198">((O242-H242)/H242)</f>
        <v>1.7543859649122806E-2</v>
      </c>
      <c r="U242" s="62">
        <f t="shared" ref="U242" si="199">P242-I242</f>
        <v>0.1245</v>
      </c>
      <c r="V242" s="63">
        <f t="shared" ref="V242" si="200">Q242-J242</f>
        <v>8.8999999999999982E-3</v>
      </c>
    </row>
    <row r="243" spans="1:22" ht="14.4" customHeight="1">
      <c r="A243" s="181">
        <v>2</v>
      </c>
      <c r="B243" s="148" t="s">
        <v>283</v>
      </c>
      <c r="C243" s="147" t="s">
        <v>211</v>
      </c>
      <c r="D243" s="38">
        <v>15313998391.42</v>
      </c>
      <c r="E243" s="34">
        <f t="shared" ref="E243" si="201">(D243/$D$238)</f>
        <v>0.13368600321007895</v>
      </c>
      <c r="F243" s="37">
        <v>123.2</v>
      </c>
      <c r="G243" s="37">
        <v>123.2</v>
      </c>
      <c r="H243" s="35">
        <v>9</v>
      </c>
      <c r="I243" s="56">
        <v>3.2000000000000002E-3</v>
      </c>
      <c r="J243" s="56">
        <v>2.7229000000000001</v>
      </c>
      <c r="K243" s="38">
        <v>15407016447.870001</v>
      </c>
      <c r="L243" s="34">
        <f>(K243/$K$247)</f>
        <v>0.49081538589353446</v>
      </c>
      <c r="M243" s="37">
        <v>123.2</v>
      </c>
      <c r="N243" s="37">
        <v>123.2</v>
      </c>
      <c r="O243" s="35">
        <v>9</v>
      </c>
      <c r="P243" s="56">
        <v>6.1000000000000004E-3</v>
      </c>
      <c r="Q243" s="56">
        <v>0.74</v>
      </c>
      <c r="R243" s="62">
        <f t="shared" ref="R243" si="202">((K243-D243)/D243)</f>
        <v>6.0740542131776732E-3</v>
      </c>
      <c r="S243" s="62">
        <f t="shared" ref="S243" si="203">((N243-G243)/G243)</f>
        <v>0</v>
      </c>
      <c r="T243" s="62">
        <f t="shared" ref="T243" si="204">((O243-H243)/H243)</f>
        <v>0</v>
      </c>
      <c r="U243" s="62">
        <f t="shared" ref="U243" si="205">P243-I243</f>
        <v>2.9000000000000002E-3</v>
      </c>
      <c r="V243" s="63">
        <f t="shared" ref="V243" si="206">Q243-J243</f>
        <v>-1.9829000000000001</v>
      </c>
    </row>
    <row r="244" spans="1:22" ht="14.4" customHeight="1">
      <c r="A244" s="181">
        <v>3</v>
      </c>
      <c r="B244" s="148" t="s">
        <v>284</v>
      </c>
      <c r="C244" s="147" t="s">
        <v>82</v>
      </c>
      <c r="D244" s="38">
        <v>1250377566.45261</v>
      </c>
      <c r="E244" s="34">
        <f>(D244/$D$238)</f>
        <v>1.0915371354371319E-2</v>
      </c>
      <c r="F244" s="37">
        <v>153337.19591000001</v>
      </c>
      <c r="G244" s="37">
        <v>153337.19591000001</v>
      </c>
      <c r="H244" s="35">
        <v>17</v>
      </c>
      <c r="I244" s="56">
        <v>5.7000000000000002E-3</v>
      </c>
      <c r="J244" s="56">
        <v>-6.6E-3</v>
      </c>
      <c r="K244" s="38">
        <f>912747.55*1359</f>
        <v>1240423920.45</v>
      </c>
      <c r="L244" s="34">
        <f>(K244/$K$247)</f>
        <v>3.9515706837023989E-2</v>
      </c>
      <c r="M244" s="37">
        <f>111.93*1359</f>
        <v>152112.87</v>
      </c>
      <c r="N244" s="37">
        <f>111.93*1359</f>
        <v>152112.87</v>
      </c>
      <c r="O244" s="35">
        <v>17</v>
      </c>
      <c r="P244" s="56">
        <v>7.7999999999999996E-3</v>
      </c>
      <c r="Q244" s="56">
        <v>1.2999999999999999E-3</v>
      </c>
      <c r="R244" s="62">
        <f t="shared" ref="R244:R245" si="207">((K244-D244)/D244)</f>
        <v>-7.9605123041746589E-3</v>
      </c>
      <c r="S244" s="62">
        <f t="shared" ref="S244:S245" si="208">((N244-G244)/G244)</f>
        <v>-7.9845330595364611E-3</v>
      </c>
      <c r="T244" s="62">
        <f t="shared" ref="T244:T245" si="209">((O244-H244)/H244)</f>
        <v>0</v>
      </c>
      <c r="U244" s="62">
        <f t="shared" ref="U244:U245" si="210">P244-I244</f>
        <v>2.0999999999999994E-3</v>
      </c>
      <c r="V244" s="63">
        <f t="shared" ref="V244:V245" si="211">Q244-J244</f>
        <v>7.9000000000000008E-3</v>
      </c>
    </row>
    <row r="245" spans="1:22" ht="14.4" customHeight="1">
      <c r="A245" s="181">
        <v>4</v>
      </c>
      <c r="B245" s="148" t="s">
        <v>285</v>
      </c>
      <c r="C245" s="147" t="s">
        <v>40</v>
      </c>
      <c r="D245" s="38">
        <v>12218760726.4</v>
      </c>
      <c r="E245" s="34">
        <f t="shared" si="195"/>
        <v>0.10666562996427426</v>
      </c>
      <c r="F245" s="37">
        <v>1.17</v>
      </c>
      <c r="G245" s="37">
        <v>1.17</v>
      </c>
      <c r="H245" s="35">
        <v>16</v>
      </c>
      <c r="I245" s="56">
        <v>2.1999999999999999E-2</v>
      </c>
      <c r="J245" s="56">
        <v>-0.32919999999999999</v>
      </c>
      <c r="K245" s="38">
        <v>12263252683.940001</v>
      </c>
      <c r="L245" s="34">
        <f>(K245/$K$247)</f>
        <v>0.39066571511384679</v>
      </c>
      <c r="M245" s="37">
        <v>1.18</v>
      </c>
      <c r="N245" s="37">
        <v>1.18</v>
      </c>
      <c r="O245" s="35">
        <v>16</v>
      </c>
      <c r="P245" s="56">
        <v>2.5700000000000001E-2</v>
      </c>
      <c r="Q245" s="56">
        <v>-0.29399999999999998</v>
      </c>
      <c r="R245" s="62">
        <f t="shared" si="207"/>
        <v>3.6412823310199589E-3</v>
      </c>
      <c r="S245" s="62">
        <f t="shared" si="208"/>
        <v>8.5470085470085548E-3</v>
      </c>
      <c r="T245" s="62">
        <f t="shared" si="209"/>
        <v>0</v>
      </c>
      <c r="U245" s="62">
        <f t="shared" si="210"/>
        <v>3.7000000000000019E-3</v>
      </c>
      <c r="V245" s="63">
        <f t="shared" si="211"/>
        <v>3.5200000000000009E-2</v>
      </c>
    </row>
    <row r="246" spans="1:22" ht="14.4" customHeight="1">
      <c r="A246" s="181">
        <v>5</v>
      </c>
      <c r="B246" s="148" t="s">
        <v>286</v>
      </c>
      <c r="C246" s="147" t="s">
        <v>51</v>
      </c>
      <c r="D246" s="38">
        <v>286846012.20999998</v>
      </c>
      <c r="E246" s="34">
        <f t="shared" ref="E246" si="212">(D246/$D$238)</f>
        <v>2.5040682341059477E-3</v>
      </c>
      <c r="F246" s="37">
        <v>1.3652599999999999</v>
      </c>
      <c r="G246" s="37">
        <v>1.3652599999999999</v>
      </c>
      <c r="H246" s="35">
        <v>27</v>
      </c>
      <c r="I246" s="56">
        <v>-2.5999999999999999E-3</v>
      </c>
      <c r="J246" s="56">
        <v>0.2243</v>
      </c>
      <c r="K246" s="38">
        <v>274267156.47000003</v>
      </c>
      <c r="L246" s="34">
        <f>(K246/$K$247)</f>
        <v>8.7372231149500552E-3</v>
      </c>
      <c r="M246" s="37">
        <v>1.39296</v>
      </c>
      <c r="N246" s="37">
        <v>1.39296</v>
      </c>
      <c r="O246" s="35">
        <v>27</v>
      </c>
      <c r="P246" s="56">
        <v>0.02</v>
      </c>
      <c r="Q246" s="56">
        <v>0.2492</v>
      </c>
      <c r="R246" s="62">
        <f t="shared" ref="R246:R247" si="213">((K246-D246)/D246)</f>
        <v>-4.3852294278335542E-2</v>
      </c>
      <c r="S246" s="62">
        <f t="shared" ref="S246" si="214">((N246-G246)/G246)</f>
        <v>2.0289175688147355E-2</v>
      </c>
      <c r="T246" s="62">
        <f t="shared" ref="T246" si="215">((O246-H246)/H246)</f>
        <v>0</v>
      </c>
      <c r="U246" s="62">
        <f t="shared" ref="U246" si="216">P246-I246</f>
        <v>2.2600000000000002E-2</v>
      </c>
      <c r="V246" s="63">
        <f t="shared" ref="V246" si="217">Q246-J246</f>
        <v>2.4900000000000005E-2</v>
      </c>
    </row>
    <row r="247" spans="1:22" ht="14.4" customHeight="1">
      <c r="A247" s="96"/>
      <c r="B247" s="96"/>
      <c r="C247" s="96" t="s">
        <v>54</v>
      </c>
      <c r="D247" s="96">
        <f>SUM(D242:D246)</f>
        <v>31240648592.305443</v>
      </c>
      <c r="E247" s="96"/>
      <c r="F247" s="96"/>
      <c r="G247" s="96"/>
      <c r="H247" s="96">
        <f>SUM(H242:H246)</f>
        <v>126</v>
      </c>
      <c r="I247" s="96"/>
      <c r="J247" s="96"/>
      <c r="K247" s="96">
        <f>SUM(K242:K246)</f>
        <v>31390655001.210625</v>
      </c>
      <c r="L247" s="45"/>
      <c r="M247" s="96"/>
      <c r="N247" s="96"/>
      <c r="O247" s="96">
        <f>SUM(O242:O246)</f>
        <v>127</v>
      </c>
      <c r="P247" s="96"/>
      <c r="Q247" s="96"/>
      <c r="R247" s="110">
        <f t="shared" si="213"/>
        <v>4.8016419525338666E-3</v>
      </c>
      <c r="S247" s="96"/>
      <c r="T247" s="96"/>
      <c r="U247" s="96"/>
      <c r="V247" s="96"/>
    </row>
    <row r="248" spans="1:22" ht="6" customHeight="1">
      <c r="A248" s="41"/>
      <c r="B248" s="49"/>
      <c r="C248" s="77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2"/>
    </row>
    <row r="249" spans="1:22" ht="15.6">
      <c r="A249" s="195" t="s">
        <v>287</v>
      </c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</row>
    <row r="250" spans="1:22">
      <c r="A250" s="181">
        <v>1</v>
      </c>
      <c r="B250" s="148" t="s">
        <v>288</v>
      </c>
      <c r="C250" s="147" t="s">
        <v>289</v>
      </c>
      <c r="D250" s="38">
        <v>134147737268</v>
      </c>
      <c r="E250" s="34">
        <f>(D250/$D$252)</f>
        <v>0.91356311803076984</v>
      </c>
      <c r="F250" s="66">
        <v>108.35</v>
      </c>
      <c r="G250" s="66">
        <v>108.35</v>
      </c>
      <c r="H250" s="35">
        <v>0</v>
      </c>
      <c r="I250" s="56">
        <v>1.2800000000000001E-2</v>
      </c>
      <c r="J250" s="56">
        <v>0.1363</v>
      </c>
      <c r="K250" s="38">
        <v>134147737268</v>
      </c>
      <c r="L250" s="34">
        <f>(K250/$K$252)</f>
        <v>0.91334481646422605</v>
      </c>
      <c r="M250" s="66">
        <v>108.35</v>
      </c>
      <c r="N250" s="66">
        <v>108.35</v>
      </c>
      <c r="O250" s="35">
        <v>0</v>
      </c>
      <c r="P250" s="56">
        <v>1.2800000000000001E-2</v>
      </c>
      <c r="Q250" s="56">
        <v>0.1363</v>
      </c>
      <c r="R250" s="62">
        <f>((K250-D250)/D250)</f>
        <v>0</v>
      </c>
      <c r="S250" s="62">
        <f>((N250-G250)/G250)</f>
        <v>0</v>
      </c>
      <c r="T250" s="62" t="e">
        <f>((O250-H250)/H250)</f>
        <v>#DIV/0!</v>
      </c>
      <c r="U250" s="62">
        <f>P250-I250</f>
        <v>0</v>
      </c>
      <c r="V250" s="63">
        <f>Q250-J250</f>
        <v>0</v>
      </c>
    </row>
    <row r="251" spans="1:22" ht="14.4" customHeight="1">
      <c r="A251" s="181">
        <v>2</v>
      </c>
      <c r="B251" s="148" t="s">
        <v>290</v>
      </c>
      <c r="C251" s="147" t="s">
        <v>51</v>
      </c>
      <c r="D251" s="38">
        <v>12692403955.26</v>
      </c>
      <c r="E251" s="34">
        <f>(D251/$D$252)</f>
        <v>8.6436881969230064E-2</v>
      </c>
      <c r="F251" s="97">
        <v>1000000</v>
      </c>
      <c r="G251" s="97">
        <v>1000000</v>
      </c>
      <c r="H251" s="35">
        <v>26</v>
      </c>
      <c r="I251" s="56">
        <v>0.1701</v>
      </c>
      <c r="J251" s="56">
        <v>0.1701</v>
      </c>
      <c r="K251" s="38">
        <v>12727500703.26</v>
      </c>
      <c r="L251" s="34">
        <f>(K251/$K$252)</f>
        <v>8.665518353577388E-2</v>
      </c>
      <c r="M251" s="97">
        <v>1000000</v>
      </c>
      <c r="N251" s="97">
        <v>1000000</v>
      </c>
      <c r="O251" s="35">
        <v>26</v>
      </c>
      <c r="P251" s="56">
        <v>0.17019999999999999</v>
      </c>
      <c r="Q251" s="56">
        <v>0.17019999999999999</v>
      </c>
      <c r="R251" s="62">
        <f>((K251-D251)/D251)</f>
        <v>2.7651773551892952E-3</v>
      </c>
      <c r="S251" s="62">
        <f>((N251-G251)/G251)</f>
        <v>0</v>
      </c>
      <c r="T251" s="62">
        <f>((O251-H251)/H251)</f>
        <v>0</v>
      </c>
      <c r="U251" s="62">
        <f>P251-I251</f>
        <v>9.9999999999988987E-5</v>
      </c>
      <c r="V251" s="63">
        <f>Q251-J251</f>
        <v>9.9999999999988987E-5</v>
      </c>
    </row>
    <row r="252" spans="1:22" ht="15" customHeight="1">
      <c r="A252" s="91"/>
      <c r="B252" s="91"/>
      <c r="C252" s="92" t="s">
        <v>291</v>
      </c>
      <c r="D252" s="96">
        <f>SUM(D250:D251)</f>
        <v>146840141223.26001</v>
      </c>
      <c r="E252" s="98"/>
      <c r="F252" s="99"/>
      <c r="G252" s="99"/>
      <c r="H252" s="96">
        <f>SUM(H250:H251)</f>
        <v>26</v>
      </c>
      <c r="I252" s="107"/>
      <c r="J252" s="107"/>
      <c r="K252" s="96">
        <f>SUM(K250:K251)</f>
        <v>146875237971.26001</v>
      </c>
      <c r="L252" s="98"/>
      <c r="M252" s="99"/>
      <c r="N252" s="99"/>
      <c r="O252" s="96">
        <f>SUM(O250:O251)</f>
        <v>26</v>
      </c>
      <c r="P252" s="107"/>
      <c r="Q252" s="96"/>
      <c r="R252" s="110">
        <f>((K252-D252)/D252)</f>
        <v>2.3901330867448489E-4</v>
      </c>
      <c r="S252" s="111"/>
      <c r="T252" s="111"/>
      <c r="U252" s="110"/>
      <c r="V252" s="112"/>
    </row>
    <row r="253" spans="1:22" ht="4.5" customHeight="1">
      <c r="A253" s="41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</row>
    <row r="254" spans="1:22" ht="15.6">
      <c r="A254" s="195" t="s">
        <v>292</v>
      </c>
      <c r="B254" s="195"/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</row>
    <row r="255" spans="1:22">
      <c r="A255" s="181">
        <v>1</v>
      </c>
      <c r="B255" s="148" t="s">
        <v>293</v>
      </c>
      <c r="C255" s="147" t="s">
        <v>92</v>
      </c>
      <c r="D255" s="100">
        <v>1883585723.8599999</v>
      </c>
      <c r="E255" s="101">
        <f t="shared" ref="E255:E266" si="218">(D255/$D$267)</f>
        <v>7.5699188006168261E-2</v>
      </c>
      <c r="F255" s="97">
        <v>460.31686387000002</v>
      </c>
      <c r="G255" s="97">
        <v>460.31686387000002</v>
      </c>
      <c r="H255" s="102">
        <v>266</v>
      </c>
      <c r="I255" s="58">
        <v>5.4000000000000003E-3</v>
      </c>
      <c r="J255" s="58">
        <v>0.30399999999999999</v>
      </c>
      <c r="K255" s="100">
        <v>1901915691.75</v>
      </c>
      <c r="L255" s="101">
        <f t="shared" ref="L255:L266" si="219">(K255/$K$267)</f>
        <v>7.5331169885737376E-2</v>
      </c>
      <c r="M255" s="97">
        <v>464.69216061999998</v>
      </c>
      <c r="N255" s="97">
        <v>464.69216061999998</v>
      </c>
      <c r="O255" s="102">
        <v>266</v>
      </c>
      <c r="P255" s="58">
        <v>9.5999999999999992E-3</v>
      </c>
      <c r="Q255" s="58">
        <v>0.31640000000000001</v>
      </c>
      <c r="R255" s="62">
        <f>((K255-D255)/D255)</f>
        <v>9.7314221794147053E-3</v>
      </c>
      <c r="S255" s="62">
        <f>((N255-G255)/G255)</f>
        <v>9.5049673244984711E-3</v>
      </c>
      <c r="T255" s="62">
        <f>((O255-H255)/H255)</f>
        <v>0</v>
      </c>
      <c r="U255" s="62">
        <f>P255-I255</f>
        <v>4.1999999999999989E-3</v>
      </c>
      <c r="V255" s="63">
        <f>Q255-J255</f>
        <v>1.2400000000000022E-2</v>
      </c>
    </row>
    <row r="256" spans="1:22">
      <c r="A256" s="181">
        <v>2</v>
      </c>
      <c r="B256" s="148" t="s">
        <v>294</v>
      </c>
      <c r="C256" s="147" t="s">
        <v>255</v>
      </c>
      <c r="D256" s="100">
        <v>2953909640.4899998</v>
      </c>
      <c r="E256" s="101">
        <f t="shared" si="218"/>
        <v>0.11871430028172449</v>
      </c>
      <c r="F256" s="97">
        <v>84.02</v>
      </c>
      <c r="G256" s="97">
        <v>92.86</v>
      </c>
      <c r="H256" s="102">
        <v>952</v>
      </c>
      <c r="I256" s="58">
        <v>7.1999999999999998E-3</v>
      </c>
      <c r="J256" s="58">
        <v>0.43290000000000001</v>
      </c>
      <c r="K256" s="100">
        <v>2975436355.27</v>
      </c>
      <c r="L256" s="101">
        <f t="shared" si="219"/>
        <v>0.11785122891372958</v>
      </c>
      <c r="M256" s="97">
        <v>84.63</v>
      </c>
      <c r="N256" s="97">
        <v>93.54</v>
      </c>
      <c r="O256" s="102">
        <v>1805</v>
      </c>
      <c r="P256" s="58">
        <v>7.3000000000000001E-3</v>
      </c>
      <c r="Q256" s="58">
        <v>0.44330000000000003</v>
      </c>
      <c r="R256" s="62">
        <f t="shared" ref="R256:R267" si="220">((K256-D256)/D256)</f>
        <v>7.2875332694433128E-3</v>
      </c>
      <c r="S256" s="62">
        <f t="shared" ref="S256:S267" si="221">((N256-G256)/G256)</f>
        <v>7.3228516045660864E-3</v>
      </c>
      <c r="T256" s="62">
        <f t="shared" ref="T256:T267" si="222">((O256-H256)/H256)</f>
        <v>0.89600840336134457</v>
      </c>
      <c r="U256" s="62">
        <f t="shared" ref="U256:U267" si="223">P256-I256</f>
        <v>1.0000000000000026E-4</v>
      </c>
      <c r="V256" s="63">
        <f t="shared" ref="V256:V267" si="224">Q256-J256</f>
        <v>1.040000000000002E-2</v>
      </c>
    </row>
    <row r="257" spans="1:26">
      <c r="A257" s="181">
        <v>3</v>
      </c>
      <c r="B257" s="148" t="s">
        <v>295</v>
      </c>
      <c r="C257" s="147" t="s">
        <v>42</v>
      </c>
      <c r="D257" s="100">
        <v>680401163.46000004</v>
      </c>
      <c r="E257" s="101">
        <f t="shared" si="218"/>
        <v>2.7344556151564042E-2</v>
      </c>
      <c r="F257" s="97">
        <v>56.688287000000003</v>
      </c>
      <c r="G257" s="97">
        <v>56.897675999999997</v>
      </c>
      <c r="H257" s="102">
        <v>219</v>
      </c>
      <c r="I257" s="58">
        <v>8.1725275470105885E-3</v>
      </c>
      <c r="J257" s="58">
        <v>0.4021547814572064</v>
      </c>
      <c r="K257" s="100">
        <v>693021935.61000001</v>
      </c>
      <c r="L257" s="101">
        <f t="shared" si="219"/>
        <v>2.7449246773890001E-2</v>
      </c>
      <c r="M257" s="97">
        <v>57.739798999999998</v>
      </c>
      <c r="N257" s="97">
        <v>57.962322999999998</v>
      </c>
      <c r="O257" s="102">
        <v>871</v>
      </c>
      <c r="P257" s="58">
        <v>1.8499999999999999E-2</v>
      </c>
      <c r="Q257" s="58">
        <v>0.42820000000000003</v>
      </c>
      <c r="R257" s="62">
        <f t="shared" si="220"/>
        <v>1.8549016121342854E-2</v>
      </c>
      <c r="S257" s="62">
        <f t="shared" si="221"/>
        <v>1.8711607834386784E-2</v>
      </c>
      <c r="T257" s="62">
        <f t="shared" si="222"/>
        <v>2.9771689497716896</v>
      </c>
      <c r="U257" s="62">
        <f t="shared" si="223"/>
        <v>1.0327472452989411E-2</v>
      </c>
      <c r="V257" s="63">
        <f t="shared" si="224"/>
        <v>2.6045218542793624E-2</v>
      </c>
    </row>
    <row r="258" spans="1:26">
      <c r="A258" s="181">
        <v>4</v>
      </c>
      <c r="B258" s="148" t="s">
        <v>296</v>
      </c>
      <c r="C258" s="147" t="s">
        <v>42</v>
      </c>
      <c r="D258" s="100">
        <v>1300543324.1800001</v>
      </c>
      <c r="E258" s="101">
        <f t="shared" si="218"/>
        <v>5.226737087681723E-2</v>
      </c>
      <c r="F258" s="97">
        <v>110.439222</v>
      </c>
      <c r="G258" s="97">
        <v>110.85367599999999</v>
      </c>
      <c r="H258" s="102">
        <v>261</v>
      </c>
      <c r="I258" s="58">
        <v>-2.9647938943281327E-3</v>
      </c>
      <c r="J258" s="58">
        <v>0.32571954260817582</v>
      </c>
      <c r="K258" s="100">
        <v>1339587208.51</v>
      </c>
      <c r="L258" s="101">
        <f t="shared" si="219"/>
        <v>5.3058435775444515E-2</v>
      </c>
      <c r="M258" s="97">
        <v>113.754741</v>
      </c>
      <c r="N258" s="97">
        <v>114.194852</v>
      </c>
      <c r="O258" s="102">
        <v>981</v>
      </c>
      <c r="P258" s="58">
        <v>0.03</v>
      </c>
      <c r="Q258" s="58">
        <v>0.36549999999999999</v>
      </c>
      <c r="R258" s="62">
        <f t="shared" si="220"/>
        <v>3.0021210062046427E-2</v>
      </c>
      <c r="S258" s="62">
        <f t="shared" si="221"/>
        <v>3.014041681396298E-2</v>
      </c>
      <c r="T258" s="62">
        <f t="shared" si="222"/>
        <v>2.7586206896551726</v>
      </c>
      <c r="U258" s="62">
        <f t="shared" si="223"/>
        <v>3.2964793894328132E-2</v>
      </c>
      <c r="V258" s="63">
        <f t="shared" si="224"/>
        <v>3.9780457391824176E-2</v>
      </c>
    </row>
    <row r="259" spans="1:26">
      <c r="A259" s="181">
        <v>5</v>
      </c>
      <c r="B259" s="148" t="s">
        <v>297</v>
      </c>
      <c r="C259" s="147" t="s">
        <v>298</v>
      </c>
      <c r="D259" s="100">
        <v>1995635881</v>
      </c>
      <c r="E259" s="101">
        <f t="shared" si="218"/>
        <v>8.0202357574728877E-2</v>
      </c>
      <c r="F259" s="97">
        <v>58005</v>
      </c>
      <c r="G259" s="97">
        <v>65145</v>
      </c>
      <c r="H259" s="102">
        <v>386</v>
      </c>
      <c r="I259" s="58">
        <v>2.9000000000000001E-2</v>
      </c>
      <c r="J259" s="58">
        <v>0.01</v>
      </c>
      <c r="K259" s="100">
        <v>2021212701.1800001</v>
      </c>
      <c r="L259" s="101">
        <f t="shared" si="219"/>
        <v>8.0056291679102873E-2</v>
      </c>
      <c r="M259" s="97">
        <v>58120</v>
      </c>
      <c r="N259" s="97">
        <v>64050</v>
      </c>
      <c r="O259" s="102">
        <v>386</v>
      </c>
      <c r="P259" s="58">
        <v>1.2999999999999999E-2</v>
      </c>
      <c r="Q259" s="58">
        <v>0.03</v>
      </c>
      <c r="R259" s="62">
        <f t="shared" si="220"/>
        <v>1.2816376185410983E-2</v>
      </c>
      <c r="S259" s="62">
        <f t="shared" si="221"/>
        <v>-1.6808657609947042E-2</v>
      </c>
      <c r="T259" s="62">
        <f t="shared" si="222"/>
        <v>0</v>
      </c>
      <c r="U259" s="62">
        <f t="shared" si="223"/>
        <v>-1.6E-2</v>
      </c>
      <c r="V259" s="63">
        <f t="shared" si="224"/>
        <v>1.9999999999999997E-2</v>
      </c>
    </row>
    <row r="260" spans="1:26">
      <c r="A260" s="181">
        <v>6</v>
      </c>
      <c r="B260" s="148" t="s">
        <v>299</v>
      </c>
      <c r="C260" s="147" t="s">
        <v>300</v>
      </c>
      <c r="D260" s="100">
        <v>1309088814.49</v>
      </c>
      <c r="E260" s="101">
        <f t="shared" si="218"/>
        <v>5.2610804504173422E-2</v>
      </c>
      <c r="F260" s="97">
        <v>14019.3</v>
      </c>
      <c r="G260" s="97">
        <v>14019.3</v>
      </c>
      <c r="H260" s="102">
        <v>777</v>
      </c>
      <c r="I260" s="58">
        <v>9.7999999999999997E-3</v>
      </c>
      <c r="J260" s="58">
        <v>0.32869999999999999</v>
      </c>
      <c r="K260" s="100">
        <v>1341435672.73</v>
      </c>
      <c r="L260" s="101">
        <f t="shared" si="219"/>
        <v>5.3131649836818812E-2</v>
      </c>
      <c r="M260" s="97">
        <v>10350</v>
      </c>
      <c r="N260" s="97">
        <v>10350</v>
      </c>
      <c r="O260" s="102">
        <v>777</v>
      </c>
      <c r="P260" s="58">
        <v>2.4799999999999999E-2</v>
      </c>
      <c r="Q260" s="58">
        <v>0.36159999999999998</v>
      </c>
      <c r="R260" s="62">
        <f t="shared" si="220"/>
        <v>2.4709445136158945E-2</v>
      </c>
      <c r="S260" s="62">
        <f t="shared" si="221"/>
        <v>-0.26173204082942797</v>
      </c>
      <c r="T260" s="62">
        <f t="shared" si="222"/>
        <v>0</v>
      </c>
      <c r="U260" s="62">
        <f t="shared" si="223"/>
        <v>1.4999999999999999E-2</v>
      </c>
      <c r="V260" s="63">
        <f t="shared" si="224"/>
        <v>3.2899999999999985E-2</v>
      </c>
    </row>
    <row r="261" spans="1:26">
      <c r="A261" s="181">
        <v>7</v>
      </c>
      <c r="B261" s="148" t="s">
        <v>301</v>
      </c>
      <c r="C261" s="147" t="s">
        <v>300</v>
      </c>
      <c r="D261" s="100">
        <v>1377125704.76</v>
      </c>
      <c r="E261" s="101">
        <f t="shared" si="218"/>
        <v>5.5345130466970205E-2</v>
      </c>
      <c r="F261" s="97">
        <v>4050</v>
      </c>
      <c r="G261" s="97">
        <v>4050</v>
      </c>
      <c r="H261" s="102">
        <v>5505</v>
      </c>
      <c r="I261" s="58">
        <v>5.0000000000000001E-3</v>
      </c>
      <c r="J261" s="58">
        <v>0.26729999999999998</v>
      </c>
      <c r="K261" s="100">
        <v>1391704001.6400001</v>
      </c>
      <c r="L261" s="101">
        <f t="shared" si="219"/>
        <v>5.5122680270721508E-2</v>
      </c>
      <c r="M261" s="97">
        <v>4177.3</v>
      </c>
      <c r="N261" s="97">
        <v>4177.3</v>
      </c>
      <c r="O261" s="102">
        <v>5505</v>
      </c>
      <c r="P261" s="58">
        <v>1.0699999999999999E-2</v>
      </c>
      <c r="Q261" s="58">
        <v>0.28079999999999999</v>
      </c>
      <c r="R261" s="62">
        <f t="shared" si="220"/>
        <v>1.0586032073623056E-2</v>
      </c>
      <c r="S261" s="62">
        <f t="shared" si="221"/>
        <v>3.1432098765432147E-2</v>
      </c>
      <c r="T261" s="62">
        <f t="shared" si="222"/>
        <v>0</v>
      </c>
      <c r="U261" s="62">
        <f t="shared" si="223"/>
        <v>5.6999999999999993E-3</v>
      </c>
      <c r="V261" s="63">
        <f t="shared" si="224"/>
        <v>1.3500000000000012E-2</v>
      </c>
    </row>
    <row r="262" spans="1:26">
      <c r="A262" s="181">
        <v>8</v>
      </c>
      <c r="B262" s="148" t="s">
        <v>302</v>
      </c>
      <c r="C262" s="147" t="s">
        <v>303</v>
      </c>
      <c r="D262" s="100">
        <v>508973937.33999997</v>
      </c>
      <c r="E262" s="101">
        <f t="shared" si="218"/>
        <v>2.045508908083234E-2</v>
      </c>
      <c r="F262" s="97">
        <v>42.69</v>
      </c>
      <c r="G262" s="97">
        <v>42.79</v>
      </c>
      <c r="H262" s="102">
        <v>2565</v>
      </c>
      <c r="I262" s="58">
        <v>2.8500000000000001E-2</v>
      </c>
      <c r="J262" s="58">
        <v>0.60899999999999999</v>
      </c>
      <c r="K262" s="100">
        <v>515906331.69</v>
      </c>
      <c r="L262" s="101">
        <f t="shared" si="219"/>
        <v>2.0434043257673208E-2</v>
      </c>
      <c r="M262" s="97">
        <v>43.16</v>
      </c>
      <c r="N262" s="97">
        <v>43.26</v>
      </c>
      <c r="O262" s="102">
        <v>3175</v>
      </c>
      <c r="P262" s="58">
        <v>4.2099999999999999E-2</v>
      </c>
      <c r="Q262" s="58">
        <v>0.67669999999999997</v>
      </c>
      <c r="R262" s="62">
        <f t="shared" si="220"/>
        <v>1.3620332676030739E-2</v>
      </c>
      <c r="S262" s="62">
        <f t="shared" si="221"/>
        <v>1.0983874737088079E-2</v>
      </c>
      <c r="T262" s="62">
        <f t="shared" si="222"/>
        <v>0.23781676413255359</v>
      </c>
      <c r="U262" s="62">
        <f t="shared" si="223"/>
        <v>1.3599999999999998E-2</v>
      </c>
      <c r="V262" s="63">
        <f t="shared" si="224"/>
        <v>6.7699999999999982E-2</v>
      </c>
    </row>
    <row r="263" spans="1:26">
      <c r="A263" s="181">
        <v>9</v>
      </c>
      <c r="B263" s="148" t="s">
        <v>304</v>
      </c>
      <c r="C263" s="147" t="s">
        <v>303</v>
      </c>
      <c r="D263" s="103">
        <v>1460362315.5899999</v>
      </c>
      <c r="E263" s="101">
        <f t="shared" si="218"/>
        <v>5.8690316073550408E-2</v>
      </c>
      <c r="F263" s="97">
        <v>19.18</v>
      </c>
      <c r="G263" s="97">
        <v>19.28</v>
      </c>
      <c r="H263" s="102">
        <v>3063</v>
      </c>
      <c r="I263" s="58">
        <v>0.15340000000000001</v>
      </c>
      <c r="J263" s="58">
        <v>1</v>
      </c>
      <c r="K263" s="103">
        <v>1543678229.1600001</v>
      </c>
      <c r="L263" s="101">
        <f t="shared" si="219"/>
        <v>6.114208291891611E-2</v>
      </c>
      <c r="M263" s="97">
        <v>20.16</v>
      </c>
      <c r="N263" s="97">
        <v>20.260000000000002</v>
      </c>
      <c r="O263" s="102">
        <v>3439</v>
      </c>
      <c r="P263" s="58">
        <v>-8.6999999999999994E-3</v>
      </c>
      <c r="Q263" s="58">
        <v>0.98270000000000002</v>
      </c>
      <c r="R263" s="62">
        <f t="shared" si="220"/>
        <v>5.7051536239032412E-2</v>
      </c>
      <c r="S263" s="62">
        <f t="shared" si="221"/>
        <v>5.082987551867222E-2</v>
      </c>
      <c r="T263" s="62">
        <f t="shared" si="222"/>
        <v>0.1227554684949396</v>
      </c>
      <c r="U263" s="62">
        <f t="shared" si="223"/>
        <v>-0.16210000000000002</v>
      </c>
      <c r="V263" s="63">
        <f t="shared" si="224"/>
        <v>-1.7299999999999982E-2</v>
      </c>
    </row>
    <row r="264" spans="1:26" ht="15" customHeight="1">
      <c r="A264" s="181">
        <v>10</v>
      </c>
      <c r="B264" s="148" t="s">
        <v>305</v>
      </c>
      <c r="C264" s="147" t="s">
        <v>303</v>
      </c>
      <c r="D264" s="100">
        <v>337482983.61000001</v>
      </c>
      <c r="E264" s="101">
        <f t="shared" si="218"/>
        <v>1.3563060869256632E-2</v>
      </c>
      <c r="F264" s="97">
        <v>147.43</v>
      </c>
      <c r="G264" s="97">
        <v>149.43</v>
      </c>
      <c r="H264" s="102">
        <v>1283</v>
      </c>
      <c r="I264" s="58">
        <v>0.1104</v>
      </c>
      <c r="J264" s="58">
        <v>0.59350000000000003</v>
      </c>
      <c r="K264" s="100">
        <v>337601062.51999998</v>
      </c>
      <c r="L264" s="101">
        <f t="shared" si="219"/>
        <v>1.3371719421957686E-2</v>
      </c>
      <c r="M264" s="97">
        <v>147.47999999999999</v>
      </c>
      <c r="N264" s="97">
        <v>149.47999999999999</v>
      </c>
      <c r="O264" s="102">
        <v>1646</v>
      </c>
      <c r="P264" s="58">
        <v>0.1014</v>
      </c>
      <c r="Q264" s="58">
        <v>0.75519999999999998</v>
      </c>
      <c r="R264" s="62">
        <f t="shared" si="220"/>
        <v>3.4988107766766762E-4</v>
      </c>
      <c r="S264" s="62">
        <f t="shared" si="221"/>
        <v>3.3460483169365552E-4</v>
      </c>
      <c r="T264" s="62">
        <f t="shared" si="222"/>
        <v>0.28293063133281371</v>
      </c>
      <c r="U264" s="62">
        <f t="shared" si="223"/>
        <v>-8.9999999999999941E-3</v>
      </c>
      <c r="V264" s="63">
        <f t="shared" si="224"/>
        <v>0.16169999999999995</v>
      </c>
    </row>
    <row r="265" spans="1:26">
      <c r="A265" s="181">
        <v>11</v>
      </c>
      <c r="B265" s="148" t="s">
        <v>306</v>
      </c>
      <c r="C265" s="147" t="s">
        <v>303</v>
      </c>
      <c r="D265" s="100">
        <v>10709356695.389999</v>
      </c>
      <c r="E265" s="101">
        <f t="shared" si="218"/>
        <v>0.43039697935707016</v>
      </c>
      <c r="F265" s="97">
        <v>73.459999999999994</v>
      </c>
      <c r="G265" s="97">
        <v>73.66</v>
      </c>
      <c r="H265" s="102">
        <v>3603</v>
      </c>
      <c r="I265" s="58">
        <v>-0.18099999999999999</v>
      </c>
      <c r="J265" s="58">
        <v>0.75890000000000002</v>
      </c>
      <c r="K265" s="100">
        <v>10814296785.889999</v>
      </c>
      <c r="L265" s="101">
        <f t="shared" si="219"/>
        <v>0.42833319684274757</v>
      </c>
      <c r="M265" s="97">
        <v>74.239999999999995</v>
      </c>
      <c r="N265" s="97">
        <v>74.44</v>
      </c>
      <c r="O265" s="102">
        <v>3976</v>
      </c>
      <c r="P265" s="58">
        <v>1E-4</v>
      </c>
      <c r="Q265" s="58">
        <v>0.7591</v>
      </c>
      <c r="R265" s="62">
        <f t="shared" si="220"/>
        <v>9.7989163574291084E-3</v>
      </c>
      <c r="S265" s="62">
        <f t="shared" si="221"/>
        <v>1.0589193592180303E-2</v>
      </c>
      <c r="T265" s="62">
        <f t="shared" si="222"/>
        <v>0.1035248404107688</v>
      </c>
      <c r="U265" s="62">
        <f t="shared" si="223"/>
        <v>0.18109999999999998</v>
      </c>
      <c r="V265" s="63">
        <f t="shared" si="224"/>
        <v>1.9999999999997797E-4</v>
      </c>
    </row>
    <row r="266" spans="1:26">
      <c r="A266" s="181">
        <v>12</v>
      </c>
      <c r="B266" s="148" t="s">
        <v>307</v>
      </c>
      <c r="C266" s="147" t="s">
        <v>303</v>
      </c>
      <c r="D266" s="103">
        <v>366042776.25</v>
      </c>
      <c r="E266" s="101">
        <f t="shared" si="218"/>
        <v>1.4710846757143958E-2</v>
      </c>
      <c r="F266" s="97">
        <v>87.67</v>
      </c>
      <c r="G266" s="97">
        <v>87.87</v>
      </c>
      <c r="H266" s="102">
        <v>2494</v>
      </c>
      <c r="I266" s="58">
        <v>5.7200000000000001E-2</v>
      </c>
      <c r="J266" s="58">
        <v>1.9782999999999999</v>
      </c>
      <c r="K266" s="103">
        <v>371597561.61000001</v>
      </c>
      <c r="L266" s="101">
        <f t="shared" si="219"/>
        <v>1.4718254423260857E-2</v>
      </c>
      <c r="M266" s="97">
        <v>88.37</v>
      </c>
      <c r="N266" s="97">
        <v>88.57</v>
      </c>
      <c r="O266" s="102">
        <v>2834</v>
      </c>
      <c r="P266" s="58">
        <v>-7.6700000000000004E-2</v>
      </c>
      <c r="Q266" s="58">
        <v>1.75</v>
      </c>
      <c r="R266" s="62">
        <f t="shared" si="220"/>
        <v>1.5175235574670118E-2</v>
      </c>
      <c r="S266" s="62">
        <f t="shared" si="221"/>
        <v>7.9663138727664572E-3</v>
      </c>
      <c r="T266" s="62">
        <f t="shared" si="222"/>
        <v>0.13632718524458701</v>
      </c>
      <c r="U266" s="62">
        <f t="shared" si="223"/>
        <v>-0.13390000000000002</v>
      </c>
      <c r="V266" s="63">
        <f t="shared" si="224"/>
        <v>-0.22829999999999995</v>
      </c>
    </row>
    <row r="267" spans="1:26">
      <c r="A267" s="113"/>
      <c r="B267" s="113"/>
      <c r="C267" s="114" t="s">
        <v>308</v>
      </c>
      <c r="D267" s="96">
        <f>SUM(D255:D266)</f>
        <v>24882508960.419998</v>
      </c>
      <c r="E267" s="98"/>
      <c r="F267" s="98"/>
      <c r="G267" s="99"/>
      <c r="H267" s="96">
        <f>SUM(H255:H266)</f>
        <v>21374</v>
      </c>
      <c r="I267" s="107"/>
      <c r="J267" s="107"/>
      <c r="K267" s="96">
        <f>SUM(K255:K266)</f>
        <v>25247393537.559998</v>
      </c>
      <c r="L267" s="98"/>
      <c r="M267" s="98"/>
      <c r="N267" s="99"/>
      <c r="O267" s="96">
        <f>SUM(O255:O266)</f>
        <v>25661</v>
      </c>
      <c r="P267" s="107"/>
      <c r="Q267" s="107"/>
      <c r="R267" s="62">
        <f t="shared" si="220"/>
        <v>1.4664300039855804E-2</v>
      </c>
      <c r="S267" s="62" t="e">
        <f t="shared" si="221"/>
        <v>#DIV/0!</v>
      </c>
      <c r="T267" s="62">
        <f t="shared" si="222"/>
        <v>0.20057078693740057</v>
      </c>
      <c r="U267" s="62">
        <f t="shared" si="223"/>
        <v>0</v>
      </c>
      <c r="V267" s="63">
        <f t="shared" si="224"/>
        <v>0</v>
      </c>
      <c r="Z267" s="71"/>
    </row>
    <row r="268" spans="1:26">
      <c r="A268" s="115"/>
      <c r="B268" s="115"/>
      <c r="C268" s="116" t="s">
        <v>309</v>
      </c>
      <c r="D268" s="117">
        <f>SUM(D239,D247,D252,D267)</f>
        <v>8796740214398.9551</v>
      </c>
      <c r="E268" s="118"/>
      <c r="F268" s="118"/>
      <c r="G268" s="119"/>
      <c r="H268" s="117">
        <f>SUM(H239,H247,H252,H267)</f>
        <v>1297603</v>
      </c>
      <c r="I268" s="130"/>
      <c r="J268" s="130"/>
      <c r="K268" s="117">
        <f>SUM(K239,K247,K252,K267)</f>
        <v>8826960917075.3242</v>
      </c>
      <c r="L268" s="118"/>
      <c r="M268" s="118"/>
      <c r="N268" s="117"/>
      <c r="O268" s="117">
        <f>SUM(O239,O247,O252,O267)</f>
        <v>1313138</v>
      </c>
      <c r="P268" s="131"/>
      <c r="Q268" s="117"/>
      <c r="R268" s="135"/>
      <c r="S268" s="136"/>
      <c r="T268" s="136"/>
      <c r="U268" s="137"/>
      <c r="V268" s="137"/>
      <c r="Z268" s="71"/>
    </row>
    <row r="269" spans="1:26">
      <c r="A269" s="120" t="s">
        <v>310</v>
      </c>
      <c r="B269" s="121" t="s">
        <v>341</v>
      </c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</row>
    <row r="270" spans="1:26">
      <c r="B270" s="123"/>
    </row>
    <row r="271" spans="1:26">
      <c r="B271" s="123"/>
      <c r="C271" s="124"/>
      <c r="D271" s="125"/>
      <c r="K271" s="125"/>
    </row>
    <row r="272" spans="1:26" ht="15">
      <c r="B272" s="126"/>
      <c r="C272" s="127"/>
      <c r="D272" s="128"/>
      <c r="F272" s="129"/>
      <c r="G272" s="129"/>
      <c r="I272" s="132"/>
      <c r="J272" s="133"/>
    </row>
    <row r="273" spans="2:11">
      <c r="C273" s="123"/>
    </row>
    <row r="274" spans="2:11">
      <c r="K274" s="109"/>
    </row>
    <row r="275" spans="2:11">
      <c r="B275" s="124"/>
    </row>
    <row r="276" spans="2:11">
      <c r="K276" s="134"/>
    </row>
  </sheetData>
  <sheetProtection algorithmName="SHA-512" hashValue="8XFPG/u1zeAZHFqAI/tfOJHPTYke1YgffMmvuo4BObWchab/uJ3CNV4U8RHEWWnG6Efs/U8Kv1ESrIt40EsMlA==" saltValue="orv2kc5zRolpj9b19PHSfg==" spinCount="100000" sheet="1" objects="1" scenarios="1"/>
  <sortState ref="A150:C177">
    <sortCondition descending="1" ref="A149"/>
  </sortState>
  <mergeCells count="34">
    <mergeCell ref="A241:V241"/>
    <mergeCell ref="A249:V249"/>
    <mergeCell ref="B253:V253"/>
    <mergeCell ref="A254:V254"/>
    <mergeCell ref="B216:V216"/>
    <mergeCell ref="A217:V217"/>
    <mergeCell ref="B232:V232"/>
    <mergeCell ref="A233:V233"/>
    <mergeCell ref="B240:U240"/>
    <mergeCell ref="B205:V205"/>
    <mergeCell ref="A206:V206"/>
    <mergeCell ref="B211:V211"/>
    <mergeCell ref="A212:V212"/>
    <mergeCell ref="A213:V213"/>
    <mergeCell ref="A141:V141"/>
    <mergeCell ref="B163:V163"/>
    <mergeCell ref="A164:V164"/>
    <mergeCell ref="B172:V172"/>
    <mergeCell ref="A173:V173"/>
    <mergeCell ref="A78:V78"/>
    <mergeCell ref="B119:V119"/>
    <mergeCell ref="A120:V120"/>
    <mergeCell ref="A121:V121"/>
    <mergeCell ref="B140:V140"/>
    <mergeCell ref="B4:V4"/>
    <mergeCell ref="A5:V5"/>
    <mergeCell ref="B27:V27"/>
    <mergeCell ref="A28:V28"/>
    <mergeCell ref="B77:V77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3 E83 L53 L37 E37 L147 E147" formula="1"/>
    <ignoredError sqref="S171 S26 S76 S118 S162 S204 S210 S238 S267 T250:T251 R54:T54 R147 R133:T133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F9" sqref="F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4"/>
      <c r="B1" s="154"/>
      <c r="C1" s="154"/>
      <c r="D1" s="154"/>
      <c r="E1" s="15"/>
      <c r="F1" s="15"/>
      <c r="G1" s="15"/>
      <c r="H1" s="20"/>
    </row>
    <row r="2" spans="1:8" ht="27.6">
      <c r="A2" s="171" t="s">
        <v>311</v>
      </c>
      <c r="B2" s="172" t="s">
        <v>338</v>
      </c>
      <c r="C2" s="172" t="s">
        <v>345</v>
      </c>
      <c r="D2" s="173"/>
      <c r="E2" s="15"/>
      <c r="F2" s="15"/>
      <c r="G2" s="15"/>
      <c r="H2" s="20"/>
    </row>
    <row r="3" spans="1:8">
      <c r="A3" s="174" t="s">
        <v>17</v>
      </c>
      <c r="B3" s="175">
        <f t="shared" ref="B3:C10" si="0">B13</f>
        <v>176.15346559620389</v>
      </c>
      <c r="C3" s="175">
        <f t="shared" si="0"/>
        <v>183.8473763187514</v>
      </c>
      <c r="D3" s="173"/>
      <c r="E3" s="15"/>
      <c r="F3" s="15"/>
      <c r="G3" s="15"/>
      <c r="H3" s="20"/>
    </row>
    <row r="4" spans="1:8" ht="15.6" customHeight="1">
      <c r="A4" s="171" t="s">
        <v>55</v>
      </c>
      <c r="B4" s="176">
        <f t="shared" si="0"/>
        <v>5577.3814956164315</v>
      </c>
      <c r="C4" s="176">
        <f t="shared" si="0"/>
        <v>5619.0014664436776</v>
      </c>
      <c r="D4" s="173"/>
      <c r="E4" s="15"/>
      <c r="F4" s="15"/>
      <c r="G4" s="15"/>
      <c r="H4" s="20"/>
    </row>
    <row r="5" spans="1:8" ht="16.2" customHeight="1">
      <c r="A5" s="171" t="s">
        <v>312</v>
      </c>
      <c r="B5" s="175">
        <f t="shared" si="0"/>
        <v>240.22816118521439</v>
      </c>
      <c r="C5" s="175">
        <f t="shared" si="0"/>
        <v>237.02551254387481</v>
      </c>
      <c r="D5" s="173"/>
      <c r="E5" s="15"/>
      <c r="F5" s="15"/>
      <c r="G5" s="15"/>
      <c r="H5" s="20"/>
    </row>
    <row r="6" spans="1:8">
      <c r="A6" s="171" t="s">
        <v>171</v>
      </c>
      <c r="B6" s="176">
        <f t="shared" si="0"/>
        <v>1846.4147621201339</v>
      </c>
      <c r="C6" s="176">
        <f t="shared" si="0"/>
        <v>1821.1793663458789</v>
      </c>
      <c r="D6" s="173"/>
      <c r="E6" s="15"/>
      <c r="F6" s="15"/>
      <c r="G6" s="15"/>
      <c r="H6" s="20"/>
    </row>
    <row r="7" spans="1:8">
      <c r="A7" s="171" t="s">
        <v>313</v>
      </c>
      <c r="B7" s="175">
        <f t="shared" si="0"/>
        <v>502.0594085716325</v>
      </c>
      <c r="C7" s="175">
        <f t="shared" si="0"/>
        <v>504.64319293491315</v>
      </c>
      <c r="D7" s="173"/>
      <c r="E7" s="15"/>
      <c r="F7" s="15"/>
      <c r="G7" s="15"/>
      <c r="H7" s="20"/>
    </row>
    <row r="8" spans="1:8">
      <c r="A8" s="171" t="s">
        <v>216</v>
      </c>
      <c r="B8" s="177">
        <f t="shared" si="0"/>
        <v>121.95004880784406</v>
      </c>
      <c r="C8" s="177">
        <f t="shared" si="0"/>
        <v>125.20370858952214</v>
      </c>
      <c r="D8" s="173"/>
      <c r="E8" s="15"/>
      <c r="F8" s="15"/>
      <c r="G8" s="15"/>
      <c r="H8" s="20"/>
    </row>
    <row r="9" spans="1:8">
      <c r="A9" s="171" t="s">
        <v>248</v>
      </c>
      <c r="B9" s="175">
        <f t="shared" si="0"/>
        <v>15.037578574939641</v>
      </c>
      <c r="C9" s="175">
        <f t="shared" si="0"/>
        <v>15.435732579870001</v>
      </c>
      <c r="D9" s="173"/>
      <c r="E9" s="15"/>
      <c r="F9" s="15"/>
      <c r="G9" s="15"/>
      <c r="H9" s="20"/>
    </row>
    <row r="10" spans="1:8">
      <c r="A10" s="171" t="s">
        <v>314</v>
      </c>
      <c r="B10" s="175">
        <f t="shared" si="0"/>
        <v>114.55199515056964</v>
      </c>
      <c r="C10" s="175">
        <f t="shared" si="0"/>
        <v>117.11127480880343</v>
      </c>
      <c r="D10" s="173"/>
      <c r="E10" s="15"/>
      <c r="F10" s="15"/>
      <c r="G10" s="15"/>
      <c r="H10" s="20"/>
    </row>
    <row r="11" spans="1:8">
      <c r="A11" s="171" t="s">
        <v>281</v>
      </c>
      <c r="B11" s="175">
        <f>B21</f>
        <v>31.240648592305444</v>
      </c>
      <c r="C11" s="175">
        <f>C21</f>
        <v>31.390655001210625</v>
      </c>
      <c r="D11" s="173"/>
      <c r="E11" s="15"/>
      <c r="F11" s="15"/>
      <c r="G11" s="15"/>
      <c r="H11" s="20"/>
    </row>
    <row r="12" spans="1:8">
      <c r="A12" s="154"/>
      <c r="B12" s="154"/>
      <c r="C12" s="154"/>
      <c r="D12" s="154"/>
      <c r="E12" s="15"/>
      <c r="F12" s="15"/>
      <c r="G12" s="15"/>
      <c r="H12" s="20"/>
    </row>
    <row r="13" spans="1:8">
      <c r="A13" s="178" t="s">
        <v>17</v>
      </c>
      <c r="B13" s="155">
        <f>'Weekly Valuation'!D26/1000000000</f>
        <v>176.15346559620389</v>
      </c>
      <c r="C13" s="156">
        <f>'Weekly Valuation'!K26/1000000000</f>
        <v>183.8473763187514</v>
      </c>
      <c r="D13" s="154"/>
      <c r="E13" s="15"/>
      <c r="F13" s="15"/>
      <c r="G13" s="15"/>
      <c r="H13" s="20"/>
    </row>
    <row r="14" spans="1:8">
      <c r="A14" s="157" t="s">
        <v>55</v>
      </c>
      <c r="B14" s="155">
        <f>'Weekly Valuation'!D76/1000000000</f>
        <v>5577.3814956164315</v>
      </c>
      <c r="C14" s="179">
        <f>'Weekly Valuation'!K76/1000000000</f>
        <v>5619.0014664436776</v>
      </c>
      <c r="D14" s="154"/>
      <c r="E14" s="15"/>
      <c r="F14" s="15"/>
      <c r="G14" s="15"/>
      <c r="H14" s="20"/>
    </row>
    <row r="15" spans="1:8">
      <c r="A15" s="157" t="s">
        <v>312</v>
      </c>
      <c r="B15" s="155">
        <f>'Weekly Valuation'!D118/1000000000</f>
        <v>240.22816118521439</v>
      </c>
      <c r="C15" s="156">
        <f>'Weekly Valuation'!K118/1000000000</f>
        <v>237.02551254387481</v>
      </c>
      <c r="D15" s="154"/>
      <c r="E15" s="15"/>
      <c r="F15" s="15"/>
      <c r="G15" s="15"/>
      <c r="H15" s="20"/>
    </row>
    <row r="16" spans="1:8">
      <c r="A16" s="157" t="s">
        <v>171</v>
      </c>
      <c r="B16" s="155">
        <f>'Weekly Valuation'!D162/1000000000</f>
        <v>1846.4147621201339</v>
      </c>
      <c r="C16" s="179">
        <f>'Weekly Valuation'!K162/1000000000</f>
        <v>1821.1793663458789</v>
      </c>
      <c r="D16" s="154"/>
      <c r="E16" s="15"/>
      <c r="F16" s="15"/>
      <c r="G16" s="15"/>
      <c r="H16" s="20"/>
    </row>
    <row r="17" spans="1:8">
      <c r="A17" s="157" t="s">
        <v>313</v>
      </c>
      <c r="B17" s="155">
        <f>'Weekly Valuation'!D171/1000000000</f>
        <v>502.0594085716325</v>
      </c>
      <c r="C17" s="156">
        <f>'Weekly Valuation'!K171/1000000000</f>
        <v>504.64319293491315</v>
      </c>
      <c r="D17" s="154"/>
      <c r="E17" s="15"/>
      <c r="F17" s="15"/>
      <c r="G17" s="15"/>
      <c r="H17" s="20"/>
    </row>
    <row r="18" spans="1:8">
      <c r="A18" s="157" t="s">
        <v>216</v>
      </c>
      <c r="B18" s="155">
        <f>'Weekly Valuation'!D204/1000000000</f>
        <v>121.95004880784406</v>
      </c>
      <c r="C18" s="180">
        <f>'Weekly Valuation'!K204/1000000000</f>
        <v>125.20370858952214</v>
      </c>
      <c r="D18" s="154"/>
      <c r="E18" s="15"/>
      <c r="F18" s="15"/>
      <c r="G18" s="15"/>
      <c r="H18" s="20"/>
    </row>
    <row r="19" spans="1:8">
      <c r="A19" s="157" t="s">
        <v>248</v>
      </c>
      <c r="B19" s="155">
        <f>'Weekly Valuation'!D210/1000000000</f>
        <v>15.037578574939641</v>
      </c>
      <c r="C19" s="156">
        <f>'Weekly Valuation'!K210/1000000000</f>
        <v>15.435732579870001</v>
      </c>
      <c r="D19" s="154"/>
      <c r="E19" s="15"/>
      <c r="F19" s="15"/>
      <c r="G19" s="15"/>
      <c r="H19" s="20"/>
    </row>
    <row r="20" spans="1:8">
      <c r="A20" s="157" t="s">
        <v>314</v>
      </c>
      <c r="B20" s="155">
        <f>'Weekly Valuation'!D238/1000000000</f>
        <v>114.55199515056964</v>
      </c>
      <c r="C20" s="156">
        <f>'Weekly Valuation'!K238/1000000000</f>
        <v>117.11127480880343</v>
      </c>
      <c r="D20" s="154"/>
      <c r="E20" s="15"/>
      <c r="F20" s="15"/>
      <c r="G20" s="15"/>
      <c r="H20" s="20"/>
    </row>
    <row r="21" spans="1:8">
      <c r="A21" s="157" t="s">
        <v>281</v>
      </c>
      <c r="B21" s="155">
        <f>'Weekly Valuation'!D247/1000000000</f>
        <v>31.240648592305444</v>
      </c>
      <c r="C21" s="156">
        <f>'Weekly Valuation'!K247/1000000000</f>
        <v>31.390655001210625</v>
      </c>
      <c r="D21" s="154"/>
      <c r="E21" s="15"/>
      <c r="F21" s="15"/>
      <c r="G21" s="15"/>
      <c r="H21" s="20"/>
    </row>
    <row r="22" spans="1:8">
      <c r="A22" s="158"/>
      <c r="B22" s="154"/>
      <c r="C22" s="21"/>
      <c r="D22" s="154"/>
      <c r="E22" s="15"/>
      <c r="F22" s="15"/>
      <c r="G22" s="15"/>
      <c r="H22" s="20"/>
    </row>
    <row r="23" spans="1:8">
      <c r="A23" s="22"/>
      <c r="B23" s="21"/>
      <c r="C23" s="159"/>
      <c r="E23" s="15"/>
      <c r="F23" s="15"/>
      <c r="G23" s="15"/>
      <c r="H23" s="20"/>
    </row>
    <row r="24" spans="1:8">
      <c r="A24" s="151"/>
      <c r="B24" s="152"/>
      <c r="C24" s="152"/>
      <c r="D24" s="15"/>
      <c r="E24" s="15"/>
      <c r="F24" s="15"/>
      <c r="G24" s="20"/>
      <c r="H24" s="20"/>
    </row>
    <row r="25" spans="1:8">
      <c r="A25" s="151"/>
      <c r="B25" s="152"/>
      <c r="C25" s="152"/>
      <c r="D25" s="15"/>
      <c r="E25" s="15"/>
      <c r="F25" s="15"/>
      <c r="G25" s="20"/>
      <c r="H25" s="20"/>
    </row>
    <row r="26" spans="1:8">
      <c r="A26" s="151"/>
      <c r="B26" s="152"/>
      <c r="C26" s="152"/>
      <c r="D26" s="15"/>
      <c r="E26" s="15"/>
      <c r="F26" s="15"/>
      <c r="G26" s="20"/>
      <c r="H26" s="20"/>
    </row>
    <row r="27" spans="1:8">
      <c r="A27" s="151"/>
      <c r="B27" s="152"/>
      <c r="C27" s="152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8jq+IxZje3r+LaQRALJjVuoTvV1gWk8Ph9KAPLEe9DSOvWzG2qd71+Vasi5ozLKb1dq1Q842+8CERn/BNuJNOw==" saltValue="IMPYfkSRkcqdQ3SGR1btC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J14" sqref="J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7" t="s">
        <v>311</v>
      </c>
      <c r="B1" s="168">
        <v>46122</v>
      </c>
      <c r="C1" s="1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8" t="s">
        <v>248</v>
      </c>
      <c r="B2" s="21">
        <f>'Weekly Valuation'!K210</f>
        <v>15435732579.870001</v>
      </c>
      <c r="C2" s="1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8" t="s">
        <v>281</v>
      </c>
      <c r="B3" s="21">
        <f>'Weekly Valuation'!K247</f>
        <v>31390655001.210625</v>
      </c>
      <c r="C3" s="1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8" t="s">
        <v>314</v>
      </c>
      <c r="B4" s="21">
        <f>'Weekly Valuation'!K238</f>
        <v>117111274808.80344</v>
      </c>
      <c r="C4" s="1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8" t="s">
        <v>216</v>
      </c>
      <c r="B5" s="159">
        <f>'Weekly Valuation'!K204</f>
        <v>125203708589.52214</v>
      </c>
      <c r="C5" s="1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8" t="s">
        <v>17</v>
      </c>
      <c r="B6" s="21">
        <f>'Weekly Valuation'!K26</f>
        <v>183847376318.7514</v>
      </c>
      <c r="C6" s="1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8" t="s">
        <v>312</v>
      </c>
      <c r="B7" s="21">
        <f>'Weekly Valuation'!K118</f>
        <v>237025512543.87482</v>
      </c>
      <c r="C7" s="1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8" t="s">
        <v>313</v>
      </c>
      <c r="B8" s="21">
        <f>'Weekly Valuation'!K171</f>
        <v>504643192934.91315</v>
      </c>
      <c r="C8" s="1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8" t="s">
        <v>171</v>
      </c>
      <c r="B9" s="169">
        <f>'Weekly Valuation'!K162</f>
        <v>1821179366345.8789</v>
      </c>
      <c r="C9" s="1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8" t="s">
        <v>55</v>
      </c>
      <c r="B10" s="169">
        <f>'Weekly Valuation'!K76</f>
        <v>5619001466443.6777</v>
      </c>
      <c r="C10" s="1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4"/>
      <c r="B11" s="154"/>
      <c r="C11" s="1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8"/>
      <c r="B12" s="170"/>
      <c r="C12" s="1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8"/>
      <c r="B13" s="154"/>
      <c r="C13" s="1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1"/>
      <c r="B16" s="16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2"/>
      <c r="B17" s="15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2"/>
      <c r="B18" s="15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3"/>
      <c r="B19" s="15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3"/>
      <c r="B20" s="15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3"/>
      <c r="B21" s="15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1"/>
      <c r="B22" s="15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23"/>
    </row>
    <row r="34" spans="1:17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g+XQUsqGEW/CshYfuKjF0HfiPTSRORVcziPLhn7noopaPg+VYbUAdgQyZsggT6XhFpvDu49pjf90r+5wnM/s8Q==" saltValue="cRdueqZcd4GaqXvGHCGwi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B8" sqref="B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0"/>
    </row>
    <row r="2" spans="1:15">
      <c r="A2" s="162" t="s">
        <v>315</v>
      </c>
      <c r="B2" s="163">
        <v>46073</v>
      </c>
      <c r="C2" s="163">
        <v>46080</v>
      </c>
      <c r="D2" s="163">
        <v>46087</v>
      </c>
      <c r="E2" s="163">
        <v>46094</v>
      </c>
      <c r="F2" s="163">
        <v>46099</v>
      </c>
      <c r="G2" s="163">
        <v>46108</v>
      </c>
      <c r="H2" s="163">
        <v>46114</v>
      </c>
      <c r="I2" s="163">
        <v>46122</v>
      </c>
      <c r="J2" s="20"/>
      <c r="K2" s="15"/>
      <c r="L2" s="15"/>
      <c r="M2" s="15"/>
      <c r="N2" s="15"/>
      <c r="O2" s="150"/>
    </row>
    <row r="3" spans="1:15">
      <c r="A3" s="162" t="s">
        <v>316</v>
      </c>
      <c r="B3" s="164">
        <f t="shared" ref="B3:I3" si="0">B4</f>
        <v>8210.0158947677137</v>
      </c>
      <c r="C3" s="164">
        <f t="shared" si="0"/>
        <v>8244.4012797571122</v>
      </c>
      <c r="D3" s="164">
        <f t="shared" si="0"/>
        <v>8344.3102028916874</v>
      </c>
      <c r="E3" s="164">
        <f t="shared" si="0"/>
        <v>8362.1373987365132</v>
      </c>
      <c r="F3" s="164">
        <f t="shared" si="0"/>
        <v>8418.7881429582667</v>
      </c>
      <c r="G3" s="164">
        <f t="shared" si="0"/>
        <v>8440.5567676688224</v>
      </c>
      <c r="H3" s="164">
        <f t="shared" si="0"/>
        <v>8625.0175642152753</v>
      </c>
      <c r="I3" s="164">
        <f t="shared" si="0"/>
        <v>8654.8382855665022</v>
      </c>
      <c r="J3" s="20"/>
      <c r="K3" s="15"/>
      <c r="L3" s="15"/>
      <c r="M3" s="15"/>
      <c r="N3" s="15"/>
      <c r="O3" s="150"/>
    </row>
    <row r="4" spans="1:15">
      <c r="A4" s="20"/>
      <c r="B4" s="165">
        <f>'NAV Trend'!C11/1000000000</f>
        <v>8210.0158947677137</v>
      </c>
      <c r="C4" s="165">
        <f>'NAV Trend'!D11/1000000000</f>
        <v>8244.4012797571122</v>
      </c>
      <c r="D4" s="165">
        <f>'NAV Trend'!E11/1000000000</f>
        <v>8344.3102028916874</v>
      </c>
      <c r="E4" s="165">
        <f>'NAV Trend'!F11/1000000000</f>
        <v>8362.1373987365132</v>
      </c>
      <c r="F4" s="165">
        <f>'NAV Trend'!G11/1000000000</f>
        <v>8418.7881429582667</v>
      </c>
      <c r="G4" s="165">
        <f>'NAV Trend'!H11/1000000000</f>
        <v>8440.5567676688224</v>
      </c>
      <c r="H4" s="166">
        <f>'NAV Trend'!I11/1000000000</f>
        <v>8625.0175642152753</v>
      </c>
      <c r="I4" s="166">
        <f>'NAV Trend'!J11/1000000000</f>
        <v>8654.8382855665022</v>
      </c>
      <c r="J4" s="20"/>
      <c r="K4" s="15"/>
      <c r="L4" s="15"/>
      <c r="M4" s="15"/>
      <c r="N4" s="15"/>
      <c r="O4" s="150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0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0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15"/>
      <c r="M7" s="15"/>
      <c r="N7" s="15"/>
      <c r="O7" s="150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0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0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0"/>
      <c r="O10" s="150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0"/>
      <c r="O11" s="150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0"/>
      <c r="O12" s="150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0"/>
      <c r="O13" s="150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0"/>
      <c r="O14" s="150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0"/>
      <c r="O15" s="150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0"/>
      <c r="N16" s="150"/>
      <c r="O16" s="15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0"/>
      <c r="N17" s="150"/>
      <c r="O17" s="150"/>
    </row>
    <row r="18" spans="1:15"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1:15"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</row>
    <row r="20" spans="1:15"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</sheetData>
  <sheetProtection algorithmName="SHA-512" hashValue="TzxBkgjvnUQW88ZRlDbT0uq2IFQXjm8NyitkSqIW8cQG98t8GCW27ajOnncd1o6mcouiIscfQAfJqXmDJKKucg==" saltValue="AH73VSDSVMNnWEFmY7X+Z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H8" sqref="H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20"/>
      <c r="O1" s="20"/>
      <c r="P1" s="141"/>
    </row>
    <row r="2" spans="1:16">
      <c r="A2" s="162" t="s">
        <v>315</v>
      </c>
      <c r="B2" s="163">
        <v>46073</v>
      </c>
      <c r="C2" s="163">
        <v>46080</v>
      </c>
      <c r="D2" s="163">
        <v>46087</v>
      </c>
      <c r="E2" s="163">
        <v>46094</v>
      </c>
      <c r="F2" s="163">
        <v>46099</v>
      </c>
      <c r="G2" s="163">
        <v>46108</v>
      </c>
      <c r="H2" s="163">
        <v>46114</v>
      </c>
      <c r="I2" s="163">
        <v>46122</v>
      </c>
      <c r="J2" s="20"/>
      <c r="K2" s="15"/>
      <c r="L2" s="15"/>
      <c r="M2" s="15"/>
      <c r="N2" s="20"/>
      <c r="O2" s="20"/>
      <c r="P2" s="141"/>
    </row>
    <row r="3" spans="1:16">
      <c r="A3" s="162" t="s">
        <v>317</v>
      </c>
      <c r="B3" s="164">
        <f t="shared" ref="B3:I3" si="0">B4</f>
        <v>23.060251227759998</v>
      </c>
      <c r="C3" s="164">
        <f t="shared" si="0"/>
        <v>23.429388175410001</v>
      </c>
      <c r="D3" s="164">
        <f t="shared" si="0"/>
        <v>23.933072983509998</v>
      </c>
      <c r="E3" s="164">
        <f t="shared" si="0"/>
        <v>24.024073678480001</v>
      </c>
      <c r="F3" s="164">
        <f t="shared" si="0"/>
        <v>24.06611184246</v>
      </c>
      <c r="G3" s="164">
        <f t="shared" si="0"/>
        <v>24.226803601379999</v>
      </c>
      <c r="H3" s="164">
        <f t="shared" si="0"/>
        <v>24.882508960419997</v>
      </c>
      <c r="I3" s="164">
        <f t="shared" si="0"/>
        <v>25.247393537559997</v>
      </c>
      <c r="J3" s="20"/>
      <c r="K3" s="15"/>
      <c r="L3" s="15"/>
      <c r="M3" s="15"/>
      <c r="N3" s="20"/>
      <c r="O3" s="20"/>
      <c r="P3" s="141"/>
    </row>
    <row r="4" spans="1:16">
      <c r="A4" s="20"/>
      <c r="B4" s="165">
        <f>'NAV Trend'!C17/1000000000</f>
        <v>23.060251227759998</v>
      </c>
      <c r="C4" s="165">
        <f>'NAV Trend'!D17/1000000000</f>
        <v>23.429388175410001</v>
      </c>
      <c r="D4" s="165">
        <f>'NAV Trend'!E17/1000000000</f>
        <v>23.933072983509998</v>
      </c>
      <c r="E4" s="165">
        <f>'NAV Trend'!F17/1000000000</f>
        <v>24.024073678480001</v>
      </c>
      <c r="F4" s="165">
        <f>'NAV Trend'!G17/1000000000</f>
        <v>24.06611184246</v>
      </c>
      <c r="G4" s="165">
        <f>'NAV Trend'!H17/1000000000</f>
        <v>24.226803601379999</v>
      </c>
      <c r="H4" s="165">
        <f>'NAV Trend'!I17/1000000000</f>
        <v>24.882508960419997</v>
      </c>
      <c r="I4" s="166">
        <f>'NAV Trend'!J17/1000000000</f>
        <v>25.247393537559997</v>
      </c>
      <c r="J4" s="20"/>
      <c r="K4" s="15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20"/>
      <c r="O5" s="20"/>
      <c r="P5" s="141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0WcGSo556PzVkBxlXvtQcdG3EDb/JtiWSz36JmzsS+Nk9sdRGhKLSwK7c1T8skcFU3NhTgcqpnb8UbUDcgT2lg==" saltValue="6rHlHiEwqgl/YacbrgMus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311</v>
      </c>
      <c r="B1" s="2">
        <v>46066</v>
      </c>
      <c r="C1" s="2">
        <v>46073</v>
      </c>
      <c r="D1" s="2">
        <v>46080</v>
      </c>
      <c r="E1" s="2">
        <v>46087</v>
      </c>
      <c r="F1" s="2">
        <v>46094</v>
      </c>
      <c r="G1" s="2">
        <v>46099</v>
      </c>
      <c r="H1" s="2">
        <v>46108</v>
      </c>
      <c r="I1" s="2">
        <v>46114</v>
      </c>
      <c r="J1" s="2">
        <v>46122</v>
      </c>
    </row>
    <row r="2" spans="1:11">
      <c r="A2" s="3" t="s">
        <v>17</v>
      </c>
      <c r="B2" s="4">
        <v>119849143942.72949</v>
      </c>
      <c r="C2" s="4">
        <v>139857154415.89801</v>
      </c>
      <c r="D2" s="4">
        <v>148191654431.43802</v>
      </c>
      <c r="E2" s="4">
        <v>159211652092.74878</v>
      </c>
      <c r="F2" s="4">
        <v>163538120041.90128</v>
      </c>
      <c r="G2" s="4">
        <v>167362604727.21579</v>
      </c>
      <c r="H2" s="4">
        <v>170736602967.8475</v>
      </c>
      <c r="I2" s="4">
        <v>176153465596.20389</v>
      </c>
      <c r="J2" s="4">
        <v>183847376318.7514</v>
      </c>
    </row>
    <row r="3" spans="1:11">
      <c r="A3" s="3" t="s">
        <v>55</v>
      </c>
      <c r="B3" s="4">
        <v>5255316816008.0068</v>
      </c>
      <c r="C3" s="4">
        <v>5272968475352.1689</v>
      </c>
      <c r="D3" s="4">
        <v>5290967255505.7646</v>
      </c>
      <c r="E3" s="4">
        <v>5336290181627.8701</v>
      </c>
      <c r="F3" s="4">
        <v>5391387940295.4883</v>
      </c>
      <c r="G3" s="4">
        <v>5463853896039.3164</v>
      </c>
      <c r="H3" s="4">
        <v>5448379818849.8945</v>
      </c>
      <c r="I3" s="4">
        <v>5577381495616.4316</v>
      </c>
      <c r="J3" s="4">
        <v>5619001466443.6777</v>
      </c>
    </row>
    <row r="4" spans="1:11">
      <c r="A4" s="3" t="s">
        <v>312</v>
      </c>
      <c r="B4" s="5">
        <v>244647170303.8353</v>
      </c>
      <c r="C4" s="5">
        <v>244284723034.70218</v>
      </c>
      <c r="D4" s="5">
        <v>246072284820.23425</v>
      </c>
      <c r="E4" s="5">
        <v>242895635845.56708</v>
      </c>
      <c r="F4" s="5">
        <v>242725393719.77261</v>
      </c>
      <c r="G4" s="5">
        <v>241723605867.83209</v>
      </c>
      <c r="H4" s="5">
        <v>241168824723.06894</v>
      </c>
      <c r="I4" s="5">
        <v>240228161185.21439</v>
      </c>
      <c r="J4" s="5">
        <v>237025512543.87482</v>
      </c>
    </row>
    <row r="5" spans="1:11">
      <c r="A5" s="3" t="s">
        <v>171</v>
      </c>
      <c r="B5" s="4">
        <v>1840472590032.0491</v>
      </c>
      <c r="C5" s="4">
        <v>1821080718904.251</v>
      </c>
      <c r="D5" s="4">
        <v>1833915688463.2009</v>
      </c>
      <c r="E5" s="4">
        <v>1871197469152.2844</v>
      </c>
      <c r="F5" s="4">
        <v>1825820397268.7412</v>
      </c>
      <c r="G5" s="4">
        <v>1804490357211.8433</v>
      </c>
      <c r="H5" s="4">
        <v>1836846387271.8889</v>
      </c>
      <c r="I5" s="4">
        <v>1846414762120.1338</v>
      </c>
      <c r="J5" s="4">
        <v>1821179366345.8789</v>
      </c>
    </row>
    <row r="6" spans="1:11">
      <c r="A6" s="3" t="s">
        <v>313</v>
      </c>
      <c r="B6" s="5">
        <v>505370559321.13531</v>
      </c>
      <c r="C6" s="5">
        <v>505882627163.35651</v>
      </c>
      <c r="D6" s="5">
        <v>491072409821.2135</v>
      </c>
      <c r="E6" s="5">
        <v>492232053531.7984</v>
      </c>
      <c r="F6" s="5">
        <v>492695374746.03168</v>
      </c>
      <c r="G6" s="5">
        <v>493149888469.67896</v>
      </c>
      <c r="H6" s="5">
        <v>493584500319.52655</v>
      </c>
      <c r="I6" s="5">
        <v>502059408571.63251</v>
      </c>
      <c r="J6" s="5">
        <v>504643192934.91315</v>
      </c>
    </row>
    <row r="7" spans="1:11">
      <c r="A7" s="3" t="s">
        <v>216</v>
      </c>
      <c r="B7" s="7">
        <v>104178871055.63953</v>
      </c>
      <c r="C7" s="7">
        <v>112022899742.21411</v>
      </c>
      <c r="D7" s="7">
        <v>115751455134.97435</v>
      </c>
      <c r="E7" s="7">
        <v>119284434936.1797</v>
      </c>
      <c r="F7" s="7">
        <v>120029792761.26135</v>
      </c>
      <c r="G7" s="7">
        <v>121922044985.49959</v>
      </c>
      <c r="H7" s="7">
        <v>122320890754.34761</v>
      </c>
      <c r="I7" s="7">
        <v>121950048807.84406</v>
      </c>
      <c r="J7" s="7">
        <v>125203708589.52214</v>
      </c>
    </row>
    <row r="8" spans="1:11">
      <c r="A8" s="3" t="s">
        <v>248</v>
      </c>
      <c r="B8" s="6">
        <v>12237483860.206491</v>
      </c>
      <c r="C8" s="6">
        <v>13490483321.859869</v>
      </c>
      <c r="D8" s="6">
        <v>14050360664.833527</v>
      </c>
      <c r="E8" s="6">
        <v>14784118823.610147</v>
      </c>
      <c r="F8" s="6">
        <v>14898817340.940001</v>
      </c>
      <c r="G8" s="6">
        <v>14938804220.809999</v>
      </c>
      <c r="H8" s="6">
        <v>14939585769.67</v>
      </c>
      <c r="I8" s="6">
        <v>15037578574.93964</v>
      </c>
      <c r="J8" s="6">
        <v>15435732579.870001</v>
      </c>
    </row>
    <row r="9" spans="1:11">
      <c r="A9" s="3" t="s">
        <v>314</v>
      </c>
      <c r="B9" s="6">
        <v>94436344010.965378</v>
      </c>
      <c r="C9" s="6">
        <v>100428812833.26227</v>
      </c>
      <c r="D9" s="6">
        <v>104380170915.45007</v>
      </c>
      <c r="E9" s="6">
        <v>108414656881.62793</v>
      </c>
      <c r="F9" s="6">
        <v>111041562562.37579</v>
      </c>
      <c r="G9" s="6">
        <v>111346941436.07184</v>
      </c>
      <c r="H9" s="6">
        <v>112580157012.57768</v>
      </c>
      <c r="I9" s="6">
        <v>114551995150.56964</v>
      </c>
      <c r="J9" s="6">
        <v>117111274808.80344</v>
      </c>
    </row>
    <row r="10" spans="1:11">
      <c r="A10" s="3" t="s">
        <v>281</v>
      </c>
      <c r="B10" s="6">
        <v>20735268519.028137</v>
      </c>
      <c r="C10" s="6">
        <v>19639536605.41069</v>
      </c>
      <c r="D10" s="6">
        <v>19763627528.168037</v>
      </c>
      <c r="E10" s="6">
        <v>31180088808.191078</v>
      </c>
      <c r="F10" s="6">
        <v>30929893185.840004</v>
      </c>
      <c r="G10" s="6">
        <v>30888527279.779999</v>
      </c>
      <c r="H10" s="6">
        <v>31122132963.085693</v>
      </c>
      <c r="I10" s="6">
        <v>31240648592.305443</v>
      </c>
      <c r="J10" s="6">
        <v>31390655001.210625</v>
      </c>
    </row>
    <row r="11" spans="1:11" ht="15.6">
      <c r="A11" s="8" t="s">
        <v>318</v>
      </c>
      <c r="B11" s="9">
        <f t="shared" ref="B11:H11" si="0">SUM(B2:B9)</f>
        <v>8176508978534.5674</v>
      </c>
      <c r="C11" s="9">
        <f t="shared" si="0"/>
        <v>8210015894767.7139</v>
      </c>
      <c r="D11" s="9">
        <f t="shared" si="0"/>
        <v>8244401279757.1113</v>
      </c>
      <c r="E11" s="9">
        <f t="shared" si="0"/>
        <v>8344310202891.6875</v>
      </c>
      <c r="F11" s="9">
        <f t="shared" si="0"/>
        <v>8362137398736.5127</v>
      </c>
      <c r="G11" s="9">
        <f t="shared" si="0"/>
        <v>8418788142958.2676</v>
      </c>
      <c r="H11" s="9">
        <f t="shared" si="0"/>
        <v>8440556767668.8223</v>
      </c>
      <c r="I11" s="9">
        <f>SUM(I2:I10)</f>
        <v>8625017564215.2754</v>
      </c>
      <c r="J11" s="9">
        <f>SUM(J2:J10)</f>
        <v>8654838285566.5029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319</v>
      </c>
      <c r="B13" s="138" t="s">
        <v>320</v>
      </c>
      <c r="C13" s="13">
        <f>(B11+C11)/2</f>
        <v>8193262436651.1406</v>
      </c>
      <c r="D13" s="14">
        <f t="shared" ref="D13:J13" si="1">(C11+D11)/2</f>
        <v>8227208587262.4121</v>
      </c>
      <c r="E13" s="14">
        <f t="shared" si="1"/>
        <v>8294355741324.3994</v>
      </c>
      <c r="F13" s="14">
        <f t="shared" si="1"/>
        <v>8353223800814.0996</v>
      </c>
      <c r="G13" s="14">
        <f t="shared" si="1"/>
        <v>8390462770847.3906</v>
      </c>
      <c r="H13" s="14">
        <f t="shared" si="1"/>
        <v>8429672455313.5449</v>
      </c>
      <c r="I13" s="14">
        <f t="shared" si="1"/>
        <v>8532787165942.0488</v>
      </c>
      <c r="J13" s="14">
        <f t="shared" si="1"/>
        <v>8639927924890.8887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46066</v>
      </c>
      <c r="C16" s="2">
        <v>46073</v>
      </c>
      <c r="D16" s="2">
        <v>46080</v>
      </c>
      <c r="E16" s="2">
        <v>46087</v>
      </c>
      <c r="F16" s="2">
        <v>46094</v>
      </c>
      <c r="G16" s="2">
        <v>46099</v>
      </c>
      <c r="H16" s="2">
        <v>46108</v>
      </c>
      <c r="I16" s="2">
        <v>46114</v>
      </c>
      <c r="J16" s="2">
        <v>46122</v>
      </c>
      <c r="K16" s="15"/>
    </row>
    <row r="17" spans="1:11">
      <c r="A17" s="16" t="s">
        <v>321</v>
      </c>
      <c r="B17" s="17">
        <v>21462872515.84</v>
      </c>
      <c r="C17" s="17">
        <v>23060251227.759998</v>
      </c>
      <c r="D17" s="17">
        <v>23429388175.41</v>
      </c>
      <c r="E17" s="17">
        <v>23933072983.509998</v>
      </c>
      <c r="F17" s="17">
        <v>24024073678.48</v>
      </c>
      <c r="G17" s="17">
        <v>24066111842.459999</v>
      </c>
      <c r="H17" s="17">
        <v>24226803601.379997</v>
      </c>
      <c r="I17" s="17">
        <v>24882508960.419998</v>
      </c>
      <c r="J17" s="17">
        <v>25247393537.559998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WwD/H1jlyx809yjQWttbB1mf1GaiucCyZZqjsU8MgGi8QnirYle0ef9rEb2WgLl0ImHmqk8V8GYV1o8EF8iYKw==" saltValue="8BTBgUy7LRlYzmhPILYK7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2026-04-19T21:47:17Z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