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isaac\Desktop\Monthly Mutual Fund Update 2026\"/>
    </mc:Choice>
  </mc:AlternateContent>
  <bookViews>
    <workbookView xWindow="384" yWindow="384" windowWidth="19200" windowHeight="9972"/>
  </bookViews>
  <sheets>
    <sheet name="January" sheetId="7" r:id="rId1"/>
    <sheet name="NAV Comparison" sheetId="2" r:id="rId2"/>
    <sheet name="Market Share" sheetId="3" r:id="rId3"/>
    <sheet name="Unitholders" sheetId="6" r:id="rId4"/>
  </sheets>
  <externalReferences>
    <externalReference r:id="rId5"/>
  </externalReferences>
  <definedNames>
    <definedName name="_Hlk34300669" localSheetId="0">January!$K$66</definedName>
    <definedName name="Component">"Group"</definedName>
    <definedName name="FX_RATE">January!$C$242</definedName>
    <definedName name="pbCountingPages">FALSE</definedName>
  </definedNames>
  <calcPr calcId="162913"/>
</workbook>
</file>

<file path=xl/calcChain.xml><?xml version="1.0" encoding="utf-8"?>
<calcChain xmlns="http://schemas.openxmlformats.org/spreadsheetml/2006/main">
  <c r="L235" i="7" l="1"/>
  <c r="M235" i="7"/>
  <c r="N235" i="7"/>
  <c r="O235" i="7"/>
  <c r="P235" i="7"/>
  <c r="Q235" i="7"/>
  <c r="L236" i="7"/>
  <c r="M236" i="7"/>
  <c r="N236" i="7"/>
  <c r="O236" i="7"/>
  <c r="P236" i="7"/>
  <c r="Q236" i="7"/>
  <c r="L237" i="7"/>
  <c r="M237" i="7"/>
  <c r="N237" i="7"/>
  <c r="O237" i="7"/>
  <c r="P237" i="7"/>
  <c r="Q237" i="7"/>
  <c r="L238" i="7"/>
  <c r="M238" i="7"/>
  <c r="N238" i="7"/>
  <c r="O238" i="7"/>
  <c r="P238" i="7"/>
  <c r="Q238" i="7"/>
  <c r="L227" i="7"/>
  <c r="M227" i="7"/>
  <c r="N227" i="7"/>
  <c r="O227" i="7"/>
  <c r="P227" i="7"/>
  <c r="Q227" i="7"/>
  <c r="L228" i="7"/>
  <c r="M228" i="7"/>
  <c r="N228" i="7"/>
  <c r="O228" i="7"/>
  <c r="P228" i="7"/>
  <c r="Q228" i="7"/>
  <c r="L229" i="7"/>
  <c r="M229" i="7"/>
  <c r="N229" i="7"/>
  <c r="O229" i="7"/>
  <c r="P229" i="7"/>
  <c r="Q229" i="7"/>
  <c r="L211" i="7"/>
  <c r="M211" i="7"/>
  <c r="N211" i="7"/>
  <c r="O211" i="7"/>
  <c r="P211" i="7"/>
  <c r="Q211" i="7"/>
  <c r="L212" i="7"/>
  <c r="M212" i="7"/>
  <c r="N212" i="7"/>
  <c r="O212" i="7"/>
  <c r="P212" i="7"/>
  <c r="Q212" i="7"/>
  <c r="L213" i="7"/>
  <c r="M213" i="7"/>
  <c r="N213" i="7"/>
  <c r="O213" i="7"/>
  <c r="P213" i="7"/>
  <c r="Q213" i="7"/>
  <c r="L214" i="7"/>
  <c r="M214" i="7"/>
  <c r="N214" i="7"/>
  <c r="O214" i="7"/>
  <c r="P214" i="7"/>
  <c r="Q214" i="7"/>
  <c r="L215" i="7"/>
  <c r="M215" i="7"/>
  <c r="N215" i="7"/>
  <c r="O215" i="7"/>
  <c r="P215" i="7"/>
  <c r="Q215" i="7"/>
  <c r="L216" i="7"/>
  <c r="M216" i="7"/>
  <c r="N216" i="7"/>
  <c r="O216" i="7"/>
  <c r="P216" i="7"/>
  <c r="Q216" i="7"/>
  <c r="L217" i="7"/>
  <c r="M217" i="7"/>
  <c r="N217" i="7"/>
  <c r="O217" i="7"/>
  <c r="P217" i="7"/>
  <c r="Q217" i="7"/>
  <c r="L218" i="7"/>
  <c r="M218" i="7"/>
  <c r="N218" i="7"/>
  <c r="O218" i="7"/>
  <c r="P218" i="7"/>
  <c r="Q218" i="7"/>
  <c r="L219" i="7"/>
  <c r="M219" i="7"/>
  <c r="N219" i="7"/>
  <c r="O219" i="7"/>
  <c r="P219" i="7"/>
  <c r="Q219" i="7"/>
  <c r="L220" i="7"/>
  <c r="M220" i="7"/>
  <c r="N220" i="7"/>
  <c r="O220" i="7"/>
  <c r="P220" i="7"/>
  <c r="Q220" i="7"/>
  <c r="L221" i="7"/>
  <c r="M221" i="7"/>
  <c r="N221" i="7"/>
  <c r="O221" i="7"/>
  <c r="P221" i="7"/>
  <c r="Q221" i="7"/>
  <c r="L222" i="7"/>
  <c r="M222" i="7"/>
  <c r="N222" i="7"/>
  <c r="O222" i="7"/>
  <c r="P222" i="7"/>
  <c r="Q222" i="7"/>
  <c r="L223" i="7"/>
  <c r="M223" i="7"/>
  <c r="N223" i="7"/>
  <c r="O223" i="7"/>
  <c r="P223" i="7"/>
  <c r="Q223" i="7"/>
  <c r="L207" i="7"/>
  <c r="M207" i="7"/>
  <c r="N207" i="7"/>
  <c r="O207" i="7"/>
  <c r="P207" i="7"/>
  <c r="Q207" i="7"/>
  <c r="L201" i="7"/>
  <c r="M201" i="7"/>
  <c r="N201" i="7"/>
  <c r="O201" i="7"/>
  <c r="P201" i="7"/>
  <c r="Q201" i="7"/>
  <c r="L169" i="7"/>
  <c r="M169" i="7"/>
  <c r="N169" i="7"/>
  <c r="O169" i="7"/>
  <c r="P169" i="7"/>
  <c r="Q169" i="7"/>
  <c r="L170" i="7"/>
  <c r="M170" i="7"/>
  <c r="N170" i="7"/>
  <c r="O170" i="7"/>
  <c r="P170" i="7"/>
  <c r="Q170" i="7"/>
  <c r="L171" i="7"/>
  <c r="M171" i="7"/>
  <c r="N171" i="7"/>
  <c r="O171" i="7"/>
  <c r="P171" i="7"/>
  <c r="Q171" i="7"/>
  <c r="L172" i="7"/>
  <c r="M172" i="7"/>
  <c r="N172" i="7"/>
  <c r="O172" i="7"/>
  <c r="P172" i="7"/>
  <c r="Q172" i="7"/>
  <c r="L173" i="7"/>
  <c r="M173" i="7"/>
  <c r="N173" i="7"/>
  <c r="O173" i="7"/>
  <c r="P173" i="7"/>
  <c r="Q173" i="7"/>
  <c r="L174" i="7"/>
  <c r="M174" i="7"/>
  <c r="N174" i="7"/>
  <c r="O174" i="7"/>
  <c r="P174" i="7"/>
  <c r="Q174" i="7"/>
  <c r="L175" i="7"/>
  <c r="M175" i="7"/>
  <c r="N175" i="7"/>
  <c r="O175" i="7"/>
  <c r="P175" i="7"/>
  <c r="Q175" i="7"/>
  <c r="L176" i="7"/>
  <c r="M176" i="7"/>
  <c r="N176" i="7"/>
  <c r="O176" i="7"/>
  <c r="P176" i="7"/>
  <c r="Q176" i="7"/>
  <c r="L177" i="7"/>
  <c r="M177" i="7"/>
  <c r="N177" i="7"/>
  <c r="O177" i="7"/>
  <c r="P177" i="7"/>
  <c r="Q177" i="7"/>
  <c r="L178" i="7"/>
  <c r="M178" i="7"/>
  <c r="N178" i="7"/>
  <c r="O178" i="7"/>
  <c r="P178" i="7"/>
  <c r="Q178" i="7"/>
  <c r="L179" i="7"/>
  <c r="M179" i="7"/>
  <c r="N179" i="7"/>
  <c r="O179" i="7"/>
  <c r="P179" i="7"/>
  <c r="Q179" i="7"/>
  <c r="L180" i="7"/>
  <c r="M180" i="7"/>
  <c r="N180" i="7"/>
  <c r="O180" i="7"/>
  <c r="P180" i="7"/>
  <c r="Q180" i="7"/>
  <c r="L181" i="7"/>
  <c r="M181" i="7"/>
  <c r="N181" i="7"/>
  <c r="O181" i="7"/>
  <c r="P181" i="7"/>
  <c r="Q181" i="7"/>
  <c r="L182" i="7"/>
  <c r="M182" i="7"/>
  <c r="N182" i="7"/>
  <c r="O182" i="7"/>
  <c r="P182" i="7"/>
  <c r="Q182" i="7"/>
  <c r="L183" i="7"/>
  <c r="M183" i="7"/>
  <c r="N183" i="7"/>
  <c r="O183" i="7"/>
  <c r="P183" i="7"/>
  <c r="Q183" i="7"/>
  <c r="L184" i="7"/>
  <c r="M184" i="7"/>
  <c r="N184" i="7"/>
  <c r="O184" i="7"/>
  <c r="P184" i="7"/>
  <c r="Q184" i="7"/>
  <c r="L185" i="7"/>
  <c r="M185" i="7"/>
  <c r="N185" i="7"/>
  <c r="O185" i="7"/>
  <c r="P185" i="7"/>
  <c r="Q185" i="7"/>
  <c r="L186" i="7"/>
  <c r="M186" i="7"/>
  <c r="N186" i="7"/>
  <c r="O186" i="7"/>
  <c r="P186" i="7"/>
  <c r="Q186" i="7"/>
  <c r="L187" i="7"/>
  <c r="M187" i="7"/>
  <c r="N187" i="7"/>
  <c r="O187" i="7"/>
  <c r="P187" i="7"/>
  <c r="Q187" i="7"/>
  <c r="L188" i="7"/>
  <c r="M188" i="7"/>
  <c r="N188" i="7"/>
  <c r="O188" i="7"/>
  <c r="P188" i="7"/>
  <c r="Q188" i="7"/>
  <c r="L189" i="7"/>
  <c r="M189" i="7"/>
  <c r="N189" i="7"/>
  <c r="O189" i="7"/>
  <c r="P189" i="7"/>
  <c r="Q189" i="7"/>
  <c r="L190" i="7"/>
  <c r="M190" i="7"/>
  <c r="N190" i="7"/>
  <c r="O190" i="7"/>
  <c r="P190" i="7"/>
  <c r="Q190" i="7"/>
  <c r="L191" i="7"/>
  <c r="M191" i="7"/>
  <c r="N191" i="7"/>
  <c r="O191" i="7"/>
  <c r="P191" i="7"/>
  <c r="Q191" i="7"/>
  <c r="L192" i="7"/>
  <c r="M192" i="7"/>
  <c r="N192" i="7"/>
  <c r="O192" i="7"/>
  <c r="P192" i="7"/>
  <c r="Q192" i="7"/>
  <c r="L193" i="7"/>
  <c r="M193" i="7"/>
  <c r="N193" i="7"/>
  <c r="O193" i="7"/>
  <c r="P193" i="7"/>
  <c r="Q193" i="7"/>
  <c r="L194" i="7"/>
  <c r="M194" i="7"/>
  <c r="N194" i="7"/>
  <c r="O194" i="7"/>
  <c r="P194" i="7"/>
  <c r="Q194" i="7"/>
  <c r="L195" i="7"/>
  <c r="M195" i="7"/>
  <c r="N195" i="7"/>
  <c r="O195" i="7"/>
  <c r="P195" i="7"/>
  <c r="Q195" i="7"/>
  <c r="L196" i="7"/>
  <c r="M196" i="7"/>
  <c r="N196" i="7"/>
  <c r="O196" i="7"/>
  <c r="P196" i="7"/>
  <c r="Q196" i="7"/>
  <c r="L160" i="7"/>
  <c r="M160" i="7"/>
  <c r="N160" i="7"/>
  <c r="O160" i="7"/>
  <c r="P160" i="7"/>
  <c r="Q160" i="7"/>
  <c r="L161" i="7"/>
  <c r="M161" i="7"/>
  <c r="N161" i="7"/>
  <c r="O161" i="7"/>
  <c r="P161" i="7"/>
  <c r="Q161" i="7"/>
  <c r="L162" i="7"/>
  <c r="M162" i="7"/>
  <c r="N162" i="7"/>
  <c r="O162" i="7"/>
  <c r="P162" i="7"/>
  <c r="Q162" i="7"/>
  <c r="L163" i="7"/>
  <c r="M163" i="7"/>
  <c r="N163" i="7"/>
  <c r="O163" i="7"/>
  <c r="P163" i="7"/>
  <c r="Q163" i="7"/>
  <c r="L164" i="7"/>
  <c r="M164" i="7"/>
  <c r="N164" i="7"/>
  <c r="O164" i="7"/>
  <c r="P164" i="7"/>
  <c r="Q164" i="7"/>
  <c r="L138" i="7"/>
  <c r="M138" i="7"/>
  <c r="N138" i="7"/>
  <c r="O138" i="7"/>
  <c r="P138" i="7"/>
  <c r="Q138" i="7"/>
  <c r="L139" i="7"/>
  <c r="M139" i="7"/>
  <c r="N139" i="7"/>
  <c r="O139" i="7"/>
  <c r="P139" i="7"/>
  <c r="Q139" i="7"/>
  <c r="L140" i="7"/>
  <c r="M140" i="7"/>
  <c r="N140" i="7"/>
  <c r="O140" i="7"/>
  <c r="P140" i="7"/>
  <c r="Q140" i="7"/>
  <c r="L141" i="7"/>
  <c r="M141" i="7"/>
  <c r="N141" i="7"/>
  <c r="O141" i="7"/>
  <c r="P141" i="7"/>
  <c r="Q141" i="7"/>
  <c r="L142" i="7"/>
  <c r="M142" i="7"/>
  <c r="N142" i="7"/>
  <c r="O142" i="7"/>
  <c r="P142" i="7"/>
  <c r="Q142" i="7"/>
  <c r="L143" i="7"/>
  <c r="M143" i="7"/>
  <c r="N143" i="7"/>
  <c r="O143" i="7"/>
  <c r="P143" i="7"/>
  <c r="Q143" i="7"/>
  <c r="L144" i="7"/>
  <c r="M144" i="7"/>
  <c r="N144" i="7"/>
  <c r="O144" i="7"/>
  <c r="P144" i="7"/>
  <c r="Q144" i="7"/>
  <c r="L145" i="7"/>
  <c r="M145" i="7"/>
  <c r="N145" i="7"/>
  <c r="O145" i="7"/>
  <c r="P145" i="7"/>
  <c r="Q145" i="7"/>
  <c r="L146" i="7"/>
  <c r="M146" i="7"/>
  <c r="N146" i="7"/>
  <c r="O146" i="7"/>
  <c r="P146" i="7"/>
  <c r="Q146" i="7"/>
  <c r="L147" i="7"/>
  <c r="M147" i="7"/>
  <c r="N147" i="7"/>
  <c r="O147" i="7"/>
  <c r="P147" i="7"/>
  <c r="Q147" i="7"/>
  <c r="L148" i="7"/>
  <c r="M148" i="7"/>
  <c r="N148" i="7"/>
  <c r="O148" i="7"/>
  <c r="P148" i="7"/>
  <c r="Q148" i="7"/>
  <c r="L149" i="7"/>
  <c r="M149" i="7"/>
  <c r="N149" i="7"/>
  <c r="O149" i="7"/>
  <c r="P149" i="7"/>
  <c r="Q149" i="7"/>
  <c r="L150" i="7"/>
  <c r="M150" i="7"/>
  <c r="N150" i="7"/>
  <c r="O150" i="7"/>
  <c r="P150" i="7"/>
  <c r="Q150" i="7"/>
  <c r="L151" i="7"/>
  <c r="M151" i="7"/>
  <c r="N151" i="7"/>
  <c r="O151" i="7"/>
  <c r="P151" i="7"/>
  <c r="Q151" i="7"/>
  <c r="L152" i="7"/>
  <c r="M152" i="7"/>
  <c r="N152" i="7"/>
  <c r="O152" i="7"/>
  <c r="P152" i="7"/>
  <c r="Q152" i="7"/>
  <c r="L153" i="7"/>
  <c r="M153" i="7"/>
  <c r="N153" i="7"/>
  <c r="O153" i="7"/>
  <c r="P153" i="7"/>
  <c r="Q153" i="7"/>
  <c r="L154" i="7"/>
  <c r="M154" i="7"/>
  <c r="N154" i="7"/>
  <c r="O154" i="7"/>
  <c r="P154" i="7"/>
  <c r="Q154" i="7"/>
  <c r="L155" i="7"/>
  <c r="M155" i="7"/>
  <c r="N155" i="7"/>
  <c r="O155" i="7"/>
  <c r="P155" i="7"/>
  <c r="Q155" i="7"/>
  <c r="L119" i="7"/>
  <c r="M119" i="7"/>
  <c r="N119" i="7"/>
  <c r="O119" i="7"/>
  <c r="P119" i="7"/>
  <c r="Q119" i="7"/>
  <c r="L120" i="7"/>
  <c r="M120" i="7"/>
  <c r="N120" i="7"/>
  <c r="O120" i="7"/>
  <c r="P120" i="7"/>
  <c r="Q120" i="7"/>
  <c r="L121" i="7"/>
  <c r="M121" i="7"/>
  <c r="N121" i="7"/>
  <c r="O121" i="7"/>
  <c r="P121" i="7"/>
  <c r="Q121" i="7"/>
  <c r="L122" i="7"/>
  <c r="M122" i="7"/>
  <c r="N122" i="7"/>
  <c r="O122" i="7"/>
  <c r="P122" i="7"/>
  <c r="Q122" i="7"/>
  <c r="L123" i="7"/>
  <c r="M123" i="7"/>
  <c r="N123" i="7"/>
  <c r="O123" i="7"/>
  <c r="P123" i="7"/>
  <c r="Q123" i="7"/>
  <c r="L124" i="7"/>
  <c r="M124" i="7"/>
  <c r="N124" i="7"/>
  <c r="O124" i="7"/>
  <c r="P124" i="7"/>
  <c r="Q124" i="7"/>
  <c r="L125" i="7"/>
  <c r="M125" i="7"/>
  <c r="N125" i="7"/>
  <c r="O125" i="7"/>
  <c r="P125" i="7"/>
  <c r="Q125" i="7"/>
  <c r="L126" i="7"/>
  <c r="M126" i="7"/>
  <c r="N126" i="7"/>
  <c r="O126" i="7"/>
  <c r="P126" i="7"/>
  <c r="Q126" i="7"/>
  <c r="L127" i="7"/>
  <c r="M127" i="7"/>
  <c r="N127" i="7"/>
  <c r="O127" i="7"/>
  <c r="P127" i="7"/>
  <c r="Q127" i="7"/>
  <c r="L128" i="7"/>
  <c r="M128" i="7"/>
  <c r="N128" i="7"/>
  <c r="O128" i="7"/>
  <c r="P128" i="7"/>
  <c r="Q128" i="7"/>
  <c r="L129" i="7"/>
  <c r="M129" i="7"/>
  <c r="N129" i="7"/>
  <c r="O129" i="7"/>
  <c r="P129" i="7"/>
  <c r="Q129" i="7"/>
  <c r="L130" i="7"/>
  <c r="M130" i="7"/>
  <c r="N130" i="7"/>
  <c r="O130" i="7"/>
  <c r="P130" i="7"/>
  <c r="Q130" i="7"/>
  <c r="L131" i="7"/>
  <c r="M131" i="7"/>
  <c r="N131" i="7"/>
  <c r="O131" i="7"/>
  <c r="P131" i="7"/>
  <c r="Q131" i="7"/>
  <c r="L132" i="7"/>
  <c r="M132" i="7"/>
  <c r="N132" i="7"/>
  <c r="O132" i="7"/>
  <c r="P132" i="7"/>
  <c r="Q132" i="7"/>
  <c r="L133" i="7"/>
  <c r="M133" i="7"/>
  <c r="N133" i="7"/>
  <c r="O133" i="7"/>
  <c r="P133" i="7"/>
  <c r="Q133" i="7"/>
  <c r="L134" i="7"/>
  <c r="M134" i="7"/>
  <c r="N134" i="7"/>
  <c r="O134" i="7"/>
  <c r="P134" i="7"/>
  <c r="Q134" i="7"/>
  <c r="L76" i="7"/>
  <c r="M76" i="7"/>
  <c r="N76" i="7"/>
  <c r="O76" i="7"/>
  <c r="P76" i="7"/>
  <c r="Q76" i="7"/>
  <c r="L77" i="7"/>
  <c r="M77" i="7"/>
  <c r="N77" i="7"/>
  <c r="O77" i="7"/>
  <c r="P77" i="7"/>
  <c r="Q77" i="7"/>
  <c r="L78" i="7"/>
  <c r="M78" i="7"/>
  <c r="N78" i="7"/>
  <c r="O78" i="7"/>
  <c r="P78" i="7"/>
  <c r="Q78" i="7"/>
  <c r="L79" i="7"/>
  <c r="M79" i="7"/>
  <c r="N79" i="7"/>
  <c r="O79" i="7"/>
  <c r="P79" i="7"/>
  <c r="Q79" i="7"/>
  <c r="L80" i="7"/>
  <c r="M80" i="7"/>
  <c r="N80" i="7"/>
  <c r="O80" i="7"/>
  <c r="P80" i="7"/>
  <c r="Q80" i="7"/>
  <c r="L81" i="7"/>
  <c r="M81" i="7"/>
  <c r="N81" i="7"/>
  <c r="O81" i="7"/>
  <c r="P81" i="7"/>
  <c r="Q81" i="7"/>
  <c r="L82" i="7"/>
  <c r="M82" i="7"/>
  <c r="N82" i="7"/>
  <c r="O82" i="7"/>
  <c r="P82" i="7"/>
  <c r="Q82" i="7"/>
  <c r="L83" i="7"/>
  <c r="M83" i="7"/>
  <c r="N83" i="7"/>
  <c r="O83" i="7"/>
  <c r="P83" i="7"/>
  <c r="Q83" i="7"/>
  <c r="L84" i="7"/>
  <c r="M84" i="7"/>
  <c r="N84" i="7"/>
  <c r="O84" i="7"/>
  <c r="P84" i="7"/>
  <c r="Q84" i="7"/>
  <c r="L85" i="7"/>
  <c r="M85" i="7"/>
  <c r="N85" i="7"/>
  <c r="O85" i="7"/>
  <c r="P85" i="7"/>
  <c r="Q85" i="7"/>
  <c r="L86" i="7"/>
  <c r="M86" i="7"/>
  <c r="N86" i="7"/>
  <c r="O86" i="7"/>
  <c r="P86" i="7"/>
  <c r="Q86" i="7"/>
  <c r="L87" i="7"/>
  <c r="M87" i="7"/>
  <c r="N87" i="7"/>
  <c r="O87" i="7"/>
  <c r="P87" i="7"/>
  <c r="Q87" i="7"/>
  <c r="L88" i="7"/>
  <c r="M88" i="7"/>
  <c r="N88" i="7"/>
  <c r="O88" i="7"/>
  <c r="P88" i="7"/>
  <c r="Q88" i="7"/>
  <c r="L89" i="7"/>
  <c r="M89" i="7"/>
  <c r="N89" i="7"/>
  <c r="O89" i="7"/>
  <c r="P89" i="7"/>
  <c r="Q89" i="7"/>
  <c r="L90" i="7"/>
  <c r="M90" i="7"/>
  <c r="N90" i="7"/>
  <c r="O90" i="7"/>
  <c r="P90" i="7"/>
  <c r="Q90" i="7"/>
  <c r="L91" i="7"/>
  <c r="M91" i="7"/>
  <c r="N91" i="7"/>
  <c r="O91" i="7"/>
  <c r="P91" i="7"/>
  <c r="Q91" i="7"/>
  <c r="L92" i="7"/>
  <c r="M92" i="7"/>
  <c r="N92" i="7"/>
  <c r="O92" i="7"/>
  <c r="P92" i="7"/>
  <c r="Q92" i="7"/>
  <c r="L93" i="7"/>
  <c r="M93" i="7"/>
  <c r="N93" i="7"/>
  <c r="O93" i="7"/>
  <c r="P93" i="7"/>
  <c r="Q93" i="7"/>
  <c r="L94" i="7"/>
  <c r="M94" i="7"/>
  <c r="N94" i="7"/>
  <c r="O94" i="7"/>
  <c r="P94" i="7"/>
  <c r="Q94" i="7"/>
  <c r="L95" i="7"/>
  <c r="M95" i="7"/>
  <c r="N95" i="7"/>
  <c r="O95" i="7"/>
  <c r="P95" i="7"/>
  <c r="Q95" i="7"/>
  <c r="L96" i="7"/>
  <c r="M96" i="7"/>
  <c r="N96" i="7"/>
  <c r="O96" i="7"/>
  <c r="P96" i="7"/>
  <c r="Q96" i="7"/>
  <c r="L97" i="7"/>
  <c r="M97" i="7"/>
  <c r="N97" i="7"/>
  <c r="O97" i="7"/>
  <c r="P97" i="7"/>
  <c r="Q97" i="7"/>
  <c r="L98" i="7"/>
  <c r="M98" i="7"/>
  <c r="N98" i="7"/>
  <c r="O98" i="7"/>
  <c r="P98" i="7"/>
  <c r="Q98" i="7"/>
  <c r="L99" i="7"/>
  <c r="M99" i="7"/>
  <c r="N99" i="7"/>
  <c r="O99" i="7"/>
  <c r="P99" i="7"/>
  <c r="Q99" i="7"/>
  <c r="L100" i="7"/>
  <c r="M100" i="7"/>
  <c r="N100" i="7"/>
  <c r="O100" i="7"/>
  <c r="P100" i="7"/>
  <c r="Q100" i="7"/>
  <c r="L101" i="7"/>
  <c r="M101" i="7"/>
  <c r="N101" i="7"/>
  <c r="O101" i="7"/>
  <c r="P101" i="7"/>
  <c r="Q101" i="7"/>
  <c r="L102" i="7"/>
  <c r="M102" i="7"/>
  <c r="N102" i="7"/>
  <c r="O102" i="7"/>
  <c r="P102" i="7"/>
  <c r="Q102" i="7"/>
  <c r="L103" i="7"/>
  <c r="M103" i="7"/>
  <c r="N103" i="7"/>
  <c r="O103" i="7"/>
  <c r="P103" i="7"/>
  <c r="Q103" i="7"/>
  <c r="L104" i="7"/>
  <c r="M104" i="7"/>
  <c r="N104" i="7"/>
  <c r="O104" i="7"/>
  <c r="P104" i="7"/>
  <c r="Q104" i="7"/>
  <c r="L105" i="7"/>
  <c r="M105" i="7"/>
  <c r="N105" i="7"/>
  <c r="O105" i="7"/>
  <c r="P105" i="7"/>
  <c r="Q105" i="7"/>
  <c r="L106" i="7"/>
  <c r="M106" i="7"/>
  <c r="N106" i="7"/>
  <c r="O106" i="7"/>
  <c r="P106" i="7"/>
  <c r="Q106" i="7"/>
  <c r="L107" i="7"/>
  <c r="M107" i="7"/>
  <c r="N107" i="7"/>
  <c r="O107" i="7"/>
  <c r="P107" i="7"/>
  <c r="Q107" i="7"/>
  <c r="L108" i="7"/>
  <c r="M108" i="7"/>
  <c r="N108" i="7"/>
  <c r="O108" i="7"/>
  <c r="P108" i="7"/>
  <c r="Q108" i="7"/>
  <c r="L109" i="7"/>
  <c r="M109" i="7"/>
  <c r="N109" i="7"/>
  <c r="O109" i="7"/>
  <c r="P109" i="7"/>
  <c r="Q109" i="7"/>
  <c r="L110" i="7"/>
  <c r="M110" i="7"/>
  <c r="N110" i="7"/>
  <c r="O110" i="7"/>
  <c r="P110" i="7"/>
  <c r="Q110" i="7"/>
  <c r="L111" i="7"/>
  <c r="M111" i="7"/>
  <c r="N111" i="7"/>
  <c r="O111" i="7"/>
  <c r="P111" i="7"/>
  <c r="Q111" i="7"/>
  <c r="L112" i="7"/>
  <c r="M112" i="7"/>
  <c r="N112" i="7"/>
  <c r="O112" i="7"/>
  <c r="P112" i="7"/>
  <c r="Q112" i="7"/>
  <c r="L113" i="7"/>
  <c r="M113" i="7"/>
  <c r="N113" i="7"/>
  <c r="O113" i="7"/>
  <c r="P113" i="7"/>
  <c r="Q113" i="7"/>
  <c r="L29" i="7"/>
  <c r="M29" i="7"/>
  <c r="N29" i="7"/>
  <c r="O29" i="7"/>
  <c r="P29" i="7"/>
  <c r="Q29" i="7"/>
  <c r="L30" i="7"/>
  <c r="M30" i="7"/>
  <c r="N30" i="7"/>
  <c r="O30" i="7"/>
  <c r="P30" i="7"/>
  <c r="Q30" i="7"/>
  <c r="L31" i="7"/>
  <c r="M31" i="7"/>
  <c r="N31" i="7"/>
  <c r="O31" i="7"/>
  <c r="P31" i="7"/>
  <c r="Q31" i="7"/>
  <c r="L32" i="7"/>
  <c r="M32" i="7"/>
  <c r="N32" i="7"/>
  <c r="O32" i="7"/>
  <c r="P32" i="7"/>
  <c r="Q32" i="7"/>
  <c r="L33" i="7"/>
  <c r="M33" i="7"/>
  <c r="N33" i="7"/>
  <c r="O33" i="7"/>
  <c r="P33" i="7"/>
  <c r="Q33" i="7"/>
  <c r="L34" i="7"/>
  <c r="M34" i="7"/>
  <c r="N34" i="7"/>
  <c r="O34" i="7"/>
  <c r="P34" i="7"/>
  <c r="Q34" i="7"/>
  <c r="L35" i="7"/>
  <c r="M35" i="7"/>
  <c r="N35" i="7"/>
  <c r="O35" i="7"/>
  <c r="P35" i="7"/>
  <c r="Q35" i="7"/>
  <c r="L36" i="7"/>
  <c r="M36" i="7"/>
  <c r="N36" i="7"/>
  <c r="O36" i="7"/>
  <c r="P36" i="7"/>
  <c r="Q36" i="7"/>
  <c r="L37" i="7"/>
  <c r="M37" i="7"/>
  <c r="N37" i="7"/>
  <c r="O37" i="7"/>
  <c r="P37" i="7"/>
  <c r="Q37" i="7"/>
  <c r="L38" i="7"/>
  <c r="M38" i="7"/>
  <c r="N38" i="7"/>
  <c r="O38" i="7"/>
  <c r="P38" i="7"/>
  <c r="Q38" i="7"/>
  <c r="L39" i="7"/>
  <c r="M39" i="7"/>
  <c r="N39" i="7"/>
  <c r="O39" i="7"/>
  <c r="P39" i="7"/>
  <c r="Q39" i="7"/>
  <c r="L40" i="7"/>
  <c r="M40" i="7"/>
  <c r="N40" i="7"/>
  <c r="O40" i="7"/>
  <c r="P40" i="7"/>
  <c r="Q40" i="7"/>
  <c r="L41" i="7"/>
  <c r="M41" i="7"/>
  <c r="N41" i="7"/>
  <c r="O41" i="7"/>
  <c r="P41" i="7"/>
  <c r="Q41" i="7"/>
  <c r="L42" i="7"/>
  <c r="M42" i="7"/>
  <c r="N42" i="7"/>
  <c r="O42" i="7"/>
  <c r="P42" i="7"/>
  <c r="Q42" i="7"/>
  <c r="L43" i="7"/>
  <c r="M43" i="7"/>
  <c r="N43" i="7"/>
  <c r="O43" i="7"/>
  <c r="P43" i="7"/>
  <c r="Q43" i="7"/>
  <c r="L44" i="7"/>
  <c r="M44" i="7"/>
  <c r="N44" i="7"/>
  <c r="O44" i="7"/>
  <c r="P44" i="7"/>
  <c r="Q44" i="7"/>
  <c r="L45" i="7"/>
  <c r="M45" i="7"/>
  <c r="N45" i="7"/>
  <c r="O45" i="7"/>
  <c r="P45" i="7"/>
  <c r="Q45" i="7"/>
  <c r="L46" i="7"/>
  <c r="M46" i="7"/>
  <c r="N46" i="7"/>
  <c r="O46" i="7"/>
  <c r="P46" i="7"/>
  <c r="Q46" i="7"/>
  <c r="L47" i="7"/>
  <c r="M47" i="7"/>
  <c r="N47" i="7"/>
  <c r="O47" i="7"/>
  <c r="P47" i="7"/>
  <c r="Q47" i="7"/>
  <c r="L48" i="7"/>
  <c r="M48" i="7"/>
  <c r="N48" i="7"/>
  <c r="O48" i="7"/>
  <c r="P48" i="7"/>
  <c r="Q48" i="7"/>
  <c r="L49" i="7"/>
  <c r="M49" i="7"/>
  <c r="N49" i="7"/>
  <c r="O49" i="7"/>
  <c r="P49" i="7"/>
  <c r="Q49" i="7"/>
  <c r="L50" i="7"/>
  <c r="M50" i="7"/>
  <c r="N50" i="7"/>
  <c r="O50" i="7"/>
  <c r="P50" i="7"/>
  <c r="Q50" i="7"/>
  <c r="L51" i="7"/>
  <c r="M51" i="7"/>
  <c r="N51" i="7"/>
  <c r="O51" i="7"/>
  <c r="P51" i="7"/>
  <c r="Q51" i="7"/>
  <c r="L52" i="7"/>
  <c r="M52" i="7"/>
  <c r="N52" i="7"/>
  <c r="O52" i="7"/>
  <c r="P52" i="7"/>
  <c r="Q52" i="7"/>
  <c r="L53" i="7"/>
  <c r="M53" i="7"/>
  <c r="N53" i="7"/>
  <c r="O53" i="7"/>
  <c r="P53" i="7"/>
  <c r="Q53" i="7"/>
  <c r="L54" i="7"/>
  <c r="M54" i="7"/>
  <c r="N54" i="7"/>
  <c r="O54" i="7"/>
  <c r="P54" i="7"/>
  <c r="Q54" i="7"/>
  <c r="L55" i="7"/>
  <c r="M55" i="7"/>
  <c r="N55" i="7"/>
  <c r="O55" i="7"/>
  <c r="P55" i="7"/>
  <c r="Q55" i="7"/>
  <c r="L56" i="7"/>
  <c r="M56" i="7"/>
  <c r="N56" i="7"/>
  <c r="O56" i="7"/>
  <c r="P56" i="7"/>
  <c r="Q56" i="7"/>
  <c r="L57" i="7"/>
  <c r="M57" i="7"/>
  <c r="N57" i="7"/>
  <c r="O57" i="7"/>
  <c r="P57" i="7"/>
  <c r="Q57" i="7"/>
  <c r="L58" i="7"/>
  <c r="M58" i="7"/>
  <c r="N58" i="7"/>
  <c r="O58" i="7"/>
  <c r="P58" i="7"/>
  <c r="Q58" i="7"/>
  <c r="L59" i="7"/>
  <c r="M59" i="7"/>
  <c r="N59" i="7"/>
  <c r="O59" i="7"/>
  <c r="P59" i="7"/>
  <c r="Q59" i="7"/>
  <c r="L60" i="7"/>
  <c r="M60" i="7"/>
  <c r="N60" i="7"/>
  <c r="O60" i="7"/>
  <c r="P60" i="7"/>
  <c r="Q60" i="7"/>
  <c r="L61" i="7"/>
  <c r="M61" i="7"/>
  <c r="N61" i="7"/>
  <c r="O61" i="7"/>
  <c r="P61" i="7"/>
  <c r="Q61" i="7"/>
  <c r="L62" i="7"/>
  <c r="M62" i="7"/>
  <c r="N62" i="7"/>
  <c r="O62" i="7"/>
  <c r="P62" i="7"/>
  <c r="Q62" i="7"/>
  <c r="L63" i="7"/>
  <c r="M63" i="7"/>
  <c r="N63" i="7"/>
  <c r="O63" i="7"/>
  <c r="P63" i="7"/>
  <c r="Q63" i="7"/>
  <c r="L64" i="7"/>
  <c r="M64" i="7"/>
  <c r="N64" i="7"/>
  <c r="O64" i="7"/>
  <c r="P64" i="7"/>
  <c r="Q64" i="7"/>
  <c r="L65" i="7"/>
  <c r="M65" i="7"/>
  <c r="N65" i="7"/>
  <c r="O65" i="7"/>
  <c r="P65" i="7"/>
  <c r="Q65" i="7"/>
  <c r="L66" i="7"/>
  <c r="M66" i="7"/>
  <c r="N66" i="7"/>
  <c r="O66" i="7"/>
  <c r="P66" i="7"/>
  <c r="Q66" i="7"/>
  <c r="L67" i="7"/>
  <c r="M67" i="7"/>
  <c r="N67" i="7"/>
  <c r="O67" i="7"/>
  <c r="P67" i="7"/>
  <c r="Q67" i="7"/>
  <c r="L68" i="7"/>
  <c r="M68" i="7"/>
  <c r="N68" i="7"/>
  <c r="O68" i="7"/>
  <c r="P68" i="7"/>
  <c r="Q68" i="7"/>
  <c r="L69" i="7"/>
  <c r="M69" i="7"/>
  <c r="N69" i="7"/>
  <c r="O69" i="7"/>
  <c r="P69" i="7"/>
  <c r="Q69" i="7"/>
  <c r="L70" i="7"/>
  <c r="M70" i="7"/>
  <c r="N70" i="7"/>
  <c r="O70" i="7"/>
  <c r="P70" i="7"/>
  <c r="Q70" i="7"/>
  <c r="L71" i="7"/>
  <c r="M71" i="7"/>
  <c r="N71" i="7"/>
  <c r="O71" i="7"/>
  <c r="P71" i="7"/>
  <c r="Q71" i="7"/>
  <c r="L6" i="7"/>
  <c r="M6" i="7"/>
  <c r="N6" i="7"/>
  <c r="O6" i="7"/>
  <c r="P6" i="7"/>
  <c r="Q6" i="7"/>
  <c r="L7" i="7"/>
  <c r="M7" i="7"/>
  <c r="N7" i="7"/>
  <c r="O7" i="7"/>
  <c r="P7" i="7"/>
  <c r="Q7" i="7"/>
  <c r="L8" i="7"/>
  <c r="M8" i="7"/>
  <c r="N8" i="7"/>
  <c r="O8" i="7"/>
  <c r="P8" i="7"/>
  <c r="Q8" i="7"/>
  <c r="L9" i="7"/>
  <c r="M9" i="7"/>
  <c r="N9" i="7"/>
  <c r="O9" i="7"/>
  <c r="P9" i="7"/>
  <c r="Q9" i="7"/>
  <c r="L10" i="7"/>
  <c r="M10" i="7"/>
  <c r="N10" i="7"/>
  <c r="O10" i="7"/>
  <c r="P10" i="7"/>
  <c r="Q10" i="7"/>
  <c r="L11" i="7"/>
  <c r="M11" i="7"/>
  <c r="N11" i="7"/>
  <c r="O11" i="7"/>
  <c r="P11" i="7"/>
  <c r="Q11" i="7"/>
  <c r="L12" i="7"/>
  <c r="M12" i="7"/>
  <c r="N12" i="7"/>
  <c r="O12" i="7"/>
  <c r="P12" i="7"/>
  <c r="Q12" i="7"/>
  <c r="L13" i="7"/>
  <c r="M13" i="7"/>
  <c r="N13" i="7"/>
  <c r="O13" i="7"/>
  <c r="P13" i="7"/>
  <c r="Q13" i="7"/>
  <c r="L14" i="7"/>
  <c r="M14" i="7"/>
  <c r="N14" i="7"/>
  <c r="O14" i="7"/>
  <c r="P14" i="7"/>
  <c r="Q14" i="7"/>
  <c r="L15" i="7"/>
  <c r="M15" i="7"/>
  <c r="N15" i="7"/>
  <c r="O15" i="7"/>
  <c r="P15" i="7"/>
  <c r="Q15" i="7"/>
  <c r="L16" i="7"/>
  <c r="M16" i="7"/>
  <c r="N16" i="7"/>
  <c r="O16" i="7"/>
  <c r="P16" i="7"/>
  <c r="Q16" i="7"/>
  <c r="L17" i="7"/>
  <c r="M17" i="7"/>
  <c r="N17" i="7"/>
  <c r="O17" i="7"/>
  <c r="P17" i="7"/>
  <c r="Q17" i="7"/>
  <c r="L18" i="7"/>
  <c r="M18" i="7"/>
  <c r="N18" i="7"/>
  <c r="O18" i="7"/>
  <c r="P18" i="7"/>
  <c r="Q18" i="7"/>
  <c r="L19" i="7"/>
  <c r="M19" i="7"/>
  <c r="N19" i="7"/>
  <c r="O19" i="7"/>
  <c r="P19" i="7"/>
  <c r="Q19" i="7"/>
  <c r="L20" i="7"/>
  <c r="M20" i="7"/>
  <c r="N20" i="7"/>
  <c r="O20" i="7"/>
  <c r="P20" i="7"/>
  <c r="Q20" i="7"/>
  <c r="L21" i="7"/>
  <c r="M21" i="7"/>
  <c r="N21" i="7"/>
  <c r="O21" i="7"/>
  <c r="P21" i="7"/>
  <c r="Q21" i="7"/>
  <c r="L22" i="7"/>
  <c r="M22" i="7"/>
  <c r="N22" i="7"/>
  <c r="O22" i="7"/>
  <c r="P22" i="7"/>
  <c r="Q22" i="7"/>
  <c r="L23" i="7"/>
  <c r="M23" i="7"/>
  <c r="N23" i="7"/>
  <c r="O23" i="7"/>
  <c r="P23" i="7"/>
  <c r="Q23" i="7"/>
  <c r="L24" i="7"/>
  <c r="M24" i="7"/>
  <c r="N24" i="7"/>
  <c r="O24" i="7"/>
  <c r="P24" i="7"/>
  <c r="Q24" i="7"/>
  <c r="J6" i="7" l="1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60" i="7"/>
  <c r="J161" i="7"/>
  <c r="J162" i="7"/>
  <c r="J163" i="7"/>
  <c r="J164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201" i="7"/>
  <c r="J207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7" i="7"/>
  <c r="J228" i="7"/>
  <c r="J229" i="7"/>
  <c r="J235" i="7"/>
  <c r="J236" i="7"/>
  <c r="J237" i="7"/>
  <c r="J238" i="7"/>
  <c r="H143" i="7"/>
  <c r="B13" i="2" l="1"/>
  <c r="B12" i="2"/>
  <c r="B11" i="2"/>
  <c r="B10" i="2"/>
  <c r="B9" i="2"/>
  <c r="B8" i="2"/>
  <c r="B7" i="2"/>
  <c r="B6" i="2"/>
  <c r="B5" i="2"/>
  <c r="H31" i="7" l="1"/>
  <c r="H48" i="7" l="1"/>
  <c r="H23" i="7" l="1"/>
  <c r="H219" i="7" l="1"/>
  <c r="S130" i="7" l="1"/>
  <c r="R130" i="7"/>
  <c r="K130" i="7"/>
  <c r="G130" i="7"/>
  <c r="D130" i="7"/>
  <c r="S123" i="7"/>
  <c r="R123" i="7"/>
  <c r="K123" i="7"/>
  <c r="G123" i="7"/>
  <c r="E123" i="7"/>
  <c r="D123" i="7"/>
  <c r="R132" i="7"/>
  <c r="S132" i="7"/>
  <c r="K132" i="7"/>
  <c r="G132" i="7"/>
  <c r="E132" i="7"/>
  <c r="D132" i="7"/>
  <c r="R152" i="7"/>
  <c r="S152" i="7"/>
  <c r="K152" i="7"/>
  <c r="G152" i="7"/>
  <c r="E152" i="7"/>
  <c r="D152" i="7"/>
  <c r="S155" i="7"/>
  <c r="R155" i="7"/>
  <c r="K155" i="7"/>
  <c r="G155" i="7"/>
  <c r="E155" i="7"/>
  <c r="D155" i="7"/>
  <c r="S149" i="7"/>
  <c r="R149" i="7"/>
  <c r="K149" i="7"/>
  <c r="E149" i="7"/>
  <c r="D149" i="7"/>
  <c r="S143" i="7"/>
  <c r="R143" i="7"/>
  <c r="K143" i="7"/>
  <c r="G143" i="7"/>
  <c r="E143" i="7"/>
  <c r="H92" i="7"/>
  <c r="R121" i="7"/>
  <c r="S121" i="7"/>
  <c r="K121" i="7"/>
  <c r="G121" i="7"/>
  <c r="F121" i="7"/>
  <c r="E121" i="7"/>
  <c r="D121" i="7"/>
  <c r="S234" i="7"/>
  <c r="R234" i="7"/>
  <c r="K234" i="7"/>
  <c r="G234" i="7"/>
  <c r="F234" i="7"/>
  <c r="E234" i="7"/>
  <c r="D234" i="7"/>
  <c r="S134" i="7"/>
  <c r="R134" i="7"/>
  <c r="K134" i="7"/>
  <c r="G134" i="7"/>
  <c r="E134" i="7"/>
  <c r="D134" i="7"/>
  <c r="S120" i="7"/>
  <c r="R120" i="7"/>
  <c r="K120" i="7"/>
  <c r="G120" i="7"/>
  <c r="F120" i="7"/>
  <c r="E120" i="7"/>
  <c r="D120" i="7"/>
  <c r="S142" i="7"/>
  <c r="R142" i="7"/>
  <c r="K142" i="7"/>
  <c r="G142" i="7"/>
  <c r="E142" i="7"/>
  <c r="D142" i="7"/>
  <c r="K139" i="7"/>
  <c r="G139" i="7"/>
  <c r="E139" i="7"/>
  <c r="D139" i="7"/>
  <c r="H220" i="7"/>
  <c r="R153" i="7"/>
  <c r="S153" i="7"/>
  <c r="K153" i="7"/>
  <c r="G153" i="7"/>
  <c r="E153" i="7"/>
  <c r="D153" i="7"/>
  <c r="R126" i="7"/>
  <c r="S126" i="7"/>
  <c r="K126" i="7"/>
  <c r="G126" i="7"/>
  <c r="E126" i="7"/>
  <c r="D126" i="7"/>
  <c r="K147" i="7"/>
  <c r="G147" i="7"/>
  <c r="F147" i="7"/>
  <c r="E147" i="7"/>
  <c r="D147" i="7"/>
  <c r="S137" i="7"/>
  <c r="R137" i="7"/>
  <c r="K137" i="7"/>
  <c r="G137" i="7"/>
  <c r="E137" i="7"/>
  <c r="D137" i="7"/>
  <c r="K144" i="7"/>
  <c r="G144" i="7"/>
  <c r="E144" i="7"/>
  <c r="D144" i="7"/>
  <c r="R141" i="7"/>
  <c r="S141" i="7"/>
  <c r="S131" i="7"/>
  <c r="R131" i="7"/>
  <c r="K131" i="7"/>
  <c r="G131" i="7"/>
  <c r="E131" i="7"/>
  <c r="D131" i="7"/>
  <c r="R128" i="7"/>
  <c r="S128" i="7"/>
  <c r="R236" i="7"/>
  <c r="S236" i="7"/>
  <c r="H179" i="7"/>
  <c r="H180" i="7"/>
  <c r="S127" i="7"/>
  <c r="R127" i="7"/>
  <c r="K129" i="7"/>
  <c r="G129" i="7"/>
  <c r="E129" i="7"/>
  <c r="D129" i="7"/>
  <c r="S150" i="7"/>
  <c r="R150" i="7"/>
  <c r="K150" i="7"/>
  <c r="G150" i="7"/>
  <c r="E150" i="7"/>
  <c r="D150" i="7"/>
  <c r="S125" i="7"/>
  <c r="R125" i="7"/>
  <c r="K125" i="7"/>
  <c r="G125" i="7"/>
  <c r="E125" i="7"/>
  <c r="D125" i="7"/>
  <c r="S140" i="7"/>
  <c r="R140" i="7"/>
  <c r="K140" i="7"/>
  <c r="G140" i="7"/>
  <c r="E140" i="7"/>
  <c r="D140" i="7"/>
  <c r="H111" i="7"/>
  <c r="S148" i="7"/>
  <c r="R148" i="7"/>
  <c r="K148" i="7"/>
  <c r="G148" i="7"/>
  <c r="F148" i="7"/>
  <c r="E148" i="7"/>
  <c r="D148" i="7"/>
  <c r="S154" i="7"/>
  <c r="R154" i="7"/>
  <c r="K154" i="7"/>
  <c r="G154" i="7"/>
  <c r="F154" i="7"/>
  <c r="E154" i="7"/>
  <c r="D154" i="7"/>
  <c r="H221" i="7"/>
  <c r="K119" i="7"/>
  <c r="G119" i="7"/>
  <c r="E119" i="7"/>
  <c r="D119" i="7"/>
  <c r="S138" i="7"/>
  <c r="R138" i="7"/>
  <c r="K138" i="7"/>
  <c r="G138" i="7"/>
  <c r="E138" i="7"/>
  <c r="D138" i="7"/>
  <c r="S122" i="7"/>
  <c r="R122" i="7"/>
  <c r="K122" i="7"/>
  <c r="G122" i="7"/>
  <c r="F122" i="7"/>
  <c r="E122" i="7"/>
  <c r="D122" i="7"/>
  <c r="R118" i="7"/>
  <c r="S118" i="7"/>
  <c r="S145" i="7"/>
  <c r="R145" i="7"/>
  <c r="K145" i="7"/>
  <c r="G145" i="7"/>
  <c r="E145" i="7"/>
  <c r="D145" i="7"/>
  <c r="R124" i="7"/>
  <c r="S124" i="7"/>
  <c r="K124" i="7"/>
  <c r="G124" i="7"/>
  <c r="E124" i="7"/>
  <c r="D124" i="7"/>
  <c r="R146" i="7"/>
  <c r="S146" i="7"/>
  <c r="K146" i="7"/>
  <c r="G146" i="7"/>
  <c r="F146" i="7"/>
  <c r="E146" i="7"/>
  <c r="D146" i="7"/>
  <c r="R147" i="7" l="1"/>
  <c r="S147" i="7"/>
  <c r="H45" i="7" l="1"/>
  <c r="H55" i="7" l="1"/>
  <c r="H81" i="7" l="1"/>
  <c r="S139" i="7"/>
  <c r="R139" i="7"/>
  <c r="H139" i="7"/>
  <c r="H108" i="7"/>
  <c r="H189" i="7"/>
  <c r="H213" i="7"/>
  <c r="H154" i="7" l="1"/>
  <c r="H30" i="7" l="1"/>
  <c r="H75" i="7"/>
  <c r="H49" i="7"/>
  <c r="H41" i="7" l="1"/>
  <c r="H176" i="7"/>
  <c r="H177" i="7"/>
  <c r="H169" i="7"/>
  <c r="H170" i="7"/>
  <c r="P226" i="7" l="1"/>
  <c r="N226" i="7"/>
  <c r="M226" i="7"/>
  <c r="H226" i="7"/>
  <c r="Q226" i="7" s="1"/>
  <c r="O226" i="7" l="1"/>
  <c r="H168" i="7" l="1"/>
  <c r="I239" i="7" l="1"/>
  <c r="H149" i="7"/>
  <c r="H61" i="7"/>
  <c r="J234" i="7" l="1"/>
  <c r="T230" i="7"/>
  <c r="K230" i="7"/>
  <c r="I230" i="7"/>
  <c r="B4" i="3" l="1"/>
  <c r="C12" i="2"/>
  <c r="J226" i="7"/>
  <c r="L226" i="7"/>
  <c r="H191" i="7"/>
  <c r="H151" i="7"/>
  <c r="H65" i="7" l="1"/>
  <c r="T239" i="7"/>
  <c r="B14" i="6" s="1"/>
  <c r="B13" i="6"/>
  <c r="H10" i="7" l="1"/>
  <c r="H70" i="7" l="1"/>
  <c r="H112" i="7" l="1"/>
  <c r="H153" i="7" l="1"/>
  <c r="H118" i="7"/>
  <c r="H238" i="7" l="1"/>
  <c r="H237" i="7"/>
  <c r="H236" i="7"/>
  <c r="H235" i="7"/>
  <c r="H160" i="7" l="1"/>
  <c r="K239" i="7" l="1"/>
  <c r="P234" i="7"/>
  <c r="M234" i="7"/>
  <c r="N234" i="7"/>
  <c r="H234" i="7"/>
  <c r="B3" i="3" l="1"/>
  <c r="C13" i="2"/>
  <c r="L234" i="7"/>
  <c r="Q234" i="7"/>
  <c r="O234" i="7"/>
  <c r="H5" i="7"/>
  <c r="H47" i="7" l="1"/>
  <c r="S129" i="7"/>
  <c r="R129" i="7"/>
  <c r="H129" i="7" l="1"/>
  <c r="H18" i="7"/>
  <c r="H172" i="7" l="1"/>
  <c r="H229" i="7" l="1"/>
  <c r="H227" i="7"/>
  <c r="H228" i="7"/>
  <c r="H223" i="7"/>
  <c r="H20" i="7" l="1"/>
  <c r="H140" i="7" l="1"/>
  <c r="H125" i="7"/>
  <c r="S119" i="7"/>
  <c r="R119" i="7"/>
  <c r="S144" i="7"/>
  <c r="R144" i="7"/>
  <c r="M200" i="7" l="1"/>
  <c r="N200" i="7"/>
  <c r="P200" i="7"/>
  <c r="H211" i="7" l="1"/>
  <c r="H121" i="7"/>
  <c r="H35" i="7" l="1"/>
  <c r="H33" i="7" l="1"/>
  <c r="H144" i="7" l="1"/>
  <c r="H52" i="7" l="1"/>
  <c r="H46" i="7" l="1"/>
  <c r="H159" i="7" l="1"/>
  <c r="H101" i="7" l="1"/>
  <c r="H110" i="7" l="1"/>
  <c r="T165" i="7" l="1"/>
  <c r="B10" i="6" s="1"/>
  <c r="K165" i="7"/>
  <c r="P210" i="7"/>
  <c r="N210" i="7"/>
  <c r="M210" i="7"/>
  <c r="I165" i="7"/>
  <c r="C9" i="2" l="1"/>
  <c r="B8" i="3"/>
  <c r="M165" i="7"/>
  <c r="H215" i="7"/>
  <c r="H15" i="7" l="1"/>
  <c r="H141" i="7" l="1"/>
  <c r="H86" i="7"/>
  <c r="H184" i="7"/>
  <c r="H22" i="7"/>
  <c r="H171" i="7" l="1"/>
  <c r="H173" i="7"/>
  <c r="H174" i="7"/>
  <c r="H175" i="7"/>
  <c r="H178" i="7"/>
  <c r="H181" i="7"/>
  <c r="H183" i="7"/>
  <c r="H182" i="7"/>
  <c r="H185" i="7"/>
  <c r="H186" i="7"/>
  <c r="H187" i="7"/>
  <c r="H188" i="7"/>
  <c r="H190" i="7"/>
  <c r="H192" i="7"/>
  <c r="H193" i="7"/>
  <c r="H194" i="7"/>
  <c r="H195" i="7"/>
  <c r="H196" i="7"/>
  <c r="P159" i="7" l="1"/>
  <c r="N159" i="7"/>
  <c r="M159" i="7"/>
  <c r="H212" i="7" l="1"/>
  <c r="H214" i="7"/>
  <c r="H216" i="7"/>
  <c r="H217" i="7"/>
  <c r="H218" i="7"/>
  <c r="H222" i="7"/>
  <c r="H210" i="7" l="1"/>
  <c r="H207" i="7"/>
  <c r="H206" i="7"/>
  <c r="H200" i="7"/>
  <c r="H201" i="7"/>
  <c r="H161" i="7"/>
  <c r="H162" i="7"/>
  <c r="H163" i="7"/>
  <c r="H164" i="7"/>
  <c r="H138" i="7"/>
  <c r="H142" i="7"/>
  <c r="H145" i="7"/>
  <c r="H146" i="7"/>
  <c r="H147" i="7"/>
  <c r="H148" i="7"/>
  <c r="H150" i="7"/>
  <c r="H152" i="7"/>
  <c r="H155" i="7"/>
  <c r="H137" i="7"/>
  <c r="H119" i="7"/>
  <c r="H120" i="7"/>
  <c r="H122" i="7"/>
  <c r="H123" i="7"/>
  <c r="H124" i="7"/>
  <c r="H126" i="7"/>
  <c r="H127" i="7"/>
  <c r="H128" i="7"/>
  <c r="H130" i="7"/>
  <c r="H131" i="7"/>
  <c r="H132" i="7"/>
  <c r="H133" i="7"/>
  <c r="H134" i="7"/>
  <c r="O200" i="7" l="1"/>
  <c r="Q200" i="7"/>
  <c r="Q210" i="7"/>
  <c r="O210" i="7"/>
  <c r="Q159" i="7"/>
  <c r="O159" i="7"/>
  <c r="H76" i="7"/>
  <c r="H77" i="7"/>
  <c r="H78" i="7"/>
  <c r="H79" i="7"/>
  <c r="H80" i="7"/>
  <c r="H82" i="7"/>
  <c r="H83" i="7"/>
  <c r="H84" i="7"/>
  <c r="H85" i="7"/>
  <c r="H87" i="7"/>
  <c r="H88" i="7"/>
  <c r="H89" i="7"/>
  <c r="H90" i="7"/>
  <c r="H91" i="7"/>
  <c r="H93" i="7"/>
  <c r="H94" i="7"/>
  <c r="H95" i="7"/>
  <c r="H96" i="7"/>
  <c r="H97" i="7"/>
  <c r="H98" i="7"/>
  <c r="H99" i="7"/>
  <c r="H100" i="7"/>
  <c r="H102" i="7"/>
  <c r="H103" i="7"/>
  <c r="H104" i="7"/>
  <c r="H105" i="7"/>
  <c r="H106" i="7"/>
  <c r="H107" i="7"/>
  <c r="H109" i="7"/>
  <c r="H113" i="7"/>
  <c r="H8" i="7"/>
  <c r="H9" i="7"/>
  <c r="H11" i="7"/>
  <c r="H12" i="7"/>
  <c r="H13" i="7"/>
  <c r="H14" i="7"/>
  <c r="H16" i="7"/>
  <c r="H17" i="7"/>
  <c r="H19" i="7"/>
  <c r="H21" i="7"/>
  <c r="H24" i="7"/>
  <c r="H6" i="7"/>
  <c r="H7" i="7"/>
  <c r="H29" i="7" l="1"/>
  <c r="H32" i="7"/>
  <c r="H34" i="7"/>
  <c r="H36" i="7"/>
  <c r="H37" i="7"/>
  <c r="H38" i="7"/>
  <c r="H39" i="7"/>
  <c r="H40" i="7"/>
  <c r="H42" i="7"/>
  <c r="H43" i="7"/>
  <c r="H44" i="7"/>
  <c r="H50" i="7"/>
  <c r="H51" i="7"/>
  <c r="H53" i="7"/>
  <c r="H54" i="7"/>
  <c r="H56" i="7"/>
  <c r="H57" i="7"/>
  <c r="H58" i="7"/>
  <c r="H59" i="7"/>
  <c r="H60" i="7"/>
  <c r="H62" i="7"/>
  <c r="H63" i="7"/>
  <c r="H64" i="7"/>
  <c r="H66" i="7"/>
  <c r="H67" i="7"/>
  <c r="H68" i="7"/>
  <c r="H69" i="7"/>
  <c r="H71" i="7"/>
  <c r="Q206" i="7" l="1"/>
  <c r="P206" i="7"/>
  <c r="O206" i="7"/>
  <c r="N206" i="7"/>
  <c r="M206" i="7"/>
  <c r="T202" i="7"/>
  <c r="B12" i="6" s="1"/>
  <c r="K202" i="7"/>
  <c r="I202" i="7"/>
  <c r="K197" i="7"/>
  <c r="I197" i="7"/>
  <c r="T197" i="7"/>
  <c r="B11" i="6" s="1"/>
  <c r="P168" i="7"/>
  <c r="N168" i="7"/>
  <c r="M168" i="7"/>
  <c r="Q168" i="7"/>
  <c r="L159" i="7"/>
  <c r="T156" i="7"/>
  <c r="B9" i="6" s="1"/>
  <c r="P118" i="7"/>
  <c r="N118" i="7"/>
  <c r="M118" i="7"/>
  <c r="Q118" i="7"/>
  <c r="T114" i="7"/>
  <c r="B8" i="6" s="1"/>
  <c r="K114" i="7"/>
  <c r="I114" i="7"/>
  <c r="P75" i="7"/>
  <c r="N75" i="7"/>
  <c r="M75" i="7"/>
  <c r="T72" i="7"/>
  <c r="B7" i="6" s="1"/>
  <c r="K72" i="7"/>
  <c r="I72" i="7"/>
  <c r="P28" i="7"/>
  <c r="N28" i="7"/>
  <c r="M28" i="7"/>
  <c r="H28" i="7"/>
  <c r="Q28" i="7" s="1"/>
  <c r="T25" i="7"/>
  <c r="B6" i="6" s="1"/>
  <c r="K25" i="7"/>
  <c r="I25" i="7"/>
  <c r="P5" i="7"/>
  <c r="N5" i="7"/>
  <c r="M5" i="7"/>
  <c r="Q5" i="7"/>
  <c r="C11" i="2" l="1"/>
  <c r="C10" i="2"/>
  <c r="C7" i="2"/>
  <c r="C6" i="2"/>
  <c r="B5" i="3"/>
  <c r="C5" i="2"/>
  <c r="B2" i="3"/>
  <c r="B7" i="3"/>
  <c r="B10" i="3"/>
  <c r="L200" i="7"/>
  <c r="J200" i="7"/>
  <c r="B6" i="3"/>
  <c r="M202" i="7"/>
  <c r="L210" i="7"/>
  <c r="J210" i="7"/>
  <c r="M25" i="7"/>
  <c r="M72" i="7"/>
  <c r="M114" i="7"/>
  <c r="M197" i="7"/>
  <c r="J159" i="7"/>
  <c r="Q137" i="7"/>
  <c r="N137" i="7"/>
  <c r="J75" i="7"/>
  <c r="L206" i="7"/>
  <c r="O118" i="7"/>
  <c r="J168" i="7"/>
  <c r="L28" i="7"/>
  <c r="J206" i="7"/>
  <c r="M230" i="7"/>
  <c r="T231" i="7"/>
  <c r="T240" i="7" s="1"/>
  <c r="L75" i="7"/>
  <c r="M137" i="7"/>
  <c r="P137" i="7"/>
  <c r="O168" i="7"/>
  <c r="L5" i="7"/>
  <c r="Q75" i="7"/>
  <c r="O75" i="7"/>
  <c r="K156" i="7"/>
  <c r="J5" i="7"/>
  <c r="O5" i="7"/>
  <c r="J28" i="7"/>
  <c r="O28" i="7"/>
  <c r="I156" i="7"/>
  <c r="L168" i="7"/>
  <c r="C8" i="2" l="1"/>
  <c r="B9" i="3"/>
  <c r="J137" i="7"/>
  <c r="M156" i="7"/>
  <c r="O137" i="7"/>
  <c r="K231" i="7"/>
  <c r="J118" i="7"/>
  <c r="L118" i="7"/>
  <c r="L137" i="7"/>
  <c r="I231" i="7"/>
  <c r="I240" i="7" l="1"/>
  <c r="K240" i="7"/>
  <c r="J239" i="7" l="1"/>
  <c r="J202" i="7"/>
  <c r="J165" i="7"/>
  <c r="J114" i="7"/>
  <c r="J25" i="7"/>
  <c r="J230" i="7"/>
  <c r="J156" i="7"/>
  <c r="J72" i="7"/>
  <c r="J197" i="7"/>
  <c r="L230" i="7"/>
  <c r="L202" i="7"/>
  <c r="L25" i="7"/>
  <c r="L197" i="7"/>
  <c r="L165" i="7"/>
  <c r="L114" i="7"/>
  <c r="L72" i="7"/>
  <c r="L239" i="7"/>
  <c r="L156" i="7"/>
</calcChain>
</file>

<file path=xl/sharedStrings.xml><?xml version="1.0" encoding="utf-8"?>
<sst xmlns="http://schemas.openxmlformats.org/spreadsheetml/2006/main" count="487" uniqueCount="328">
  <si>
    <t>S/N</t>
  </si>
  <si>
    <t>FUND</t>
  </si>
  <si>
    <t>FUND MANAGER</t>
  </si>
  <si>
    <t>TOTAL VALUE OF INVESTMENT (N)</t>
  </si>
  <si>
    <t>TOTAL INCOME (N)</t>
  </si>
  <si>
    <t>UNREALIZED CAPITAL GAIN/LOSS (N)</t>
  </si>
  <si>
    <t>TOTAL EXPENSES (N)</t>
  </si>
  <si>
    <t>NET INCOME/LOSS (N)</t>
  </si>
  <si>
    <t>% ON TOTAL</t>
  </si>
  <si>
    <t xml:space="preserve">NET ASSET VALUE (N) </t>
  </si>
  <si>
    <t>% CHANGE IN NAV</t>
  </si>
  <si>
    <t>EXPENSE RATIO</t>
  </si>
  <si>
    <t>RETURN ON EQUITY (ROE)</t>
  </si>
  <si>
    <t>NET ASSET PER UNIT</t>
  </si>
  <si>
    <t>EARNINGS PER UNIT (EPU)</t>
  </si>
  <si>
    <t>BID PRICE (N)</t>
  </si>
  <si>
    <t>OFFER PRICE (N)</t>
  </si>
  <si>
    <t>NUMBER OF UNIT HOLDERS</t>
  </si>
  <si>
    <t>OPENING NUMBER OF UNITS</t>
  </si>
  <si>
    <t>CLOSING NUMBER OF UNITS</t>
  </si>
  <si>
    <t>EQUITY BASED FUNDS</t>
  </si>
  <si>
    <t>Afrinvest Equity Fund</t>
  </si>
  <si>
    <t>Afrinvest Asset Management Ltd.</t>
  </si>
  <si>
    <t>Anchoria Equity Fund</t>
  </si>
  <si>
    <t>Anchoria Asset Management Limited</t>
  </si>
  <si>
    <t>ARM Aggressive Growth Fund</t>
  </si>
  <si>
    <t xml:space="preserve">ARM Investment Managers Limited </t>
  </si>
  <si>
    <t>AXA Mansard Equity Income Fund</t>
  </si>
  <si>
    <t>AXA Mansard Investments Limited</t>
  </si>
  <si>
    <t>FBN Nigeria Smart Beta Equity Fund</t>
  </si>
  <si>
    <t>FBN Capital Asset Mgt</t>
  </si>
  <si>
    <t>Frontier Fund</t>
  </si>
  <si>
    <t>SCM Capital Limited</t>
  </si>
  <si>
    <t>Futureview Equity Fund</t>
  </si>
  <si>
    <t xml:space="preserve">Futureview Asset Management Limited </t>
  </si>
  <si>
    <t>Guaranty Trust Equity Income Fund</t>
  </si>
  <si>
    <t>Guaranty Trust Fund Managers Limited</t>
  </si>
  <si>
    <t>Legacy Equity Fund</t>
  </si>
  <si>
    <t>First City Asset Management Plc</t>
  </si>
  <si>
    <t>Meristem Equity Market Fund</t>
  </si>
  <si>
    <t>Meristem Wealth Management Limited</t>
  </si>
  <si>
    <t>Pacam Equity Fund</t>
  </si>
  <si>
    <t>PAC Asset Management Ltd.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</si>
  <si>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</si>
  <si>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</si>
  <si>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</si>
  <si>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</si>
  <si>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</si>
  <si>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Cowry Treasurers Limited</t>
  </si>
  <si>
    <t>United Capital Equity Fund</t>
  </si>
  <si>
    <t>United Capital Asset Mgt. Ltd</t>
  </si>
  <si>
    <t>Sub 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</si>
  <si>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</si>
  <si>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</si>
  <si>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</si>
  <si>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</si>
  <si>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</si>
  <si>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</si>
  <si>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ARM Investment Managers Limited</t>
  </si>
  <si>
    <t>AXA Mansard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</si>
  <si>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</si>
  <si>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</si>
  <si>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</si>
  <si>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</si>
  <si>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</si>
  <si>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EDC Money Market Class A</t>
  </si>
  <si>
    <t>EDC Fund Management</t>
  </si>
  <si>
    <t>EDC Money Market Class B</t>
  </si>
  <si>
    <t>Emerging Africa Money Market Fund</t>
  </si>
  <si>
    <t>Emerging Africa Asset Management Limited</t>
  </si>
  <si>
    <t>FAAM Money Market Fund</t>
  </si>
  <si>
    <t>First Ally Asset Management Limited</t>
  </si>
  <si>
    <t>FBN Money Market Fund</t>
  </si>
  <si>
    <t>FBN Capital Asset Mgt. Limited</t>
  </si>
  <si>
    <t>GDL Money Market Fund</t>
  </si>
  <si>
    <t xml:space="preserve">Growth and Development Asset Management Limited </t>
  </si>
  <si>
    <t>Greenwich Plus Money Market</t>
  </si>
  <si>
    <t xml:space="preserve">Greenwich Asst Management Ltd </t>
  </si>
  <si>
    <t>Guaranty Trust Money Market Fund</t>
  </si>
  <si>
    <t>Legacy Money Market Fund</t>
  </si>
  <si>
    <t>Meristem Money Market Fund</t>
  </si>
  <si>
    <t>Norrenberger Money Market Fund</t>
  </si>
  <si>
    <t>NOVA Prime Money Market Fund</t>
  </si>
  <si>
    <t>NOVAMBL Asset Management Limited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</si>
  <si>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</si>
  <si>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</si>
  <si>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</si>
  <si>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</si>
  <si>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</si>
  <si>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</si>
  <si>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</si>
  <si>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</si>
  <si>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</si>
  <si>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</si>
  <si>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</si>
  <si>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</si>
  <si>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</si>
  <si>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</si>
  <si>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Term-Bond Fund</t>
  </si>
  <si>
    <t>ARM Investment Managers</t>
  </si>
  <si>
    <t>AVA GAM Fixed Income Naira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</si>
  <si>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</si>
  <si>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</si>
  <si>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</si>
  <si>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</si>
  <si>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Assset &amp; Trust Limited</t>
  </si>
  <si>
    <t>Coral Income Fund</t>
  </si>
  <si>
    <t>Cordros Fixed Income Fund</t>
  </si>
  <si>
    <t>Coronation Fixed Income Fund</t>
  </si>
  <si>
    <t>DLM Fixed Income Fund</t>
  </si>
  <si>
    <t>DLM Asset Management Limited</t>
  </si>
  <si>
    <t>EDC Nigeria Fixed Income Fund</t>
  </si>
  <si>
    <t>Emerging Africa Bond Fund</t>
  </si>
  <si>
    <t>GDL Income Fund</t>
  </si>
  <si>
    <t xml:space="preserve">Lead Fixed Income Fund </t>
  </si>
  <si>
    <t>Lead Asset Mgt Ltd</t>
  </si>
  <si>
    <t>Legacy Debt Fund</t>
  </si>
  <si>
    <t>Lotus Halal Fixed Income Fund</t>
  </si>
  <si>
    <t>Lotus Capital Limited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</si>
  <si>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</si>
  <si>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</si>
  <si>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</si>
  <si>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</si>
  <si>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</si>
  <si>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</si>
  <si>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</si>
  <si>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</si>
  <si>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</si>
  <si>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</si>
  <si>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</si>
  <si>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EUROBONDS</t>
  </si>
  <si>
    <t>Afrinvest Dollar Fund</t>
  </si>
  <si>
    <t>ARM Eurobond Fund</t>
  </si>
  <si>
    <t>Emerging Africa Eurobond Fund</t>
  </si>
  <si>
    <t>FBNQuest Asset Management Limited</t>
  </si>
  <si>
    <t>FBN Specialized Dollar Fund</t>
  </si>
  <si>
    <t>Futureview Dollar Fund</t>
  </si>
  <si>
    <t>Futureview Asset Management Limited</t>
  </si>
  <si>
    <t>Legacy USD Bond Fund</t>
  </si>
  <si>
    <t>First City Asset Management Ltd.</t>
  </si>
  <si>
    <t>Nigerian Eurobond Fund</t>
  </si>
  <si>
    <t>Norrenberger Dollar Fund</t>
  </si>
  <si>
    <t>Norrenberger Investment &amp; Capital Management Limited</t>
  </si>
  <si>
    <t>Pacam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</si>
  <si>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</si>
  <si>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</si>
  <si>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</si>
  <si>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</si>
  <si>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</si>
  <si>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</si>
  <si>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</si>
  <si>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</si>
  <si>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 xml:space="preserve">United Capital Global Fixed Income Fund </t>
  </si>
  <si>
    <t>REAL ESTATE FUNDS</t>
  </si>
  <si>
    <t>Nigeria Real Estate Investment Trust</t>
  </si>
  <si>
    <t>SFS Real Estate Investment Trust Fund</t>
  </si>
  <si>
    <t>Union Homes REITS</t>
  </si>
  <si>
    <t>UPDC Real Estate Investment Fund</t>
  </si>
  <si>
    <t>Stanbic IBTC Asset Management Limited</t>
  </si>
  <si>
    <t>BALANCED FUNDS</t>
  </si>
  <si>
    <t>AIICO Balanced Fund</t>
  </si>
  <si>
    <t>ARM Discovery Balanced Fund</t>
  </si>
  <si>
    <t>Capital Express Balanced Fund</t>
  </si>
  <si>
    <t>Coral Balanced Fund</t>
  </si>
  <si>
    <t>Cordros Milestone Fund</t>
  </si>
  <si>
    <t>Coronation Balanced Fund</t>
  </si>
  <si>
    <t>EDC Balanced Fund</t>
  </si>
  <si>
    <t>EDC Fund Management Limited</t>
  </si>
  <si>
    <t>Emerging Africa Balanced-Diversity Fund</t>
  </si>
  <si>
    <t>FBN Balanced Fund</t>
  </si>
  <si>
    <t>GDL Canary Balanced Fund</t>
  </si>
  <si>
    <t>Greenwich Balanced Fund</t>
  </si>
  <si>
    <t>Guaranty Trust Balanced Fund</t>
  </si>
  <si>
    <t xml:space="preserve">Lead Balanced Fund 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</si>
  <si>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</si>
  <si>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</si>
  <si>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</si>
  <si>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</si>
  <si>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</si>
  <si>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ValuAlliance Value Fund</t>
  </si>
  <si>
    <t>Wealth For Women Fund</t>
  </si>
  <si>
    <t>Zenith Balanced Strategy Fund</t>
  </si>
  <si>
    <t>ETHICAL FUNDS</t>
  </si>
  <si>
    <t>Stanbic IBTC Ethical Fund</t>
  </si>
  <si>
    <t>Zenith ESG Impact Fund</t>
  </si>
  <si>
    <t>SHARI'AH COMPLIANT FUNDS</t>
  </si>
  <si>
    <t>EQUITIES</t>
  </si>
  <si>
    <t>Lotus Halal Investment  Fund</t>
  </si>
  <si>
    <t>Stanbic IBTC Imaan Fund</t>
  </si>
  <si>
    <t>Capital Trust Halal Fixed Income Fund</t>
  </si>
  <si>
    <t>Capital Trust Investments &amp; Asset Mgt. Ltd</t>
  </si>
  <si>
    <t>Cordros Halal Fixed Income Fund</t>
  </si>
  <si>
    <t>EDC Halal Fund</t>
  </si>
  <si>
    <t>FBN Halal Fund</t>
  </si>
  <si>
    <t>Norrenberger Islamic Fund</t>
  </si>
  <si>
    <t>Stanbic IBTC Shariah Fixed Income Fund</t>
  </si>
  <si>
    <t>United Capital Sukuk Fund</t>
  </si>
  <si>
    <t>Grand Total</t>
  </si>
  <si>
    <t>Note:</t>
  </si>
  <si>
    <t>FUNDS</t>
  </si>
  <si>
    <t>BONDS/FIXED INCOME FUNDS</t>
  </si>
  <si>
    <t>DOLLAR FUNDS</t>
  </si>
  <si>
    <t>REAL ESTATE INVESTMENT TRUST</t>
  </si>
  <si>
    <t>SHARI'AH COMPLAINT FUNDS</t>
  </si>
  <si>
    <t>UNIT HOLDERS</t>
  </si>
  <si>
    <t>Cowry Equity Fund</t>
  </si>
  <si>
    <t>CardinalStone Equity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</si>
  <si>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</si>
  <si>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</si>
  <si>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</si>
  <si>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</si>
  <si>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</si>
  <si>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Comercio Partners Money Market Fund</t>
  </si>
  <si>
    <t>Comercio Partners Asset Management Limited</t>
  </si>
  <si>
    <t>BALANCED</t>
  </si>
  <si>
    <t>Lotus Waqf (Endowment) Fund</t>
  </si>
  <si>
    <t>Marble Halal Commodities Fund</t>
  </si>
  <si>
    <t xml:space="preserve">Marble Capital Limited </t>
  </si>
  <si>
    <t>Marble Halal Fixed Income Fund</t>
  </si>
  <si>
    <t>FSDH Halal Fund</t>
  </si>
  <si>
    <t>Alpha Morgan Balanced Fund</t>
  </si>
  <si>
    <t>Alpha Morgan Capital Managers Limited</t>
  </si>
  <si>
    <t>Cowry Balanced Fund</t>
  </si>
  <si>
    <t>The Nigeria Football Fund</t>
  </si>
  <si>
    <t>GTI Asset Management &amp; Trust Limited</t>
  </si>
  <si>
    <t>GTI Balanced Fund</t>
  </si>
  <si>
    <t>Housing Solution Fund</t>
  </si>
  <si>
    <t>FUNDCO Capital Managers Limited</t>
  </si>
  <si>
    <t>Coral Money Market Fund</t>
  </si>
  <si>
    <t>AIICO Eurobond Fund</t>
  </si>
  <si>
    <t>RMBN Dollar Fixed Income Fund</t>
  </si>
  <si>
    <t>Lead Dollar Fixed Income Fund</t>
  </si>
  <si>
    <t>Lead Asset Management Limited</t>
  </si>
  <si>
    <t>Meristem Dollar Fund</t>
  </si>
  <si>
    <t>CardinalStone Dollar Fund</t>
  </si>
  <si>
    <t>Comercio Partners Dollar Fund</t>
  </si>
  <si>
    <t>Cowry Eurobond Fund</t>
  </si>
  <si>
    <t>EDC Dollar Fund</t>
  </si>
  <si>
    <t>Cowry Fixed Income Fund</t>
  </si>
  <si>
    <t>Guaranty Trust Fixed Income Fund</t>
  </si>
  <si>
    <t>Utica Custodian Assured Fixed Income Fund</t>
  </si>
  <si>
    <t>Utica Capital Limited</t>
  </si>
  <si>
    <t>Nigeria Bond Fund</t>
  </si>
  <si>
    <t>Meristem Fixed Income Fund</t>
  </si>
  <si>
    <t>Comercio Partners Fixed Income Fund</t>
  </si>
  <si>
    <t>FBN Bond Fund</t>
  </si>
  <si>
    <t>Norrenberger Turbo Fixed Income Fund</t>
  </si>
  <si>
    <t>Norrenberger Investment &amp; Capital Mgt. Ltd.</t>
  </si>
  <si>
    <t>GTI  Money Market Fund</t>
  </si>
  <si>
    <t>Growth and Development Asset Management Limited</t>
  </si>
  <si>
    <t>Halo Equity Fund</t>
  </si>
  <si>
    <t>Zrosk Magna Equity Fund</t>
  </si>
  <si>
    <t>Zrosk Investment Management Limited</t>
  </si>
  <si>
    <t>Hillcrest Balanced Fund</t>
  </si>
  <si>
    <t>Hillcrest Capital Management Limited</t>
  </si>
  <si>
    <t>Coronation Dollar Fund</t>
  </si>
  <si>
    <t>Coronation Premium Fixed Income Fund</t>
  </si>
  <si>
    <t>Emerging Africa Halal Fund</t>
  </si>
  <si>
    <t>Chapel Hill Denham Money Market Fund</t>
  </si>
  <si>
    <t>Norrenberger Investment and Capital Mgt Limited</t>
  </si>
  <si>
    <t>United Capital Stable Fixed Income Fund</t>
  </si>
  <si>
    <t>Radix Horizon Fund</t>
  </si>
  <si>
    <t>Radix Capital Partners Limited</t>
  </si>
  <si>
    <t>CardinalStone Money Market Fund</t>
  </si>
  <si>
    <t>FSL Money Market Fund</t>
  </si>
  <si>
    <t>FSL  Asset Management Limited</t>
  </si>
  <si>
    <t>Guaranty Trust Investment Fund 724</t>
  </si>
  <si>
    <t>Guaranty Trust Dollar Fund</t>
  </si>
  <si>
    <t>AVA GAM Money Market Fund</t>
  </si>
  <si>
    <t>ARM Short-Term Eurobond Fund</t>
  </si>
  <si>
    <t>ARM Sharia Compliant Fixed Income Fund</t>
  </si>
  <si>
    <t>FSL Eurobond Fund</t>
  </si>
  <si>
    <t>FSL Asset Management Limited</t>
  </si>
  <si>
    <t>Halo Nigeria Capital Management Limited</t>
  </si>
  <si>
    <t>Mango Naira Money Maket Fund</t>
  </si>
  <si>
    <t>Mango Asset Management Limited</t>
  </si>
  <si>
    <t>CardinalStone Balanced Fund</t>
  </si>
  <si>
    <t>One17 Halal Fund</t>
  </si>
  <si>
    <t>One17 Capital Limited</t>
  </si>
  <si>
    <t>ARM Halal Balanced Fund</t>
  </si>
  <si>
    <t>MOFI Real Estate Investment Fund</t>
  </si>
  <si>
    <t>SPECIALISED FUNDS</t>
  </si>
  <si>
    <t>ARM Specialized Dollar Fund</t>
  </si>
  <si>
    <t>Clean Energy Fund</t>
  </si>
  <si>
    <t>Fundco Capital Managers Limited</t>
  </si>
  <si>
    <t>FBN Blended Dollar Fund</t>
  </si>
  <si>
    <t>FCMB-TLG Private Debt Fund</t>
  </si>
  <si>
    <t>FCMB Asset Management Limited</t>
  </si>
  <si>
    <t>United Capital Children Investment Fund</t>
  </si>
  <si>
    <t>Zedcrest Dollar Fund</t>
  </si>
  <si>
    <t>Zedcrest Investment Managers Limited</t>
  </si>
  <si>
    <t>Zedcrest Fixed Income Fund</t>
  </si>
  <si>
    <t>Zedcrest Money Market Fund</t>
  </si>
  <si>
    <t>Mutual Fund Total</t>
  </si>
  <si>
    <t>Parthian Money Market Fund</t>
  </si>
  <si>
    <t>Parthian Capital Ltd.</t>
  </si>
  <si>
    <t>STL Money Market Fund</t>
  </si>
  <si>
    <t>STL Asset Mgt. Limited</t>
  </si>
  <si>
    <t>STL Dollar Fund</t>
  </si>
  <si>
    <t>STL Balanced Fund</t>
  </si>
  <si>
    <t>Parthian Dollar Fixed Income Fund</t>
  </si>
  <si>
    <t>BALANCED FUND</t>
  </si>
  <si>
    <t>Afrinvest Halal Fund</t>
  </si>
  <si>
    <t>Afrinvest Asset Mgt Ltd.</t>
  </si>
  <si>
    <t>DLM Money Market Fund</t>
  </si>
  <si>
    <t>Samtl Fund Managers Limited</t>
  </si>
  <si>
    <t>CFG AM Fixed Income Naira Fund</t>
  </si>
  <si>
    <t>CFG Assset Management Limited</t>
  </si>
  <si>
    <t>Trustbanc Fixed Income Fund</t>
  </si>
  <si>
    <t>Trustbanc Aset Management Limited</t>
  </si>
  <si>
    <t>CFG AM Fixed Income Dollar Fund</t>
  </si>
  <si>
    <t>Greenwich Fixed Income Dollar Fund</t>
  </si>
  <si>
    <t>Vetiva USD Fixed Income Fund</t>
  </si>
  <si>
    <t>D'Namaz Halal Fixed Income Fund</t>
  </si>
  <si>
    <t>D'Namaz Capital Limited</t>
  </si>
  <si>
    <t>FBN Dollar Fund</t>
  </si>
  <si>
    <t xml:space="preserve"> </t>
  </si>
  <si>
    <t>MONTHLY UPDATE ON REGISTERED MUTUAL FUNDS AS AT 31ST JANUARY, 2026</t>
  </si>
  <si>
    <r>
      <t>US$/NG</t>
    </r>
    <r>
      <rPr>
        <strike/>
        <sz val="8"/>
        <color theme="0"/>
        <rFont val="Times New Roman"/>
        <family val="1"/>
      </rPr>
      <t>N</t>
    </r>
    <r>
      <rPr>
        <sz val="8"/>
        <color theme="0"/>
        <rFont val="Times New Roman"/>
        <family val="1"/>
      </rPr>
      <t xml:space="preserve"> I&amp;E as at 31st January, 2026 = N1386.5532</t>
    </r>
  </si>
  <si>
    <t>NET ASSET VALUE (N) PREVIOUS - DECEMBER</t>
  </si>
  <si>
    <t>Samtl Mixed Income Fund</t>
  </si>
  <si>
    <t>Zedcrest Equity Fund</t>
  </si>
  <si>
    <t>Fundvine Money Market Fund</t>
  </si>
  <si>
    <t>Fundvine Berkshire Asset Management Limited</t>
  </si>
  <si>
    <t>Apel Wealth Money Market Fund</t>
  </si>
  <si>
    <t>Apel Wealth Management Limited</t>
  </si>
  <si>
    <t>Jan 2026</t>
  </si>
  <si>
    <t>Dec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</si>
</sst>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5" formatCode="&quot;$&quot;#,##0_);\(&quot;$&quot;#,##0\)"/>
    <numFmt numFmtId="43" formatCode="_(* #,##0.00_);_(* \(#,##0.00\);_(* &quot;-&quot;??_);_(@_)"/>
    <numFmt numFmtId="164" formatCode="_-* #,##0.00_-;\-* #,##0.00_-;_-* &quot;-&quot;??_-;_-@_-"/>
    <numFmt numFmtId="165" formatCode="0;[Red]0"/>
    <numFmt numFmtId="166" formatCode="mmm\-yyyy"/>
    <numFmt numFmtId="167" formatCode="dd/mm/yy;@"/>
    <numFmt numFmtId="168" formatCode="[$-409]d\-mmm\-yy;@"/>
    <numFmt numFmtId="169" formatCode="&quot;Yes&quot;;&quot;Yes&quot;;&quot;No&quot;"/>
    <numFmt numFmtId="170" formatCode="0.00_)"/>
    <numFmt numFmtId="171" formatCode="_(* #,##0_);_(* \(#,##0\);_(* &quot;-&quot;??_);_(@_)"/>
    <numFmt numFmtId="172" formatCode="&quot; &quot;* #,##0.00&quot; &quot;;&quot;-&quot;* #,##0.00&quot; &quot;;&quot; &quot;* &quot;-&quot;??&quot; &quot;"/>
    <numFmt numFmtId="173" formatCode="&quot; &quot;* #,##0&quot; &quot;;&quot;-&quot;* #,##0&quot; &quot;;&quot; &quot;* &quot;-&quot;??&quot; &quot;"/>
    <numFmt numFmtId="174" formatCode="_-* #,##0_-;\-* #,##0_-;_-* &quot;-&quot;??_-;_-@_-"/>
    <numFmt numFmtId="175" formatCode="&quot; &quot;* #,##0.00&quot; &quot;;&quot; &quot;* \(#,##0.00\);&quot; &quot;* &quot;-&quot;??&quot; &quot;"/>
  </numFmts>
  <fonts count="4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entury Gothic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rgb="FF9C5700"/>
      <name val="Calibri"/>
      <family val="2"/>
      <scheme val="minor"/>
    </font>
    <font>
      <b/>
      <i/>
      <sz val="16"/>
      <name val="Helv"/>
      <charset val="134"/>
    </font>
    <font>
      <sz val="10"/>
      <color theme="1"/>
      <name val="Futura Bk BT"/>
      <family val="2"/>
    </font>
    <font>
      <sz val="18"/>
      <color theme="3"/>
      <name val="Calibri Light"/>
      <family val="2"/>
      <scheme val="major"/>
    </font>
    <font>
      <b/>
      <sz val="18"/>
      <color theme="3"/>
      <name val="Calibri Light"/>
      <family val="2"/>
      <scheme val="major"/>
    </font>
    <font>
      <sz val="8"/>
      <name val="Century Gothic"/>
      <family val="2"/>
    </font>
    <font>
      <b/>
      <sz val="8"/>
      <name val="Century Gothic"/>
      <family val="2"/>
    </font>
    <font>
      <b/>
      <sz val="10"/>
      <color rgb="FFFF0000"/>
      <name val="Calibri"/>
      <family val="2"/>
    </font>
    <font>
      <sz val="10"/>
      <color rgb="FFFF0000"/>
      <name val="Calibri"/>
      <family val="2"/>
      <scheme val="minor"/>
    </font>
    <font>
      <sz val="8"/>
      <color theme="0"/>
      <name val="Times New Roman"/>
      <family val="1"/>
    </font>
    <font>
      <strike/>
      <sz val="8"/>
      <color theme="0"/>
      <name val="Times New Roman"/>
      <family val="1"/>
    </font>
    <font>
      <b/>
      <sz val="11"/>
      <name val="Arial Narrow"/>
      <family val="2"/>
    </font>
    <font>
      <sz val="11"/>
      <name val="Arial Narrow"/>
      <family val="2"/>
    </font>
    <font>
      <b/>
      <sz val="28"/>
      <color theme="0"/>
      <name val="Segoe UI Black"/>
      <family val="2"/>
    </font>
    <font>
      <sz val="10"/>
      <color theme="0"/>
      <name val="Arial Narrow"/>
      <family val="2"/>
    </font>
    <font>
      <b/>
      <sz val="10"/>
      <name val="Calibri"/>
      <family val="2"/>
    </font>
    <font>
      <b/>
      <sz val="8"/>
      <name val="Times New Roman"/>
      <family val="1"/>
    </font>
    <font>
      <sz val="11"/>
      <color theme="1"/>
      <name val="Calibri"/>
      <family val="2"/>
      <scheme val="minor"/>
    </font>
    <font>
      <b/>
      <sz val="9"/>
      <name val="Century Gothic"/>
      <family val="2"/>
    </font>
    <font>
      <b/>
      <sz val="12"/>
      <name val="Arial Narrow"/>
      <family val="2"/>
    </font>
    <font>
      <sz val="10"/>
      <name val="Century Gothic"/>
      <family val="2"/>
    </font>
    <font>
      <sz val="8"/>
      <color rgb="FF424242"/>
      <name val="Arial"/>
      <family val="2"/>
    </font>
    <font>
      <sz val="10"/>
      <name val="Arial Narrow"/>
      <family val="2"/>
    </font>
    <font>
      <sz val="8"/>
      <name val="Arial Narrow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b/>
      <sz val="10"/>
      <color theme="0"/>
      <name val="Arial Narrow"/>
      <family val="2"/>
    </font>
    <font>
      <sz val="8"/>
      <color theme="0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76805932798245"/>
        <bgColor indexed="64"/>
      </patternFill>
    </fill>
    <fill>
      <patternFill patternType="solid">
        <fgColor theme="5" tint="0.7997680593279824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7997985778374584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/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</borders>
  <cellStyleXfs count="465">
    <xf numFmtId="0" fontId="0" fillId="0" borderId="0"/>
    <xf numFmtId="164" fontId="10" fillId="0" borderId="0" applyFont="0" applyFill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165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3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5" fontId="12" fillId="0" borderId="0" applyFont="0" applyFill="0" applyBorder="0" applyAlignment="0" applyProtection="0"/>
    <xf numFmtId="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3" fillId="27" borderId="0" applyNumberFormat="0" applyBorder="0" applyAlignment="0" applyProtection="0"/>
    <xf numFmtId="17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49" fontId="6" fillId="0" borderId="0"/>
    <xf numFmtId="49" fontId="6" fillId="0" borderId="0"/>
    <xf numFmtId="49" fontId="6" fillId="0" borderId="0"/>
    <xf numFmtId="49" fontId="6" fillId="0" borderId="0"/>
    <xf numFmtId="0" fontId="6" fillId="0" borderId="0"/>
    <xf numFmtId="37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9" fontId="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9" fontId="30" fillId="0" borderId="0" applyFont="0" applyFill="0" applyBorder="0" applyAlignment="0" applyProtection="0"/>
  </cellStyleXfs>
  <cellXfs count="144">
    <xf numFmtId="0" fontId="0" fillId="0" borderId="0" xfId="0"/>
    <xf numFmtId="0" fontId="2" fillId="2" borderId="0" xfId="0" applyFont="1" applyFill="1" applyAlignment="1">
      <alignment wrapText="1"/>
    </xf>
    <xf numFmtId="0" fontId="4" fillId="0" borderId="0" xfId="0" applyFont="1"/>
    <xf numFmtId="0" fontId="5" fillId="3" borderId="0" xfId="0" applyFont="1" applyFill="1"/>
    <xf numFmtId="0" fontId="5" fillId="0" borderId="0" xfId="0" applyFont="1"/>
    <xf numFmtId="0" fontId="9" fillId="0" borderId="0" xfId="0" applyFont="1"/>
    <xf numFmtId="0" fontId="5" fillId="2" borderId="0" xfId="0" applyFont="1" applyFill="1"/>
    <xf numFmtId="164" fontId="5" fillId="2" borderId="0" xfId="1" applyFont="1" applyFill="1" applyBorder="1" applyAlignment="1"/>
    <xf numFmtId="172" fontId="8" fillId="2" borderId="0" xfId="0" applyNumberFormat="1" applyFont="1" applyFill="1"/>
    <xf numFmtId="175" fontId="8" fillId="2" borderId="0" xfId="0" applyNumberFormat="1" applyFont="1" applyFill="1"/>
    <xf numFmtId="164" fontId="18" fillId="2" borderId="2" xfId="1" applyFont="1" applyFill="1" applyBorder="1"/>
    <xf numFmtId="172" fontId="18" fillId="2" borderId="2" xfId="0" applyNumberFormat="1" applyFont="1" applyFill="1" applyBorder="1" applyAlignment="1">
      <alignment horizontal="right"/>
    </xf>
    <xf numFmtId="164" fontId="18" fillId="2" borderId="2" xfId="1" applyFont="1" applyFill="1" applyBorder="1" applyAlignment="1"/>
    <xf numFmtId="10" fontId="18" fillId="2" borderId="2" xfId="0" applyNumberFormat="1" applyFont="1" applyFill="1" applyBorder="1" applyAlignment="1">
      <alignment horizontal="center"/>
    </xf>
    <xf numFmtId="0" fontId="20" fillId="2" borderId="0" xfId="0" applyFont="1" applyFill="1"/>
    <xf numFmtId="0" fontId="21" fillId="0" borderId="0" xfId="0" applyFont="1"/>
    <xf numFmtId="164" fontId="18" fillId="2" borderId="2" xfId="1" applyFont="1" applyFill="1" applyBorder="1" applyAlignment="1">
      <alignment horizontal="right"/>
    </xf>
    <xf numFmtId="164" fontId="18" fillId="0" borderId="2" xfId="1" applyFont="1" applyBorder="1"/>
    <xf numFmtId="164" fontId="18" fillId="0" borderId="2" xfId="1" applyFont="1" applyFill="1" applyBorder="1"/>
    <xf numFmtId="49" fontId="18" fillId="2" borderId="2" xfId="0" applyNumberFormat="1" applyFont="1" applyFill="1" applyBorder="1" applyAlignment="1">
      <alignment wrapText="1"/>
    </xf>
    <xf numFmtId="10" fontId="19" fillId="6" borderId="2" xfId="0" applyNumberFormat="1" applyFont="1" applyFill="1" applyBorder="1" applyAlignment="1">
      <alignment horizontal="center" vertical="center"/>
    </xf>
    <xf numFmtId="10" fontId="18" fillId="6" borderId="2" xfId="0" applyNumberFormat="1" applyFont="1" applyFill="1" applyBorder="1" applyAlignment="1">
      <alignment horizontal="center" vertical="center"/>
    </xf>
    <xf numFmtId="172" fontId="18" fillId="6" borderId="2" xfId="0" applyNumberFormat="1" applyFont="1" applyFill="1" applyBorder="1" applyAlignment="1">
      <alignment horizontal="right" vertical="center"/>
    </xf>
    <xf numFmtId="172" fontId="18" fillId="2" borderId="2" xfId="0" applyNumberFormat="1" applyFont="1" applyFill="1" applyBorder="1"/>
    <xf numFmtId="172" fontId="18" fillId="6" borderId="2" xfId="0" applyNumberFormat="1" applyFont="1" applyFill="1" applyBorder="1" applyAlignment="1">
      <alignment horizontal="center" vertical="center"/>
    </xf>
    <xf numFmtId="164" fontId="18" fillId="2" borderId="2" xfId="1" applyFont="1" applyFill="1" applyBorder="1" applyAlignment="1">
      <alignment wrapText="1"/>
    </xf>
    <xf numFmtId="172" fontId="19" fillId="2" borderId="2" xfId="0" applyNumberFormat="1" applyFont="1" applyFill="1" applyBorder="1"/>
    <xf numFmtId="164" fontId="18" fillId="2" borderId="2" xfId="1" applyFont="1" applyFill="1" applyBorder="1" applyAlignment="1">
      <alignment horizontal="right" vertical="top" wrapText="1"/>
    </xf>
    <xf numFmtId="164" fontId="18" fillId="2" borderId="2" xfId="1" applyFont="1" applyFill="1" applyBorder="1" applyAlignment="1">
      <alignment horizontal="center" vertical="top" wrapText="1"/>
    </xf>
    <xf numFmtId="164" fontId="18" fillId="2" borderId="2" xfId="1" applyFont="1" applyFill="1" applyBorder="1" applyAlignment="1">
      <alignment horizontal="left"/>
    </xf>
    <xf numFmtId="49" fontId="7" fillId="5" borderId="2" xfId="0" applyNumberFormat="1" applyFont="1" applyFill="1" applyBorder="1" applyAlignment="1">
      <alignment horizontal="center" vertical="top" wrapText="1"/>
    </xf>
    <xf numFmtId="171" fontId="18" fillId="0" borderId="2" xfId="0" applyNumberFormat="1" applyFont="1" applyBorder="1"/>
    <xf numFmtId="174" fontId="18" fillId="0" borderId="2" xfId="0" applyNumberFormat="1" applyFont="1" applyBorder="1"/>
    <xf numFmtId="164" fontId="7" fillId="5" borderId="2" xfId="1" applyFont="1" applyFill="1" applyBorder="1" applyAlignment="1">
      <alignment horizontal="center" vertical="top" wrapText="1"/>
    </xf>
    <xf numFmtId="10" fontId="19" fillId="2" borderId="2" xfId="0" applyNumberFormat="1" applyFont="1" applyFill="1" applyBorder="1" applyAlignment="1">
      <alignment horizontal="center"/>
    </xf>
    <xf numFmtId="172" fontId="19" fillId="6" borderId="2" xfId="0" applyNumberFormat="1" applyFont="1" applyFill="1" applyBorder="1" applyAlignment="1">
      <alignment horizontal="right" vertical="center"/>
    </xf>
    <xf numFmtId="164" fontId="19" fillId="2" borderId="2" xfId="1" applyFont="1" applyFill="1" applyBorder="1"/>
    <xf numFmtId="172" fontId="19" fillId="6" borderId="2" xfId="0" applyNumberFormat="1" applyFont="1" applyFill="1" applyBorder="1" applyAlignment="1">
      <alignment horizontal="center" vertical="center"/>
    </xf>
    <xf numFmtId="164" fontId="19" fillId="2" borderId="2" xfId="1" applyFont="1" applyFill="1" applyBorder="1" applyAlignment="1"/>
    <xf numFmtId="164" fontId="19" fillId="2" borderId="2" xfId="1" applyFont="1" applyFill="1" applyBorder="1" applyAlignment="1">
      <alignment wrapText="1"/>
    </xf>
    <xf numFmtId="10" fontId="19" fillId="6" borderId="2" xfId="0" applyNumberFormat="1" applyFont="1" applyFill="1" applyBorder="1" applyAlignment="1">
      <alignment horizontal="right" vertical="center"/>
    </xf>
    <xf numFmtId="173" fontId="18" fillId="2" borderId="2" xfId="0" applyNumberFormat="1" applyFont="1" applyFill="1" applyBorder="1"/>
    <xf numFmtId="0" fontId="22" fillId="9" borderId="0" xfId="0" applyFont="1" applyFill="1" applyAlignment="1">
      <alignment horizontal="left"/>
    </xf>
    <xf numFmtId="164" fontId="18" fillId="0" borderId="2" xfId="1" applyFont="1" applyBorder="1" applyAlignment="1"/>
    <xf numFmtId="164" fontId="18" fillId="7" borderId="2" xfId="1" applyFont="1" applyFill="1" applyBorder="1"/>
    <xf numFmtId="164" fontId="18" fillId="0" borderId="2" xfId="1" applyFont="1" applyFill="1" applyBorder="1" applyAlignment="1">
      <alignment horizontal="right"/>
    </xf>
    <xf numFmtId="4" fontId="25" fillId="2" borderId="0" xfId="0" applyNumberFormat="1" applyFont="1" applyFill="1"/>
    <xf numFmtId="4" fontId="25" fillId="2" borderId="0" xfId="0" applyNumberFormat="1" applyFont="1" applyFill="1" applyAlignment="1">
      <alignment horizontal="right"/>
    </xf>
    <xf numFmtId="0" fontId="24" fillId="0" borderId="0" xfId="0" applyFont="1" applyAlignment="1">
      <alignment horizontal="right"/>
    </xf>
    <xf numFmtId="164" fontId="25" fillId="2" borderId="0" xfId="1" applyFont="1" applyFill="1" applyBorder="1" applyAlignment="1">
      <alignment horizontal="right" vertical="top" wrapText="1"/>
    </xf>
    <xf numFmtId="164" fontId="19" fillId="2" borderId="2" xfId="1" applyFont="1" applyFill="1" applyBorder="1" applyAlignment="1">
      <alignment horizontal="left"/>
    </xf>
    <xf numFmtId="164" fontId="18" fillId="0" borderId="2" xfId="1" applyFont="1" applyFill="1" applyBorder="1" applyAlignment="1" applyProtection="1"/>
    <xf numFmtId="0" fontId="28" fillId="2" borderId="0" xfId="0" applyFont="1" applyFill="1"/>
    <xf numFmtId="0" fontId="29" fillId="9" borderId="0" xfId="0" applyFont="1" applyFill="1" applyAlignment="1">
      <alignment horizontal="right" vertical="center"/>
    </xf>
    <xf numFmtId="164" fontId="18" fillId="2" borderId="2" xfId="1" applyFont="1" applyFill="1" applyBorder="1" applyAlignment="1">
      <alignment horizontal="center" wrapText="1"/>
    </xf>
    <xf numFmtId="10" fontId="18" fillId="2" borderId="2" xfId="464" applyNumberFormat="1" applyFont="1" applyFill="1" applyBorder="1" applyAlignment="1">
      <alignment horizontal="center" wrapText="1"/>
    </xf>
    <xf numFmtId="0" fontId="27" fillId="2" borderId="0" xfId="0" applyFont="1" applyFill="1" applyAlignment="1">
      <alignment horizontal="left"/>
    </xf>
    <xf numFmtId="10" fontId="19" fillId="2" borderId="2" xfId="0" applyNumberFormat="1" applyFont="1" applyFill="1" applyBorder="1"/>
    <xf numFmtId="10" fontId="19" fillId="2" borderId="2" xfId="0" applyNumberFormat="1" applyFont="1" applyFill="1" applyBorder="1" applyAlignment="1">
      <alignment horizontal="right" vertical="center"/>
    </xf>
    <xf numFmtId="172" fontId="19" fillId="2" borderId="2" xfId="0" applyNumberFormat="1" applyFont="1" applyFill="1" applyBorder="1" applyAlignment="1">
      <alignment horizontal="right" vertical="center"/>
    </xf>
    <xf numFmtId="164" fontId="18" fillId="2" borderId="6" xfId="1" applyFont="1" applyFill="1" applyBorder="1" applyAlignment="1">
      <alignment horizontal="right"/>
    </xf>
    <xf numFmtId="49" fontId="19" fillId="2" borderId="2" xfId="0" applyNumberFormat="1" applyFont="1" applyFill="1" applyBorder="1" applyAlignment="1">
      <alignment horizontal="right"/>
    </xf>
    <xf numFmtId="173" fontId="18" fillId="2" borderId="2" xfId="0" applyNumberFormat="1" applyFont="1" applyFill="1" applyBorder="1" applyAlignment="1">
      <alignment horizontal="center" wrapText="1"/>
    </xf>
    <xf numFmtId="0" fontId="32" fillId="0" borderId="0" xfId="0" applyFont="1" applyAlignment="1">
      <alignment horizontal="right"/>
    </xf>
    <xf numFmtId="0" fontId="33" fillId="29" borderId="0" xfId="0" applyFont="1" applyFill="1"/>
    <xf numFmtId="164" fontId="7" fillId="29" borderId="0" xfId="1" applyFont="1" applyFill="1"/>
    <xf numFmtId="164" fontId="33" fillId="29" borderId="0" xfId="1" applyFont="1" applyFill="1"/>
    <xf numFmtId="164" fontId="31" fillId="5" borderId="2" xfId="1" applyFont="1" applyFill="1" applyBorder="1"/>
    <xf numFmtId="10" fontId="31" fillId="5" borderId="2" xfId="0" applyNumberFormat="1" applyFont="1" applyFill="1" applyBorder="1"/>
    <xf numFmtId="10" fontId="31" fillId="5" borderId="2" xfId="0" applyNumberFormat="1" applyFont="1" applyFill="1" applyBorder="1" applyAlignment="1">
      <alignment horizontal="right" vertical="center"/>
    </xf>
    <xf numFmtId="172" fontId="31" fillId="5" borderId="2" xfId="0" applyNumberFormat="1" applyFont="1" applyFill="1" applyBorder="1" applyAlignment="1">
      <alignment horizontal="right" vertical="center"/>
    </xf>
    <xf numFmtId="164" fontId="18" fillId="2" borderId="2" xfId="1" applyFont="1" applyFill="1" applyBorder="1" applyAlignment="1">
      <alignment horizontal="right" wrapText="1"/>
    </xf>
    <xf numFmtId="164" fontId="31" fillId="2" borderId="2" xfId="1" applyFont="1" applyFill="1" applyBorder="1"/>
    <xf numFmtId="0" fontId="34" fillId="0" borderId="0" xfId="0" applyFont="1"/>
    <xf numFmtId="4" fontId="18" fillId="2" borderId="2" xfId="0" applyNumberFormat="1" applyFont="1" applyFill="1" applyBorder="1" applyAlignment="1">
      <alignment wrapText="1"/>
    </xf>
    <xf numFmtId="0" fontId="18" fillId="2" borderId="2" xfId="0" applyFont="1" applyFill="1" applyBorder="1" applyAlignment="1">
      <alignment wrapText="1"/>
    </xf>
    <xf numFmtId="164" fontId="18" fillId="2" borderId="0" xfId="1" applyFont="1" applyFill="1" applyBorder="1" applyAlignment="1">
      <alignment wrapText="1"/>
    </xf>
    <xf numFmtId="2" fontId="18" fillId="2" borderId="2" xfId="0" applyNumberFormat="1" applyFont="1" applyFill="1" applyBorder="1"/>
    <xf numFmtId="2" fontId="18" fillId="2" borderId="2" xfId="0" applyNumberFormat="1" applyFont="1" applyFill="1" applyBorder="1" applyAlignment="1">
      <alignment wrapText="1"/>
    </xf>
    <xf numFmtId="49" fontId="18" fillId="2" borderId="2" xfId="0" applyNumberFormat="1" applyFont="1" applyFill="1" applyBorder="1"/>
    <xf numFmtId="2" fontId="18" fillId="2" borderId="2" xfId="463" applyNumberFormat="1" applyFont="1" applyFill="1" applyBorder="1" applyAlignment="1">
      <alignment wrapText="1"/>
    </xf>
    <xf numFmtId="164" fontId="18" fillId="2" borderId="8" xfId="1" applyFont="1" applyFill="1" applyBorder="1" applyAlignment="1">
      <alignment wrapText="1"/>
    </xf>
    <xf numFmtId="164" fontId="18" fillId="2" borderId="2" xfId="1" applyFont="1" applyFill="1" applyBorder="1" applyAlignment="1">
      <alignment horizontal="left" vertical="top" wrapText="1"/>
    </xf>
    <xf numFmtId="49" fontId="18" fillId="2" borderId="2" xfId="0" applyNumberFormat="1" applyFont="1" applyFill="1" applyBorder="1" applyAlignment="1">
      <alignment vertical="center" wrapText="1"/>
    </xf>
    <xf numFmtId="174" fontId="18" fillId="2" borderId="2" xfId="1" applyNumberFormat="1" applyFont="1" applyFill="1" applyBorder="1" applyAlignment="1">
      <alignment horizontal="center" wrapText="1"/>
    </xf>
    <xf numFmtId="173" fontId="18" fillId="2" borderId="2" xfId="0" applyNumberFormat="1" applyFont="1" applyFill="1" applyBorder="1" applyAlignment="1">
      <alignment horizontal="right" wrapText="1"/>
    </xf>
    <xf numFmtId="174" fontId="18" fillId="2" borderId="4" xfId="1" applyNumberFormat="1" applyFont="1" applyFill="1" applyBorder="1" applyAlignment="1">
      <alignment horizontal="right" wrapText="1"/>
    </xf>
    <xf numFmtId="0" fontId="18" fillId="2" borderId="2" xfId="0" applyFont="1" applyFill="1" applyBorder="1" applyAlignment="1">
      <alignment horizontal="right" wrapText="1"/>
    </xf>
    <xf numFmtId="174" fontId="18" fillId="2" borderId="2" xfId="1" applyNumberFormat="1" applyFont="1" applyFill="1" applyBorder="1" applyAlignment="1">
      <alignment horizontal="right" vertical="center" wrapText="1"/>
    </xf>
    <xf numFmtId="174" fontId="18" fillId="2" borderId="2" xfId="1" applyNumberFormat="1" applyFont="1" applyFill="1" applyBorder="1" applyAlignment="1">
      <alignment horizontal="right"/>
    </xf>
    <xf numFmtId="164" fontId="18" fillId="2" borderId="2" xfId="1" applyFont="1" applyFill="1" applyBorder="1" applyAlignment="1">
      <alignment vertical="top" wrapText="1"/>
    </xf>
    <xf numFmtId="174" fontId="18" fillId="2" borderId="2" xfId="1" applyNumberFormat="1" applyFont="1" applyFill="1" applyBorder="1" applyAlignment="1">
      <alignment horizontal="right" wrapText="1"/>
    </xf>
    <xf numFmtId="164" fontId="18" fillId="2" borderId="8" xfId="1" applyFont="1" applyFill="1" applyBorder="1"/>
    <xf numFmtId="49" fontId="18" fillId="2" borderId="2" xfId="0" applyNumberFormat="1" applyFont="1" applyFill="1" applyBorder="1" applyAlignment="1">
      <alignment vertical="top" wrapText="1"/>
    </xf>
    <xf numFmtId="173" fontId="18" fillId="2" borderId="2" xfId="0" applyNumberFormat="1" applyFont="1" applyFill="1" applyBorder="1" applyAlignment="1">
      <alignment horizontal="center" wrapText="1"/>
    </xf>
    <xf numFmtId="43" fontId="4" fillId="0" borderId="0" xfId="200" applyFont="1" applyBorder="1"/>
    <xf numFmtId="4" fontId="36" fillId="2" borderId="0" xfId="0" applyNumberFormat="1" applyFont="1" applyFill="1"/>
    <xf numFmtId="4" fontId="36" fillId="2" borderId="0" xfId="0" applyNumberFormat="1" applyFont="1" applyFill="1" applyAlignment="1">
      <alignment horizontal="right"/>
    </xf>
    <xf numFmtId="172" fontId="18" fillId="2" borderId="0" xfId="0" applyNumberFormat="1" applyFont="1" applyFill="1"/>
    <xf numFmtId="0" fontId="25" fillId="0" borderId="0" xfId="0" applyFont="1" applyAlignment="1">
      <alignment horizontal="right"/>
    </xf>
    <xf numFmtId="0" fontId="35" fillId="0" borderId="0" xfId="0" applyFont="1"/>
    <xf numFmtId="164" fontId="35" fillId="0" borderId="0" xfId="1" applyFont="1" applyBorder="1"/>
    <xf numFmtId="4" fontId="35" fillId="2" borderId="0" xfId="0" applyNumberFormat="1" applyFont="1" applyFill="1"/>
    <xf numFmtId="164" fontId="19" fillId="2" borderId="2" xfId="1" applyFont="1" applyFill="1" applyBorder="1" applyAlignment="1">
      <alignment horizontal="right"/>
    </xf>
    <xf numFmtId="49" fontId="7" fillId="2" borderId="2" xfId="0" applyNumberFormat="1" applyFont="1" applyFill="1" applyBorder="1" applyAlignment="1">
      <alignment horizontal="center" vertical="top" wrapText="1"/>
    </xf>
    <xf numFmtId="164" fontId="19" fillId="2" borderId="2" xfId="1" applyFont="1" applyFill="1" applyBorder="1" applyAlignment="1">
      <alignment horizontal="right"/>
    </xf>
    <xf numFmtId="49" fontId="31" fillId="5" borderId="2" xfId="0" applyNumberFormat="1" applyFont="1" applyFill="1" applyBorder="1" applyAlignment="1">
      <alignment horizontal="right"/>
    </xf>
    <xf numFmtId="173" fontId="18" fillId="2" borderId="2" xfId="0" applyNumberFormat="1" applyFont="1" applyFill="1" applyBorder="1" applyAlignment="1">
      <alignment horizontal="center" wrapText="1"/>
    </xf>
    <xf numFmtId="0" fontId="31" fillId="2" borderId="2" xfId="0" applyFont="1" applyFill="1" applyBorder="1" applyAlignment="1">
      <alignment horizontal="center" wrapText="1"/>
    </xf>
    <xf numFmtId="2" fontId="31" fillId="2" borderId="2" xfId="0" applyNumberFormat="1" applyFont="1" applyFill="1" applyBorder="1" applyAlignment="1">
      <alignment horizontal="center" wrapText="1"/>
    </xf>
    <xf numFmtId="0" fontId="31" fillId="2" borderId="7" xfId="0" applyFont="1" applyFill="1" applyBorder="1" applyAlignment="1">
      <alignment horizontal="center" wrapText="1"/>
    </xf>
    <xf numFmtId="173" fontId="19" fillId="2" borderId="2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vertical="top" wrapText="1"/>
    </xf>
    <xf numFmtId="49" fontId="7" fillId="2" borderId="5" xfId="0" applyNumberFormat="1" applyFont="1" applyFill="1" applyBorder="1" applyAlignment="1">
      <alignment horizontal="center" vertical="top" wrapText="1"/>
    </xf>
    <xf numFmtId="49" fontId="7" fillId="2" borderId="6" xfId="0" applyNumberFormat="1" applyFont="1" applyFill="1" applyBorder="1" applyAlignment="1">
      <alignment horizontal="center" vertical="top" wrapText="1"/>
    </xf>
    <xf numFmtId="172" fontId="31" fillId="2" borderId="2" xfId="0" applyNumberFormat="1" applyFont="1" applyFill="1" applyBorder="1" applyAlignment="1">
      <alignment horizontal="center" wrapText="1"/>
    </xf>
    <xf numFmtId="164" fontId="7" fillId="29" borderId="2" xfId="1" applyFont="1" applyFill="1" applyBorder="1" applyAlignment="1">
      <alignment horizontal="right"/>
    </xf>
    <xf numFmtId="49" fontId="7" fillId="2" borderId="2" xfId="0" applyNumberFormat="1" applyFont="1" applyFill="1" applyBorder="1" applyAlignment="1">
      <alignment horizontal="center"/>
    </xf>
    <xf numFmtId="49" fontId="26" fillId="4" borderId="2" xfId="0" applyNumberFormat="1" applyFont="1" applyFill="1" applyBorder="1" applyAlignment="1">
      <alignment horizontal="center"/>
    </xf>
    <xf numFmtId="0" fontId="26" fillId="4" borderId="2" xfId="0" applyFont="1" applyFill="1" applyBorder="1" applyAlignment="1">
      <alignment horizontal="center"/>
    </xf>
    <xf numFmtId="173" fontId="19" fillId="2" borderId="2" xfId="0" applyNumberFormat="1" applyFont="1" applyFill="1" applyBorder="1" applyAlignment="1">
      <alignment horizontal="center"/>
    </xf>
    <xf numFmtId="49" fontId="19" fillId="2" borderId="2" xfId="0" applyNumberFormat="1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8" fillId="0" borderId="0" xfId="0" applyFont="1"/>
    <xf numFmtId="0" fontId="39" fillId="0" borderId="1" xfId="0" applyFont="1" applyBorder="1" applyAlignment="1">
      <alignment horizontal="right"/>
    </xf>
    <xf numFmtId="0" fontId="37" fillId="0" borderId="0" xfId="0" applyFont="1" applyAlignment="1">
      <alignment horizontal="right"/>
    </xf>
    <xf numFmtId="0" fontId="40" fillId="0" borderId="1" xfId="0" applyFont="1" applyBorder="1" applyAlignment="1">
      <alignment horizontal="right"/>
    </xf>
    <xf numFmtId="171" fontId="38" fillId="0" borderId="0" xfId="200" applyNumberFormat="1" applyFont="1"/>
    <xf numFmtId="0" fontId="40" fillId="0" borderId="0" xfId="0" applyFont="1" applyAlignment="1">
      <alignment horizontal="right"/>
    </xf>
    <xf numFmtId="174" fontId="38" fillId="0" borderId="0" xfId="1" applyNumberFormat="1" applyFont="1"/>
    <xf numFmtId="0" fontId="41" fillId="0" borderId="2" xfId="0" applyFont="1" applyBorder="1" applyAlignment="1">
      <alignment horizontal="right"/>
    </xf>
    <xf numFmtId="16" fontId="41" fillId="2" borderId="2" xfId="0" quotePrefix="1" applyNumberFormat="1" applyFont="1" applyFill="1" applyBorder="1" applyAlignment="1">
      <alignment horizontal="right"/>
    </xf>
    <xf numFmtId="164" fontId="27" fillId="2" borderId="2" xfId="1" applyFont="1" applyFill="1" applyBorder="1" applyAlignment="1">
      <alignment horizontal="right" vertical="top" wrapText="1"/>
    </xf>
    <xf numFmtId="164" fontId="27" fillId="2" borderId="2" xfId="1" applyFont="1" applyFill="1" applyBorder="1"/>
    <xf numFmtId="4" fontId="27" fillId="2" borderId="2" xfId="0" applyNumberFormat="1" applyFont="1" applyFill="1" applyBorder="1"/>
    <xf numFmtId="4" fontId="27" fillId="2" borderId="2" xfId="0" applyNumberFormat="1" applyFont="1" applyFill="1" applyBorder="1" applyAlignment="1">
      <alignment horizontal="right"/>
    </xf>
    <xf numFmtId="164" fontId="42" fillId="2" borderId="0" xfId="1" applyFont="1" applyFill="1" applyBorder="1"/>
    <xf numFmtId="0" fontId="27" fillId="0" borderId="0" xfId="0" applyFont="1"/>
    <xf numFmtId="0" fontId="41" fillId="2" borderId="0" xfId="0" applyFont="1" applyFill="1" applyAlignment="1">
      <alignment horizontal="right"/>
    </xf>
    <xf numFmtId="16" fontId="41" fillId="2" borderId="0" xfId="0" quotePrefix="1" applyNumberFormat="1" applyFont="1" applyFill="1" applyAlignment="1">
      <alignment horizontal="right" wrapText="1"/>
    </xf>
    <xf numFmtId="0" fontId="41" fillId="2" borderId="0" xfId="0" applyFont="1" applyFill="1" applyAlignment="1">
      <alignment horizontal="right" wrapText="1"/>
    </xf>
    <xf numFmtId="2" fontId="27" fillId="0" borderId="0" xfId="0" applyNumberFormat="1" applyFont="1"/>
    <xf numFmtId="0" fontId="41" fillId="0" borderId="0" xfId="0" applyFont="1" applyAlignment="1">
      <alignment horizontal="right"/>
    </xf>
    <xf numFmtId="16" fontId="41" fillId="2" borderId="0" xfId="0" applyNumberFormat="1" applyFont="1" applyFill="1"/>
  </cellXfs>
  <cellStyles count="465">
    <cellStyle name="20% - Accent1 2" xfId="2"/>
    <cellStyle name="20% - Accent1 2 2" xfId="3"/>
    <cellStyle name="20% - Accent1 2 3" xfId="4"/>
    <cellStyle name="20% - Accent1 3" xfId="5"/>
    <cellStyle name="20% - Accent1 3 2" xfId="6"/>
    <cellStyle name="20% - Accent1 3 3" xfId="7"/>
    <cellStyle name="20% - Accent1 4" xfId="8"/>
    <cellStyle name="20% - Accent1 4 2" xfId="9"/>
    <cellStyle name="20% - Accent1 5" xfId="10"/>
    <cellStyle name="20% - Accent1 6" xfId="11"/>
    <cellStyle name="20% - Accent2 2" xfId="12"/>
    <cellStyle name="20% - Accent2 2 2" xfId="13"/>
    <cellStyle name="20% - Accent2 2 3" xfId="14"/>
    <cellStyle name="20% - Accent2 3" xfId="15"/>
    <cellStyle name="20% - Accent2 3 2" xfId="16"/>
    <cellStyle name="20% - Accent2 3 3" xfId="17"/>
    <cellStyle name="20% - Accent2 4" xfId="18"/>
    <cellStyle name="20% - Accent2 4 2" xfId="19"/>
    <cellStyle name="20% - Accent2 5" xfId="20"/>
    <cellStyle name="20% - Accent2 6" xfId="21"/>
    <cellStyle name="20% - Accent3 2" xfId="22"/>
    <cellStyle name="20% - Accent3 2 2" xfId="23"/>
    <cellStyle name="20% - Accent3 2 3" xfId="24"/>
    <cellStyle name="20% - Accent3 3" xfId="25"/>
    <cellStyle name="20% - Accent3 3 2" xfId="26"/>
    <cellStyle name="20% - Accent3 3 3" xfId="27"/>
    <cellStyle name="20% - Accent3 4" xfId="28"/>
    <cellStyle name="20% - Accent3 4 2" xfId="29"/>
    <cellStyle name="20% - Accent3 5" xfId="30"/>
    <cellStyle name="20% - Accent3 6" xfId="31"/>
    <cellStyle name="20% - Accent4 2" xfId="32"/>
    <cellStyle name="20% - Accent4 2 2" xfId="33"/>
    <cellStyle name="20% - Accent4 2 3" xfId="34"/>
    <cellStyle name="20% - Accent4 3" xfId="35"/>
    <cellStyle name="20% - Accent4 3 2" xfId="36"/>
    <cellStyle name="20% - Accent4 3 3" xfId="37"/>
    <cellStyle name="20% - Accent4 4" xfId="38"/>
    <cellStyle name="20% - Accent4 4 2" xfId="39"/>
    <cellStyle name="20% - Accent4 5" xfId="40"/>
    <cellStyle name="20% - Accent4 6" xfId="41"/>
    <cellStyle name="20% - Accent5 2" xfId="42"/>
    <cellStyle name="20% - Accent5 2 2" xfId="43"/>
    <cellStyle name="20% - Accent5 2 3" xfId="44"/>
    <cellStyle name="20% - Accent5 3" xfId="45"/>
    <cellStyle name="20% - Accent5 3 2" xfId="46"/>
    <cellStyle name="20% - Accent5 3 3" xfId="47"/>
    <cellStyle name="20% - Accent5 4" xfId="48"/>
    <cellStyle name="20% - Accent5 4 2" xfId="49"/>
    <cellStyle name="20% - Accent5 5" xfId="50"/>
    <cellStyle name="20% - Accent5 6" xfId="51"/>
    <cellStyle name="20% - Accent6 2" xfId="52"/>
    <cellStyle name="20% - Accent6 2 2" xfId="53"/>
    <cellStyle name="20% - Accent6 2 3" xfId="54"/>
    <cellStyle name="20% - Accent6 3" xfId="55"/>
    <cellStyle name="20% - Accent6 3 2" xfId="56"/>
    <cellStyle name="20% - Accent6 3 3" xfId="57"/>
    <cellStyle name="20% - Accent6 4" xfId="58"/>
    <cellStyle name="20% - Accent6 4 2" xfId="59"/>
    <cellStyle name="20% - Accent6 5" xfId="60"/>
    <cellStyle name="20% - Accent6 6" xfId="61"/>
    <cellStyle name="40% - Accent1 2" xfId="62"/>
    <cellStyle name="40% - Accent1 2 2" xfId="63"/>
    <cellStyle name="40% - Accent1 2 3" xfId="64"/>
    <cellStyle name="40% - Accent1 3" xfId="65"/>
    <cellStyle name="40% - Accent1 3 2" xfId="66"/>
    <cellStyle name="40% - Accent1 3 3" xfId="67"/>
    <cellStyle name="40% - Accent1 4" xfId="68"/>
    <cellStyle name="40% - Accent1 4 2" xfId="69"/>
    <cellStyle name="40% - Accent1 5" xfId="70"/>
    <cellStyle name="40% - Accent1 6" xfId="71"/>
    <cellStyle name="40% - Accent2 2" xfId="72"/>
    <cellStyle name="40% - Accent2 2 2" xfId="73"/>
    <cellStyle name="40% - Accent2 2 3" xfId="74"/>
    <cellStyle name="40% - Accent2 3" xfId="75"/>
    <cellStyle name="40% - Accent2 3 2" xfId="76"/>
    <cellStyle name="40% - Accent2 3 3" xfId="77"/>
    <cellStyle name="40% - Accent2 4" xfId="78"/>
    <cellStyle name="40% - Accent2 4 2" xfId="79"/>
    <cellStyle name="40% - Accent2 5" xfId="80"/>
    <cellStyle name="40% - Accent2 6" xfId="81"/>
    <cellStyle name="40% - Accent3 2" xfId="82"/>
    <cellStyle name="40% - Accent3 2 2" xfId="83"/>
    <cellStyle name="40% - Accent3 2 3" xfId="84"/>
    <cellStyle name="40% - Accent3 3" xfId="85"/>
    <cellStyle name="40% - Accent3 3 2" xfId="86"/>
    <cellStyle name="40% - Accent3 3 3" xfId="87"/>
    <cellStyle name="40% - Accent3 4" xfId="88"/>
    <cellStyle name="40% - Accent3 4 2" xfId="89"/>
    <cellStyle name="40% - Accent3 5" xfId="90"/>
    <cellStyle name="40% - Accent3 6" xfId="91"/>
    <cellStyle name="40% - Accent4 2" xfId="92"/>
    <cellStyle name="40% - Accent4 2 2" xfId="93"/>
    <cellStyle name="40% - Accent4 2 3" xfId="94"/>
    <cellStyle name="40% - Accent4 3" xfId="95"/>
    <cellStyle name="40% - Accent4 3 2" xfId="96"/>
    <cellStyle name="40% - Accent4 3 3" xfId="97"/>
    <cellStyle name="40% - Accent4 4" xfId="98"/>
    <cellStyle name="40% - Accent4 4 2" xfId="99"/>
    <cellStyle name="40% - Accent4 5" xfId="100"/>
    <cellStyle name="40% - Accent4 6" xfId="101"/>
    <cellStyle name="40% - Accent5 2" xfId="102"/>
    <cellStyle name="40% - Accent5 2 2" xfId="103"/>
    <cellStyle name="40% - Accent5 2 3" xfId="104"/>
    <cellStyle name="40% - Accent5 3" xfId="105"/>
    <cellStyle name="40% - Accent5 3 2" xfId="106"/>
    <cellStyle name="40% - Accent5 3 3" xfId="107"/>
    <cellStyle name="40% - Accent5 4" xfId="108"/>
    <cellStyle name="40% - Accent5 4 2" xfId="109"/>
    <cellStyle name="40% - Accent5 5" xfId="110"/>
    <cellStyle name="40% - Accent5 6" xfId="111"/>
    <cellStyle name="40% - Accent6 2" xfId="112"/>
    <cellStyle name="40% - Accent6 2 2" xfId="113"/>
    <cellStyle name="40% - Accent6 2 3" xfId="114"/>
    <cellStyle name="40% - Accent6 3" xfId="115"/>
    <cellStyle name="40% - Accent6 3 2" xfId="116"/>
    <cellStyle name="40% - Accent6 3 3" xfId="117"/>
    <cellStyle name="40% - Accent6 4" xfId="118"/>
    <cellStyle name="40% - Accent6 4 2" xfId="119"/>
    <cellStyle name="40% - Accent6 5" xfId="120"/>
    <cellStyle name="40% - Accent6 6" xfId="121"/>
    <cellStyle name="60% - Accent1 2" xfId="122"/>
    <cellStyle name="60% - Accent1 2 2" xfId="123"/>
    <cellStyle name="60% - Accent1 2 3" xfId="124"/>
    <cellStyle name="60% - Accent1 3" xfId="125"/>
    <cellStyle name="60% - Accent1 3 2" xfId="126"/>
    <cellStyle name="60% - Accent1 3 3" xfId="127"/>
    <cellStyle name="60% - Accent1 4" xfId="128"/>
    <cellStyle name="60% - Accent1 4 2" xfId="129"/>
    <cellStyle name="60% - Accent1 5" xfId="130"/>
    <cellStyle name="60% - Accent1 6" xfId="131"/>
    <cellStyle name="60% - Accent2 2" xfId="132"/>
    <cellStyle name="60% - Accent2 2 2" xfId="133"/>
    <cellStyle name="60% - Accent2 2 3" xfId="134"/>
    <cellStyle name="60% - Accent2 3" xfId="135"/>
    <cellStyle name="60% - Accent2 3 2" xfId="136"/>
    <cellStyle name="60% - Accent2 3 3" xfId="137"/>
    <cellStyle name="60% - Accent2 4" xfId="138"/>
    <cellStyle name="60% - Accent2 4 2" xfId="139"/>
    <cellStyle name="60% - Accent2 5" xfId="140"/>
    <cellStyle name="60% - Accent2 6" xfId="141"/>
    <cellStyle name="60% - Accent3 2" xfId="142"/>
    <cellStyle name="60% - Accent3 2 2" xfId="143"/>
    <cellStyle name="60% - Accent3 2 3" xfId="144"/>
    <cellStyle name="60% - Accent3 3" xfId="145"/>
    <cellStyle name="60% - Accent3 3 2" xfId="146"/>
    <cellStyle name="60% - Accent3 3 3" xfId="147"/>
    <cellStyle name="60% - Accent3 4" xfId="148"/>
    <cellStyle name="60% - Accent3 4 2" xfId="149"/>
    <cellStyle name="60% - Accent3 5" xfId="150"/>
    <cellStyle name="60% - Accent3 6" xfId="151"/>
    <cellStyle name="60% - Accent4 2" xfId="152"/>
    <cellStyle name="60% - Accent4 2 2" xfId="153"/>
    <cellStyle name="60% - Accent4 2 3" xfId="154"/>
    <cellStyle name="60% - Accent4 3" xfId="155"/>
    <cellStyle name="60% - Accent4 3 2" xfId="156"/>
    <cellStyle name="60% - Accent4 3 3" xfId="157"/>
    <cellStyle name="60% - Accent4 4" xfId="158"/>
    <cellStyle name="60% - Accent4 4 2" xfId="159"/>
    <cellStyle name="60% - Accent4 5" xfId="160"/>
    <cellStyle name="60% - Accent4 6" xfId="161"/>
    <cellStyle name="60% - Accent5 2" xfId="162"/>
    <cellStyle name="60% - Accent5 2 2" xfId="163"/>
    <cellStyle name="60% - Accent5 2 3" xfId="164"/>
    <cellStyle name="60% - Accent5 3" xfId="165"/>
    <cellStyle name="60% - Accent5 3 2" xfId="166"/>
    <cellStyle name="60% - Accent5 3 3" xfId="167"/>
    <cellStyle name="60% - Accent5 4" xfId="168"/>
    <cellStyle name="60% - Accent5 4 2" xfId="169"/>
    <cellStyle name="60% - Accent5 5" xfId="170"/>
    <cellStyle name="60% - Accent5 6" xfId="171"/>
    <cellStyle name="60% - Accent6 2" xfId="172"/>
    <cellStyle name="60% - Accent6 2 2" xfId="173"/>
    <cellStyle name="60% - Accent6 2 3" xfId="174"/>
    <cellStyle name="60% - Accent6 3" xfId="175"/>
    <cellStyle name="60% - Accent6 3 2" xfId="176"/>
    <cellStyle name="60% - Accent6 3 3" xfId="177"/>
    <cellStyle name="60% - Accent6 4" xfId="178"/>
    <cellStyle name="60% - Accent6 4 2" xfId="179"/>
    <cellStyle name="60% - Accent6 5" xfId="180"/>
    <cellStyle name="60% - Accent6 6" xfId="181"/>
    <cellStyle name="Comma" xfId="1" builtinId="3"/>
    <cellStyle name="Comma 10" xfId="182"/>
    <cellStyle name="Comma 10 13" xfId="183"/>
    <cellStyle name="Comma 11" xfId="184"/>
    <cellStyle name="Comma 12" xfId="185"/>
    <cellStyle name="Comma 12 2" xfId="186"/>
    <cellStyle name="Comma 12 3" xfId="187"/>
    <cellStyle name="Comma 13" xfId="188"/>
    <cellStyle name="Comma 13 2" xfId="189"/>
    <cellStyle name="Comma 13 3" xfId="190"/>
    <cellStyle name="Comma 14" xfId="191"/>
    <cellStyle name="Comma 15" xfId="192"/>
    <cellStyle name="Comma 15 2" xfId="193"/>
    <cellStyle name="Comma 15 3" xfId="194"/>
    <cellStyle name="Comma 16" xfId="195"/>
    <cellStyle name="Comma 16 2" xfId="196"/>
    <cellStyle name="Comma 16 3" xfId="197"/>
    <cellStyle name="Comma 17" xfId="198"/>
    <cellStyle name="Comma 18" xfId="199"/>
    <cellStyle name="Comma 2" xfId="200"/>
    <cellStyle name="Comma 2 10" xfId="201"/>
    <cellStyle name="Comma 2 10 2" xfId="202"/>
    <cellStyle name="Comma 2 11" xfId="203"/>
    <cellStyle name="Comma 2 11 2" xfId="204"/>
    <cellStyle name="Comma 2 12" xfId="205"/>
    <cellStyle name="Comma 2 13" xfId="206"/>
    <cellStyle name="Comma 2 2" xfId="207"/>
    <cellStyle name="Comma 2 2 2" xfId="208"/>
    <cellStyle name="Comma 2 2 2 2" xfId="209"/>
    <cellStyle name="Comma 2 2 2 2 2" xfId="210"/>
    <cellStyle name="Comma 2 2 2 2 3" xfId="211"/>
    <cellStyle name="Comma 2 2 2 3" xfId="212"/>
    <cellStyle name="Comma 2 3" xfId="213"/>
    <cellStyle name="Comma 2 3 2" xfId="214"/>
    <cellStyle name="Comma 2 4" xfId="215"/>
    <cellStyle name="Comma 2 4 2" xfId="216"/>
    <cellStyle name="Comma 2 5" xfId="217"/>
    <cellStyle name="Comma 2 5 2" xfId="218"/>
    <cellStyle name="Comma 2 6" xfId="219"/>
    <cellStyle name="Comma 2 6 2" xfId="220"/>
    <cellStyle name="Comma 2 7" xfId="221"/>
    <cellStyle name="Comma 2 7 2" xfId="222"/>
    <cellStyle name="Comma 2 8" xfId="223"/>
    <cellStyle name="Comma 2 8 2" xfId="224"/>
    <cellStyle name="Comma 2 9" xfId="225"/>
    <cellStyle name="Comma 2 9 2" xfId="226"/>
    <cellStyle name="Comma 3" xfId="227"/>
    <cellStyle name="Comma 3 2" xfId="228"/>
    <cellStyle name="Comma 3 2 2" xfId="229"/>
    <cellStyle name="Comma 3 3" xfId="230"/>
    <cellStyle name="Comma 3 4" xfId="231"/>
    <cellStyle name="Comma 3 4 3" xfId="232"/>
    <cellStyle name="Comma 3 4 4" xfId="233"/>
    <cellStyle name="Comma 4" xfId="234"/>
    <cellStyle name="Comma 4 2" xfId="235"/>
    <cellStyle name="Comma 4 3" xfId="236"/>
    <cellStyle name="Comma 5" xfId="237"/>
    <cellStyle name="Comma 6" xfId="238"/>
    <cellStyle name="Comma 7" xfId="239"/>
    <cellStyle name="Comma 8" xfId="240"/>
    <cellStyle name="Comma 8 2" xfId="241"/>
    <cellStyle name="Comma 9" xfId="242"/>
    <cellStyle name="Neutral 2" xfId="243"/>
    <cellStyle name="Normal" xfId="0" builtinId="0"/>
    <cellStyle name="Normal - Style1" xfId="244"/>
    <cellStyle name="Normal 10" xfId="245"/>
    <cellStyle name="Normal 10 2" xfId="246"/>
    <cellStyle name="Normal 10 3" xfId="247"/>
    <cellStyle name="Normal 11" xfId="248"/>
    <cellStyle name="Normal 11 2" xfId="249"/>
    <cellStyle name="Normal 11 3" xfId="250"/>
    <cellStyle name="Normal 12" xfId="251"/>
    <cellStyle name="Normal 12 2" xfId="252"/>
    <cellStyle name="Normal 12 2 2" xfId="253"/>
    <cellStyle name="Normal 12 2 3" xfId="254"/>
    <cellStyle name="Normal 12 3" xfId="255"/>
    <cellStyle name="Normal 12 4" xfId="256"/>
    <cellStyle name="Normal 13" xfId="257"/>
    <cellStyle name="Normal 13 2" xfId="258"/>
    <cellStyle name="Normal 13 3" xfId="259"/>
    <cellStyle name="Normal 14" xfId="260"/>
    <cellStyle name="Normal 14 2" xfId="261"/>
    <cellStyle name="Normal 15" xfId="262"/>
    <cellStyle name="Normal 15 2" xfId="263"/>
    <cellStyle name="Normal 15 3" xfId="264"/>
    <cellStyle name="Normal 16" xfId="265"/>
    <cellStyle name="Normal 16 2" xfId="266"/>
    <cellStyle name="Normal 16 3" xfId="267"/>
    <cellStyle name="Normal 17" xfId="268"/>
    <cellStyle name="Normal 17 2" xfId="269"/>
    <cellStyle name="Normal 17 3" xfId="270"/>
    <cellStyle name="Normal 18" xfId="271"/>
    <cellStyle name="Normal 18 2" xfId="272"/>
    <cellStyle name="Normal 18 3" xfId="273"/>
    <cellStyle name="Normal 19" xfId="274"/>
    <cellStyle name="Normal 19 2" xfId="275"/>
    <cellStyle name="Normal 19 3" xfId="276"/>
    <cellStyle name="Normal 2" xfId="277"/>
    <cellStyle name="Normal 2 2" xfId="278"/>
    <cellStyle name="Normal 2 2 2" xfId="279"/>
    <cellStyle name="Normal 2 3" xfId="280"/>
    <cellStyle name="Normal 2 4" xfId="281"/>
    <cellStyle name="Normal 2 5" xfId="282"/>
    <cellStyle name="Normal 2 6" xfId="283"/>
    <cellStyle name="Normal 20" xfId="284"/>
    <cellStyle name="Normal 20 2" xfId="285"/>
    <cellStyle name="Normal 20 3" xfId="286"/>
    <cellStyle name="Normal 21" xfId="287"/>
    <cellStyle name="Normal 21 2" xfId="288"/>
    <cellStyle name="Normal 21 3" xfId="289"/>
    <cellStyle name="Normal 22" xfId="290"/>
    <cellStyle name="Normal 22 2" xfId="291"/>
    <cellStyle name="Normal 22 3" xfId="292"/>
    <cellStyle name="Normal 23" xfId="293"/>
    <cellStyle name="Normal 23 2" xfId="294"/>
    <cellStyle name="Normal 23 3" xfId="295"/>
    <cellStyle name="Normal 24" xfId="296"/>
    <cellStyle name="Normal 24 2" xfId="297"/>
    <cellStyle name="Normal 24 3" xfId="298"/>
    <cellStyle name="Normal 25" xfId="299"/>
    <cellStyle name="Normal 25 2" xfId="300"/>
    <cellStyle name="Normal 25 3" xfId="301"/>
    <cellStyle name="Normal 26" xfId="302"/>
    <cellStyle name="Normal 26 2" xfId="303"/>
    <cellStyle name="Normal 26 3" xfId="304"/>
    <cellStyle name="Normal 27" xfId="305"/>
    <cellStyle name="Normal 27 2" xfId="306"/>
    <cellStyle name="Normal 27 2 2" xfId="307"/>
    <cellStyle name="Normal 27 3" xfId="308"/>
    <cellStyle name="Normal 28" xfId="309"/>
    <cellStyle name="Normal 28 2" xfId="310"/>
    <cellStyle name="Normal 29" xfId="311"/>
    <cellStyle name="Normal 29 2" xfId="312"/>
    <cellStyle name="Normal 3" xfId="313"/>
    <cellStyle name="Normal 3 2" xfId="314"/>
    <cellStyle name="Normal 3 2 2" xfId="315"/>
    <cellStyle name="Normal 3 2 3" xfId="316"/>
    <cellStyle name="Normal 3 3" xfId="317"/>
    <cellStyle name="Normal 3 4" xfId="318"/>
    <cellStyle name="Normal 30" xfId="319"/>
    <cellStyle name="Normal 30 2" xfId="320"/>
    <cellStyle name="Normal 31" xfId="321"/>
    <cellStyle name="Normal 31 2" xfId="322"/>
    <cellStyle name="Normal 32" xfId="323"/>
    <cellStyle name="Normal 32 2" xfId="324"/>
    <cellStyle name="Normal 33" xfId="325"/>
    <cellStyle name="Normal 33 2" xfId="326"/>
    <cellStyle name="Normal 34" xfId="327"/>
    <cellStyle name="Normal 34 2" xfId="328"/>
    <cellStyle name="Normal 35" xfId="329"/>
    <cellStyle name="Normal 35 2" xfId="330"/>
    <cellStyle name="Normal 36" xfId="331"/>
    <cellStyle name="Normal 36 2" xfId="332"/>
    <cellStyle name="Normal 37" xfId="333"/>
    <cellStyle name="Normal 37 2" xfId="334"/>
    <cellStyle name="Normal 38" xfId="335"/>
    <cellStyle name="Normal 38 2" xfId="336"/>
    <cellStyle name="Normal 39" xfId="337"/>
    <cellStyle name="Normal 39 2" xfId="338"/>
    <cellStyle name="Normal 4" xfId="339"/>
    <cellStyle name="Normal 4 2" xfId="340"/>
    <cellStyle name="Normal 40" xfId="341"/>
    <cellStyle name="Normal 40 2" xfId="342"/>
    <cellStyle name="Normal 41" xfId="343"/>
    <cellStyle name="Normal 41 2" xfId="344"/>
    <cellStyle name="Normal 42" xfId="345"/>
    <cellStyle name="Normal 42 2" xfId="346"/>
    <cellStyle name="Normal 43" xfId="347"/>
    <cellStyle name="Normal 43 2" xfId="348"/>
    <cellStyle name="Normal 44" xfId="349"/>
    <cellStyle name="Normal 44 2" xfId="350"/>
    <cellStyle name="Normal 45" xfId="351"/>
    <cellStyle name="Normal 45 2" xfId="352"/>
    <cellStyle name="Normal 46" xfId="353"/>
    <cellStyle name="Normal 46 2" xfId="354"/>
    <cellStyle name="Normal 47" xfId="355"/>
    <cellStyle name="Normal 47 2" xfId="356"/>
    <cellStyle name="Normal 48" xfId="357"/>
    <cellStyle name="Normal 48 2" xfId="358"/>
    <cellStyle name="Normal 49" xfId="359"/>
    <cellStyle name="Normal 49 2" xfId="360"/>
    <cellStyle name="Normal 5" xfId="361"/>
    <cellStyle name="Normal 50" xfId="362"/>
    <cellStyle name="Normal 50 2" xfId="363"/>
    <cellStyle name="Normal 51" xfId="364"/>
    <cellStyle name="Normal 51 2" xfId="365"/>
    <cellStyle name="Normal 52" xfId="366"/>
    <cellStyle name="Normal 52 2" xfId="367"/>
    <cellStyle name="Normal 53" xfId="368"/>
    <cellStyle name="Normal 53 2" xfId="369"/>
    <cellStyle name="Normal 54" xfId="370"/>
    <cellStyle name="Normal 54 2" xfId="371"/>
    <cellStyle name="Normal 55" xfId="372"/>
    <cellStyle name="Normal 55 2" xfId="373"/>
    <cellStyle name="Normal 56" xfId="374"/>
    <cellStyle name="Normal 56 2" xfId="375"/>
    <cellStyle name="Normal 57" xfId="376"/>
    <cellStyle name="Normal 57 2" xfId="377"/>
    <cellStyle name="Normal 58" xfId="378"/>
    <cellStyle name="Normal 58 2" xfId="379"/>
    <cellStyle name="Normal 59" xfId="380"/>
    <cellStyle name="Normal 59 2" xfId="381"/>
    <cellStyle name="Normal 6" xfId="382"/>
    <cellStyle name="Normal 6 2" xfId="383"/>
    <cellStyle name="Normal 6 3" xfId="384"/>
    <cellStyle name="Normal 60" xfId="385"/>
    <cellStyle name="Normal 60 2" xfId="386"/>
    <cellStyle name="Normal 61" xfId="387"/>
    <cellStyle name="Normal 61 2" xfId="388"/>
    <cellStyle name="Normal 62" xfId="389"/>
    <cellStyle name="Normal 62 2" xfId="390"/>
    <cellStyle name="Normal 63" xfId="391"/>
    <cellStyle name="Normal 63 2" xfId="392"/>
    <cellStyle name="Normal 64" xfId="393"/>
    <cellStyle name="Normal 64 2" xfId="394"/>
    <cellStyle name="Normal 65" xfId="395"/>
    <cellStyle name="Normal 65 2" xfId="396"/>
    <cellStyle name="Normal 66" xfId="397"/>
    <cellStyle name="Normal 66 2" xfId="398"/>
    <cellStyle name="Normal 67" xfId="399"/>
    <cellStyle name="Normal 67 2" xfId="400"/>
    <cellStyle name="Normal 68" xfId="401"/>
    <cellStyle name="Normal 68 2" xfId="402"/>
    <cellStyle name="Normal 69" xfId="403"/>
    <cellStyle name="Normal 69 2" xfId="404"/>
    <cellStyle name="Normal 7" xfId="405"/>
    <cellStyle name="Normal 7 2" xfId="406"/>
    <cellStyle name="Normal 7 3" xfId="407"/>
    <cellStyle name="Normal 70" xfId="408"/>
    <cellStyle name="Normal 71" xfId="409"/>
    <cellStyle name="Normal 72" xfId="410"/>
    <cellStyle name="Normal 73" xfId="411"/>
    <cellStyle name="Normal 74" xfId="412"/>
    <cellStyle name="Normal 75" xfId="463"/>
    <cellStyle name="Normal 8" xfId="413"/>
    <cellStyle name="Normal 8 2" xfId="414"/>
    <cellStyle name="Normal 8 3" xfId="415"/>
    <cellStyle name="Normal 9" xfId="416"/>
    <cellStyle name="Normal 9 2" xfId="417"/>
    <cellStyle name="Normal 9 3" xfId="418"/>
    <cellStyle name="Note 10" xfId="419"/>
    <cellStyle name="Note 10 2" xfId="420"/>
    <cellStyle name="Note 10 3" xfId="421"/>
    <cellStyle name="Note 11" xfId="422"/>
    <cellStyle name="Note 11 2" xfId="423"/>
    <cellStyle name="Note 11 3" xfId="424"/>
    <cellStyle name="Note 12" xfId="425"/>
    <cellStyle name="Note 12 2" xfId="426"/>
    <cellStyle name="Note 12 3" xfId="427"/>
    <cellStyle name="Note 13" xfId="428"/>
    <cellStyle name="Note 13 2" xfId="429"/>
    <cellStyle name="Note 14" xfId="430"/>
    <cellStyle name="Note 14 2" xfId="431"/>
    <cellStyle name="Note 2" xfId="432"/>
    <cellStyle name="Note 2 2" xfId="433"/>
    <cellStyle name="Note 2 3" xfId="434"/>
    <cellStyle name="Note 3" xfId="435"/>
    <cellStyle name="Note 3 2" xfId="436"/>
    <cellStyle name="Note 3 3" xfId="437"/>
    <cellStyle name="Note 4" xfId="438"/>
    <cellStyle name="Note 4 2" xfId="439"/>
    <cellStyle name="Note 4 3" xfId="440"/>
    <cellStyle name="Note 5" xfId="441"/>
    <cellStyle name="Note 5 2" xfId="442"/>
    <cellStyle name="Note 5 3" xfId="443"/>
    <cellStyle name="Note 6" xfId="444"/>
    <cellStyle name="Note 6 2" xfId="445"/>
    <cellStyle name="Note 6 3" xfId="446"/>
    <cellStyle name="Note 7" xfId="447"/>
    <cellStyle name="Note 7 2" xfId="448"/>
    <cellStyle name="Note 7 3" xfId="449"/>
    <cellStyle name="Note 8" xfId="450"/>
    <cellStyle name="Note 8 2" xfId="451"/>
    <cellStyle name="Note 8 3" xfId="452"/>
    <cellStyle name="Note 9" xfId="453"/>
    <cellStyle name="Note 9 2" xfId="454"/>
    <cellStyle name="Note 9 3" xfId="455"/>
    <cellStyle name="Percent" xfId="464" builtinId="5"/>
    <cellStyle name="Percent 2" xfId="456"/>
    <cellStyle name="Percent 2 2" xfId="457"/>
    <cellStyle name="Percent 2 2 2" xfId="458"/>
    <cellStyle name="Percent 3" xfId="459"/>
    <cellStyle name="Percent 4" xfId="460"/>
    <cellStyle name="Title 2" xfId="461"/>
    <cellStyle name="Title 3" xfId="462"/>
  </cellStyles>
  <dxfs count="0"/>
  <tableStyles count="0" defaultTableStyle="TableStyleMedium2" defaultPivotStyle="PivotStyleLight16"/>
  <colors>
    <mruColors>
      <color rgb="FF66CCFF"/>
      <color rgb="FF0C68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3659116963828E-2"/>
          <c:y val="0.127049928301395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Comparison'!$B$4</c:f>
              <c:strCache>
                <c:ptCount val="1"/>
                <c:pt idx="0">
                  <c:v>Dec 2025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Comparison'!$A$5:$A$13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Comparison'!$B$5:$B$13</c:f>
              <c:numCache>
                <c:formatCode>0.00</c:formatCode>
                <c:ptCount val="9"/>
                <c:pt idx="0">
                  <c:v>76.687557108239986</c:v>
                </c:pt>
                <c:pt idx="1">
                  <c:v>4485.8453789347277</c:v>
                </c:pt>
                <c:pt idx="2">
                  <c:v>241.37287576415</c:v>
                </c:pt>
                <c:pt idx="3">
                  <c:v>1903.5428744500064</c:v>
                </c:pt>
                <c:pt idx="4">
                  <c:v>483.18103508065002</c:v>
                </c:pt>
                <c:pt idx="5">
                  <c:v>80.407918513799999</c:v>
                </c:pt>
                <c:pt idx="6">
                  <c:v>8.1305151032299996</c:v>
                </c:pt>
                <c:pt idx="7">
                  <c:v>74.418607204430003</c:v>
                </c:pt>
                <c:pt idx="8">
                  <c:v>18.6196708478613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6-46ED-89A2-2B50ABB45C22}"/>
            </c:ext>
          </c:extLst>
        </c:ser>
        <c:ser>
          <c:idx val="1"/>
          <c:order val="1"/>
          <c:tx>
            <c:strRef>
              <c:f>'NAV Comparison'!#REF!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elete val="1"/>
          </c:dLbls>
          <c:cat>
            <c:strRef>
              <c:f>'NAV Comparison'!$A$5:$A$13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86-46ED-89A2-2B50ABB45C22}"/>
            </c:ext>
          </c:extLst>
        </c:ser>
        <c:ser>
          <c:idx val="2"/>
          <c:order val="2"/>
          <c:tx>
            <c:strRef>
              <c:f>'NAV Comparison'!$C$4</c:f>
              <c:strCache>
                <c:ptCount val="1"/>
                <c:pt idx="0">
                  <c:v>Jan 2026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Comparison'!$A$5:$A$13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Comparison'!$C$5:$C$13</c:f>
              <c:numCache>
                <c:formatCode>0.00</c:formatCode>
                <c:ptCount val="9"/>
                <c:pt idx="0">
                  <c:v>100.45174506524002</c:v>
                </c:pt>
                <c:pt idx="1">
                  <c:v>5189.288413032009</c:v>
                </c:pt>
                <c:pt idx="2">
                  <c:v>240.76536151262999</c:v>
                </c:pt>
                <c:pt idx="3">
                  <c:v>1875.9569024292011</c:v>
                </c:pt>
                <c:pt idx="4">
                  <c:v>513.36709383830998</c:v>
                </c:pt>
                <c:pt idx="5">
                  <c:v>94.530140413209992</c:v>
                </c:pt>
                <c:pt idx="6">
                  <c:v>9.6636794293600001</c:v>
                </c:pt>
                <c:pt idx="7">
                  <c:v>85.494358341669994</c:v>
                </c:pt>
                <c:pt idx="8">
                  <c:v>20.4383178947628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29-4376-982D-C0EACFCCD7E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51400592"/>
        <c:axId val="148111208"/>
      </c:barChart>
      <c:catAx>
        <c:axId val="25140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48111208"/>
        <c:crosses val="autoZero"/>
        <c:auto val="1"/>
        <c:lblAlgn val="ctr"/>
        <c:lblOffset val="100"/>
        <c:noMultiLvlLbl val="0"/>
      </c:catAx>
      <c:valAx>
        <c:axId val="148111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51400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</c:rich>
      </c:tx>
      <c:layout>
        <c:manualLayout>
          <c:xMode val="edge"/>
          <c:yMode val="edge"/>
          <c:x val="0.231843809708693"/>
          <c:y val="9.3377148481089307E-3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430612036398778"/>
          <c:y val="0.16516634114243717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Jan 2026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C18-4D5B-93F2-F392B61358B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C18-4D5B-93F2-F392B61358BF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C18-4D5B-93F2-F392B61358BF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C18-4D5B-93F2-F392B61358BF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C18-4D5B-93F2-F392B61358BF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9C18-4D5B-93F2-F392B61358BF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9C18-4D5B-93F2-F392B61358BF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9C18-4D5B-93F2-F392B61358BF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599855860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C18-4D5B-93F2-F392B61358BF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C18-4D5B-93F2-F392B61358BF}"/>
                </c:ext>
              </c:extLst>
            </c:dLbl>
            <c:dLbl>
              <c:idx val="2"/>
              <c:layout>
                <c:manualLayout>
                  <c:x val="-6.3908902826365604E-2"/>
                  <c:y val="-8.285611329149060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C18-4D5B-93F2-F392B61358BF}"/>
                </c:ext>
              </c:extLst>
            </c:dLbl>
            <c:dLbl>
              <c:idx val="3"/>
              <c:layout>
                <c:manualLayout>
                  <c:x val="-2.6526955148730099E-2"/>
                  <c:y val="-6.35230201901428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C18-4D5B-93F2-F392B61358BF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C18-4D5B-93F2-F392B61358BF}"/>
                </c:ext>
              </c:extLst>
            </c:dLbl>
            <c:dLbl>
              <c:idx val="5"/>
              <c:layout>
                <c:manualLayout>
                  <c:x val="2.964929024123427E-2"/>
                  <c:y val="-0.1520708413635106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C18-4D5B-93F2-F392B61358BF}"/>
                </c:ext>
              </c:extLst>
            </c:dLbl>
            <c:dLbl>
              <c:idx val="6"/>
              <c:layout>
                <c:manualLayout>
                  <c:x val="0.1591371302216133"/>
                  <c:y val="4.058828915252609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9C18-4D5B-93F2-F392B61358BF}"/>
                </c:ext>
              </c:extLst>
            </c:dLbl>
            <c:dLbl>
              <c:idx val="7"/>
              <c:layout>
                <c:manualLayout>
                  <c:x val="0.11216943084253583"/>
                  <c:y val="0.1197241205136170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C18-4D5B-93F2-F392B61358BF}"/>
                </c:ext>
              </c:extLst>
            </c:dLbl>
            <c:dLbl>
              <c:idx val="8"/>
              <c:layout>
                <c:manualLayout>
                  <c:x val="-0.27590312917245502"/>
                  <c:y val="-0.2512933874582475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C612-485C-B4A4-AAD79CF83AD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Share'!$A$2:$A$10</c:f>
              <c:strCache>
                <c:ptCount val="9"/>
                <c:pt idx="0">
                  <c:v>ETHICAL FUNDS</c:v>
                </c:pt>
                <c:pt idx="1">
                  <c:v>SPECIALISED FUNDS</c:v>
                </c:pt>
                <c:pt idx="2">
                  <c:v>SHARI'AH COMPLAINT FUNDS</c:v>
                </c:pt>
                <c:pt idx="3">
                  <c:v>EQUITY BASED FUNDS</c:v>
                </c:pt>
                <c:pt idx="4">
                  <c:v>BALANCED FUNDS</c:v>
                </c:pt>
                <c:pt idx="5">
                  <c:v>BONDS/FIXED INCOME FUNDS</c:v>
                </c:pt>
                <c:pt idx="6">
                  <c:v>REAL ESTATE INVESTMENT TRUST</c:v>
                </c:pt>
                <c:pt idx="7">
                  <c:v>DOLLAR FUNDS</c:v>
                </c:pt>
                <c:pt idx="8">
                  <c:v>MONEY MARKET FUNDS</c:v>
                </c:pt>
              </c:strCache>
            </c:strRef>
          </c:cat>
          <c:val>
            <c:numRef>
              <c:f>'Market Share'!$B$2:$B$10</c:f>
              <c:numCache>
                <c:formatCode>_-* #,##0.00_-;\-* #,##0.00_-;_-* "-"??_-;_-@_-</c:formatCode>
                <c:ptCount val="9"/>
                <c:pt idx="0">
                  <c:v>9663679429.3600006</c:v>
                </c:pt>
                <c:pt idx="1">
                  <c:v>20438317894.762802</c:v>
                </c:pt>
                <c:pt idx="2">
                  <c:v>85494358341.669998</c:v>
                </c:pt>
                <c:pt idx="3" formatCode="#,##0.00">
                  <c:v>100451745065.24002</c:v>
                </c:pt>
                <c:pt idx="4" formatCode="#,##0.00">
                  <c:v>94530140413.209991</c:v>
                </c:pt>
                <c:pt idx="5" formatCode="#,##0.00">
                  <c:v>240765361512.63</c:v>
                </c:pt>
                <c:pt idx="6" formatCode="#,##0.00">
                  <c:v>513367093838.31</c:v>
                </c:pt>
                <c:pt idx="7" formatCode="#,##0.00">
                  <c:v>1875956902429.2012</c:v>
                </c:pt>
                <c:pt idx="8" formatCode="#,##0.00">
                  <c:v>5189288413032.0088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C18-4D5B-93F2-F392B61358BF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UNITHOLDERS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Unitholders!$B$5</c:f>
              <c:strCache>
                <c:ptCount val="1"/>
                <c:pt idx="0">
                  <c:v>UNIT HOLDERS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Unitholders!$A$6:$A$14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Unitholders!$B$6:$B$14</c:f>
              <c:numCache>
                <c:formatCode>_(* #,##0_);_(* \(#,##0\);_(* "-"??_);_(@_)</c:formatCode>
                <c:ptCount val="9"/>
                <c:pt idx="0">
                  <c:v>67553</c:v>
                </c:pt>
                <c:pt idx="1">
                  <c:v>594337</c:v>
                </c:pt>
                <c:pt idx="2">
                  <c:v>54315</c:v>
                </c:pt>
                <c:pt idx="3">
                  <c:v>26229</c:v>
                </c:pt>
                <c:pt idx="4">
                  <c:v>223330</c:v>
                </c:pt>
                <c:pt idx="5">
                  <c:v>78723</c:v>
                </c:pt>
                <c:pt idx="6">
                  <c:v>13801</c:v>
                </c:pt>
                <c:pt idx="7">
                  <c:v>41380</c:v>
                </c:pt>
                <c:pt idx="8" formatCode="_-* #,##0_-;\-* #,##0_-;_-* &quot;-&quot;??_-;_-@_-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B9-4D7C-AC55-08D88FE24A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328697840"/>
        <c:axId val="251602304"/>
      </c:barChart>
      <c:catAx>
        <c:axId val="328697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900" b="0" i="0" u="none" strike="noStrike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CLASSES OF FUNDS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0.45444441097145799"/>
              <c:y val="0.936238322854479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900" b="0" i="0" u="none" strike="noStrike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1602304"/>
        <c:crosses val="autoZero"/>
        <c:auto val="1"/>
        <c:lblAlgn val="ctr"/>
        <c:lblOffset val="100"/>
        <c:noMultiLvlLbl val="0"/>
      </c:catAx>
      <c:valAx>
        <c:axId val="25160230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0">
                    <a:schemeClr val="lt1">
                      <a:lumMod val="75000"/>
                      <a:alpha val="36000"/>
                    </a:schemeClr>
                  </a:gs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328697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>
                <a:lumMod val="75000"/>
                <a:alpha val="36000"/>
              </a:schemeClr>
            </a:gs>
            <a:gs pos="100000">
              <a:schemeClr val="dk1">
                <a:lumMod val="95000"/>
                <a:lumOff val="5000"/>
                <a:alpha val="42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0">
              <a:schemeClr val="lt1">
                <a:lumMod val="75000"/>
                <a:alpha val="36000"/>
                <a:lumOff val="10000"/>
              </a:schemeClr>
            </a:gs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30480</xdr:colOff>
      <xdr:row>22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590550</xdr:colOff>
      <xdr:row>30</xdr:row>
      <xdr:rowOff>171451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19050</xdr:colOff>
      <xdr:row>19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isaac/Desktop/Monthly%20Mutual%20Funds%20Update%202025/Monthly%20Update%20on%20Registered%20Mutual%20Funds%20as%20at%20Decemb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ember"/>
      <sheetName val="NAV Comparison"/>
      <sheetName val="Market Share"/>
      <sheetName val="Unitholders"/>
    </sheetNames>
    <sheetDataSet>
      <sheetData sheetId="0">
        <row r="25">
          <cell r="I25">
            <v>76687557108.23999</v>
          </cell>
        </row>
        <row r="71">
          <cell r="I71">
            <v>4485845378934.7275</v>
          </cell>
        </row>
        <row r="113">
          <cell r="I113">
            <v>241372875764.14999</v>
          </cell>
        </row>
        <row r="155">
          <cell r="I155">
            <v>1903542874450.0063</v>
          </cell>
        </row>
        <row r="164">
          <cell r="I164">
            <v>483181035080.65002</v>
          </cell>
        </row>
        <row r="196">
          <cell r="I196">
            <v>80407918513.800003</v>
          </cell>
        </row>
        <row r="201">
          <cell r="I201">
            <v>8130515103.2299995</v>
          </cell>
        </row>
        <row r="229">
          <cell r="I229">
            <v>74418607204.430008</v>
          </cell>
        </row>
        <row r="238">
          <cell r="I238">
            <v>18619670847.861301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2"/>
  <sheetViews>
    <sheetView tabSelected="1" view="pageBreakPreview" zoomScaleNormal="70" zoomScaleSheetLayoutView="100" workbookViewId="0">
      <pane ySplit="2" topLeftCell="A3" activePane="bottomLeft" state="frozen"/>
      <selection pane="bottomLeft" activeCell="A3" sqref="A3:V3"/>
    </sheetView>
  </sheetViews>
  <sheetFormatPr defaultColWidth="9" defaultRowHeight="13.8"/>
  <cols>
    <col min="1" max="1" width="6.77734375" style="5" customWidth="1"/>
    <col min="2" max="2" width="44.77734375" style="15" customWidth="1"/>
    <col min="3" max="3" width="43.77734375" style="15" customWidth="1"/>
    <col min="4" max="4" width="21.5546875" style="4" customWidth="1"/>
    <col min="5" max="6" width="19.21875" style="4" customWidth="1"/>
    <col min="7" max="7" width="19.77734375" style="4" customWidth="1"/>
    <col min="8" max="8" width="20" style="4" customWidth="1"/>
    <col min="9" max="9" width="22" style="4" customWidth="1"/>
    <col min="10" max="10" width="9" style="4"/>
    <col min="11" max="11" width="24.5546875" style="4" customWidth="1"/>
    <col min="12" max="12" width="9" style="4"/>
    <col min="13" max="13" width="11.5546875" style="4" customWidth="1"/>
    <col min="14" max="14" width="12.21875" style="4" customWidth="1"/>
    <col min="15" max="15" width="12.5546875" style="4" customWidth="1"/>
    <col min="16" max="17" width="12.21875" style="4" customWidth="1"/>
    <col min="18" max="18" width="14.44140625" style="4" customWidth="1"/>
    <col min="19" max="19" width="13.21875" style="4" customWidth="1"/>
    <col min="20" max="20" width="16.44140625" style="4" customWidth="1"/>
    <col min="21" max="22" width="20.21875" style="4" customWidth="1"/>
    <col min="23" max="16384" width="9" style="4"/>
  </cols>
  <sheetData>
    <row r="1" spans="1:23" ht="40.049999999999997" customHeight="1">
      <c r="A1" s="118" t="s">
        <v>317</v>
      </c>
      <c r="B1" s="118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5"/>
    </row>
    <row r="2" spans="1:23" ht="48" customHeight="1">
      <c r="A2" s="30" t="s">
        <v>0</v>
      </c>
      <c r="B2" s="30" t="s">
        <v>1</v>
      </c>
      <c r="C2" s="30" t="s">
        <v>2</v>
      </c>
      <c r="D2" s="30" t="s">
        <v>3</v>
      </c>
      <c r="E2" s="30" t="s">
        <v>4</v>
      </c>
      <c r="F2" s="30" t="s">
        <v>5</v>
      </c>
      <c r="G2" s="30" t="s">
        <v>6</v>
      </c>
      <c r="H2" s="33" t="s">
        <v>7</v>
      </c>
      <c r="I2" s="30" t="s">
        <v>319</v>
      </c>
      <c r="J2" s="30" t="s">
        <v>8</v>
      </c>
      <c r="K2" s="30" t="s">
        <v>9</v>
      </c>
      <c r="L2" s="30" t="s">
        <v>8</v>
      </c>
      <c r="M2" s="30" t="s">
        <v>10</v>
      </c>
      <c r="N2" s="30" t="s">
        <v>11</v>
      </c>
      <c r="O2" s="30" t="s">
        <v>12</v>
      </c>
      <c r="P2" s="30" t="s">
        <v>13</v>
      </c>
      <c r="Q2" s="30" t="s">
        <v>14</v>
      </c>
      <c r="R2" s="30" t="s">
        <v>15</v>
      </c>
      <c r="S2" s="30" t="s">
        <v>16</v>
      </c>
      <c r="T2" s="30" t="s">
        <v>17</v>
      </c>
      <c r="U2" s="30" t="s">
        <v>18</v>
      </c>
      <c r="V2" s="30" t="s">
        <v>19</v>
      </c>
    </row>
    <row r="3" spans="1:23" ht="6" customHeight="1">
      <c r="A3" s="104" t="s">
        <v>316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</row>
    <row r="4" spans="1:23" ht="16.5" customHeight="1">
      <c r="A4" s="104" t="s">
        <v>20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</row>
    <row r="5" spans="1:23" ht="15" customHeight="1">
      <c r="A5" s="62">
        <v>1</v>
      </c>
      <c r="B5" s="19" t="s">
        <v>21</v>
      </c>
      <c r="C5" s="19" t="s">
        <v>22</v>
      </c>
      <c r="D5" s="10">
        <v>6107201387.2399998</v>
      </c>
      <c r="E5" s="10">
        <v>16944178.440000001</v>
      </c>
      <c r="F5" s="10">
        <v>1608906263.25</v>
      </c>
      <c r="G5" s="10">
        <v>9546446.5800000001</v>
      </c>
      <c r="H5" s="12">
        <f>(E5+F5)-G5</f>
        <v>1616303995.1100001</v>
      </c>
      <c r="I5" s="29">
        <v>4526083476.9300003</v>
      </c>
      <c r="J5" s="13">
        <f t="shared" ref="J5:J24" si="0">(I5/$I$25)</f>
        <v>5.5794114510597036E-2</v>
      </c>
      <c r="K5" s="29">
        <v>6118874831.1999998</v>
      </c>
      <c r="L5" s="13">
        <f>(K5/$K$25)</f>
        <v>6.0913574246281105E-2</v>
      </c>
      <c r="M5" s="13">
        <f t="shared" ref="M5:M25" si="1">((K5-I5)/I5)</f>
        <v>0.35191382624484313</v>
      </c>
      <c r="N5" s="20">
        <f t="shared" ref="N5" si="2">(G5/K5)</f>
        <v>1.5601637299921371E-3</v>
      </c>
      <c r="O5" s="21">
        <f t="shared" ref="O5" si="3">H5/K5</f>
        <v>0.26415052435269698</v>
      </c>
      <c r="P5" s="22">
        <f t="shared" ref="P5" si="4">K5/V5</f>
        <v>660.83138541855112</v>
      </c>
      <c r="Q5" s="22">
        <f t="shared" ref="Q5" si="5">H5/V5</f>
        <v>174.55895696702945</v>
      </c>
      <c r="R5" s="10">
        <v>660.83</v>
      </c>
      <c r="S5" s="10">
        <v>668.92</v>
      </c>
      <c r="T5" s="10">
        <v>1695</v>
      </c>
      <c r="U5" s="10">
        <v>7306203.6600000001</v>
      </c>
      <c r="V5" s="10">
        <v>9259358.6899999995</v>
      </c>
    </row>
    <row r="6" spans="1:23">
      <c r="A6" s="62">
        <v>2</v>
      </c>
      <c r="B6" s="19" t="s">
        <v>23</v>
      </c>
      <c r="C6" s="19" t="s">
        <v>24</v>
      </c>
      <c r="D6" s="10">
        <v>1374878682.6400001</v>
      </c>
      <c r="E6" s="10">
        <v>3107180.51</v>
      </c>
      <c r="F6" s="10">
        <v>0</v>
      </c>
      <c r="G6" s="10">
        <v>1855937.65</v>
      </c>
      <c r="H6" s="12">
        <f t="shared" ref="H6:H24" si="6">(E6+F6)-G6</f>
        <v>1251242.8599999999</v>
      </c>
      <c r="I6" s="29">
        <v>934047104.32000005</v>
      </c>
      <c r="J6" s="13">
        <f t="shared" si="0"/>
        <v>1.1514222254705367E-2</v>
      </c>
      <c r="K6" s="29">
        <v>1389170442.6600001</v>
      </c>
      <c r="L6" s="13">
        <f t="shared" ref="L6:L24" si="7">(K6/$K$25)</f>
        <v>1.3829231555487471E-2</v>
      </c>
      <c r="M6" s="13">
        <f t="shared" ref="M6:M24" si="8">((K6-I6)/I6)</f>
        <v>0.48725951425258845</v>
      </c>
      <c r="N6" s="20">
        <f t="shared" ref="N6:N24" si="9">(G6/K6)</f>
        <v>1.3360042749298844E-3</v>
      </c>
      <c r="O6" s="21">
        <f t="shared" ref="O6:O24" si="10">H6/K6</f>
        <v>9.0071226796627289E-4</v>
      </c>
      <c r="P6" s="22">
        <f t="shared" ref="P6:P24" si="11">K6/V6</f>
        <v>46.536703860193384</v>
      </c>
      <c r="Q6" s="22">
        <f t="shared" ref="Q6:Q24" si="12">H6/V6</f>
        <v>4.1916180077589585E-2</v>
      </c>
      <c r="R6" s="10">
        <v>449.88</v>
      </c>
      <c r="S6" s="10">
        <v>455.48</v>
      </c>
      <c r="T6" s="10">
        <v>513</v>
      </c>
      <c r="U6" s="10">
        <v>29851836.23</v>
      </c>
      <c r="V6" s="10">
        <v>29851070.82</v>
      </c>
    </row>
    <row r="7" spans="1:23">
      <c r="A7" s="94">
        <v>3</v>
      </c>
      <c r="B7" s="19" t="s">
        <v>25</v>
      </c>
      <c r="C7" s="79" t="s">
        <v>26</v>
      </c>
      <c r="D7" s="10">
        <v>6669132989</v>
      </c>
      <c r="E7" s="10">
        <v>9122055</v>
      </c>
      <c r="F7" s="10">
        <v>432028707</v>
      </c>
      <c r="G7" s="10">
        <v>20189825</v>
      </c>
      <c r="H7" s="12">
        <f t="shared" si="6"/>
        <v>420960937</v>
      </c>
      <c r="I7" s="29">
        <v>7610475114</v>
      </c>
      <c r="J7" s="13">
        <f t="shared" si="0"/>
        <v>9.3816148587383227E-2</v>
      </c>
      <c r="K7" s="29">
        <v>8873617690</v>
      </c>
      <c r="L7" s="13">
        <f t="shared" si="7"/>
        <v>8.8337118327181718E-2</v>
      </c>
      <c r="M7" s="13">
        <f t="shared" si="8"/>
        <v>0.1659742075335561</v>
      </c>
      <c r="N7" s="20">
        <f t="shared" si="9"/>
        <v>2.2752642389307172E-3</v>
      </c>
      <c r="O7" s="21">
        <f t="shared" si="10"/>
        <v>4.7439607126008601E-2</v>
      </c>
      <c r="P7" s="22">
        <f t="shared" si="11"/>
        <v>56.290684181211873</v>
      </c>
      <c r="Q7" s="22">
        <f t="shared" si="12"/>
        <v>2.6704079424109186</v>
      </c>
      <c r="R7" s="10">
        <v>56.0092</v>
      </c>
      <c r="S7" s="10">
        <v>57.698</v>
      </c>
      <c r="T7" s="10">
        <v>8810</v>
      </c>
      <c r="U7" s="10">
        <v>142974066</v>
      </c>
      <c r="V7" s="10">
        <v>157639187</v>
      </c>
    </row>
    <row r="8" spans="1:23">
      <c r="A8" s="94">
        <v>4</v>
      </c>
      <c r="B8" s="83" t="s">
        <v>27</v>
      </c>
      <c r="C8" s="83" t="s">
        <v>28</v>
      </c>
      <c r="D8" s="10">
        <v>922306807.61000001</v>
      </c>
      <c r="E8" s="10">
        <v>2649268.5299999998</v>
      </c>
      <c r="F8" s="10">
        <v>0</v>
      </c>
      <c r="G8" s="10">
        <v>2782929.64</v>
      </c>
      <c r="H8" s="12">
        <f t="shared" si="6"/>
        <v>-133661.11000000034</v>
      </c>
      <c r="I8" s="29">
        <v>982384773.17999995</v>
      </c>
      <c r="J8" s="13">
        <f t="shared" si="0"/>
        <v>1.2110092270204834E-2</v>
      </c>
      <c r="K8" s="29">
        <v>1252759259.8800001</v>
      </c>
      <c r="L8" s="13">
        <f t="shared" si="7"/>
        <v>1.2471254322823115E-2</v>
      </c>
      <c r="M8" s="13">
        <f t="shared" si="8"/>
        <v>0.2752225951393692</v>
      </c>
      <c r="N8" s="20">
        <f t="shared" si="9"/>
        <v>2.2214400875923859E-3</v>
      </c>
      <c r="O8" s="21">
        <f t="shared" si="10"/>
        <v>-1.0669337220688637E-4</v>
      </c>
      <c r="P8" s="22">
        <f t="shared" si="11"/>
        <v>266.72884038503571</v>
      </c>
      <c r="Q8" s="22">
        <f t="shared" si="12"/>
        <v>-2.8458199445511798E-2</v>
      </c>
      <c r="R8" s="10">
        <v>265.39519999999999</v>
      </c>
      <c r="S8" s="10">
        <v>268.0625</v>
      </c>
      <c r="T8" s="10">
        <v>2331</v>
      </c>
      <c r="U8" s="10">
        <v>3880131.65</v>
      </c>
      <c r="V8" s="10">
        <v>4696752.17</v>
      </c>
    </row>
    <row r="9" spans="1:23">
      <c r="A9" s="94">
        <v>5</v>
      </c>
      <c r="B9" s="19" t="s">
        <v>206</v>
      </c>
      <c r="C9" s="79" t="s">
        <v>103</v>
      </c>
      <c r="D9" s="10">
        <v>3456158240.6799998</v>
      </c>
      <c r="E9" s="10">
        <v>16069459.09</v>
      </c>
      <c r="F9" s="10">
        <v>181839711.27000001</v>
      </c>
      <c r="G9" s="10">
        <v>4182686.42</v>
      </c>
      <c r="H9" s="12">
        <f t="shared" si="6"/>
        <v>193726483.94000003</v>
      </c>
      <c r="I9" s="29">
        <v>2756502017.6900001</v>
      </c>
      <c r="J9" s="13">
        <f t="shared" si="0"/>
        <v>3.3980060245819066E-2</v>
      </c>
      <c r="K9" s="29">
        <v>3503088471.5</v>
      </c>
      <c r="L9" s="13">
        <f t="shared" si="7"/>
        <v>3.4873346094932069E-2</v>
      </c>
      <c r="M9" s="13">
        <f t="shared" si="8"/>
        <v>0.27084560396427837</v>
      </c>
      <c r="N9" s="20">
        <f t="shared" si="9"/>
        <v>1.193999653171477E-3</v>
      </c>
      <c r="O9" s="21">
        <f t="shared" si="10"/>
        <v>5.5301624699489134E-2</v>
      </c>
      <c r="P9" s="22">
        <f t="shared" si="11"/>
        <v>1.9941196563945967</v>
      </c>
      <c r="Q9" s="22">
        <f t="shared" si="12"/>
        <v>0.1102780568438082</v>
      </c>
      <c r="R9" s="10">
        <v>1.8506</v>
      </c>
      <c r="S9" s="10">
        <v>1.8722000000000001</v>
      </c>
      <c r="T9" s="10">
        <v>1268</v>
      </c>
      <c r="U9" s="10">
        <v>1479194034.97</v>
      </c>
      <c r="V9" s="10">
        <v>1756709262.79</v>
      </c>
    </row>
    <row r="10" spans="1:23">
      <c r="A10" s="94">
        <v>6</v>
      </c>
      <c r="B10" s="74" t="s">
        <v>205</v>
      </c>
      <c r="C10" s="75" t="s">
        <v>48</v>
      </c>
      <c r="D10" s="10">
        <v>290090306.26999998</v>
      </c>
      <c r="E10" s="10">
        <v>225043.71</v>
      </c>
      <c r="F10" s="17">
        <v>0</v>
      </c>
      <c r="G10" s="10">
        <v>711403.64</v>
      </c>
      <c r="H10" s="12">
        <f t="shared" si="6"/>
        <v>-486359.93000000005</v>
      </c>
      <c r="I10" s="17">
        <v>300615108.10000002</v>
      </c>
      <c r="J10" s="13">
        <f t="shared" si="0"/>
        <v>3.7057544012253996E-3</v>
      </c>
      <c r="K10" s="17">
        <v>333713961.98000002</v>
      </c>
      <c r="L10" s="13">
        <f t="shared" si="7"/>
        <v>3.3221320521934594E-3</v>
      </c>
      <c r="M10" s="13">
        <f t="shared" si="8"/>
        <v>0.11010376055015045</v>
      </c>
      <c r="N10" s="20">
        <f t="shared" si="9"/>
        <v>2.1317766741885242E-3</v>
      </c>
      <c r="O10" s="21">
        <f t="shared" si="10"/>
        <v>-1.4574155876317465E-3</v>
      </c>
      <c r="P10" s="22">
        <f t="shared" si="11"/>
        <v>192.98098591115584</v>
      </c>
      <c r="Q10" s="22">
        <f t="shared" si="12"/>
        <v>-0.28125349698346103</v>
      </c>
      <c r="R10" s="10">
        <v>192.98</v>
      </c>
      <c r="S10" s="10">
        <v>192.98</v>
      </c>
      <c r="T10" s="10">
        <v>129</v>
      </c>
      <c r="U10" s="10">
        <v>1398078.01</v>
      </c>
      <c r="V10" s="10">
        <v>1729258.25</v>
      </c>
    </row>
    <row r="11" spans="1:23">
      <c r="A11" s="94">
        <v>7</v>
      </c>
      <c r="B11" s="19" t="s">
        <v>29</v>
      </c>
      <c r="C11" s="19" t="s">
        <v>30</v>
      </c>
      <c r="D11" s="10">
        <v>3452078773.7199998</v>
      </c>
      <c r="E11" s="10">
        <v>9042764.3599999994</v>
      </c>
      <c r="F11" s="10">
        <v>180921343.65000001</v>
      </c>
      <c r="G11" s="10">
        <v>5328182.5999999996</v>
      </c>
      <c r="H11" s="12">
        <f t="shared" si="6"/>
        <v>184635925.41</v>
      </c>
      <c r="I11" s="29">
        <v>2831915921.9000001</v>
      </c>
      <c r="J11" s="13">
        <f t="shared" si="0"/>
        <v>3.4909705496206263E-2</v>
      </c>
      <c r="K11" s="29">
        <v>3293402223.5</v>
      </c>
      <c r="L11" s="13">
        <f t="shared" si="7"/>
        <v>3.2785913488720841E-2</v>
      </c>
      <c r="M11" s="13">
        <f t="shared" si="8"/>
        <v>0.16295904056726998</v>
      </c>
      <c r="N11" s="20">
        <f t="shared" si="9"/>
        <v>1.6178353685380026E-3</v>
      </c>
      <c r="O11" s="21">
        <f t="shared" si="10"/>
        <v>5.6062367387904932E-2</v>
      </c>
      <c r="P11" s="22">
        <f t="shared" si="11"/>
        <v>480.25935228482456</v>
      </c>
      <c r="Q11" s="22">
        <f t="shared" si="12"/>
        <v>26.924476249269095</v>
      </c>
      <c r="R11" s="10">
        <v>480.26</v>
      </c>
      <c r="S11" s="10">
        <v>486.53</v>
      </c>
      <c r="T11" s="10">
        <v>1918</v>
      </c>
      <c r="U11" s="10">
        <v>6247041.9900000002</v>
      </c>
      <c r="V11" s="10">
        <v>6857549.3799999999</v>
      </c>
    </row>
    <row r="12" spans="1:23">
      <c r="A12" s="94">
        <v>8</v>
      </c>
      <c r="B12" s="19" t="s">
        <v>31</v>
      </c>
      <c r="C12" s="79" t="s">
        <v>32</v>
      </c>
      <c r="D12" s="10">
        <v>556373220.16999996</v>
      </c>
      <c r="E12" s="10">
        <v>2946609.25</v>
      </c>
      <c r="F12" s="10">
        <v>0</v>
      </c>
      <c r="G12" s="10">
        <v>1181291.68</v>
      </c>
      <c r="H12" s="12">
        <f t="shared" si="6"/>
        <v>1765317.57</v>
      </c>
      <c r="I12" s="29">
        <v>507783959.30000001</v>
      </c>
      <c r="J12" s="13">
        <f t="shared" si="0"/>
        <v>6.2595744237234968E-3</v>
      </c>
      <c r="K12" s="29">
        <v>529439345.81999999</v>
      </c>
      <c r="L12" s="13">
        <f t="shared" si="7"/>
        <v>5.2705838557224362E-3</v>
      </c>
      <c r="M12" s="13">
        <f t="shared" si="8"/>
        <v>4.2646850345278285E-2</v>
      </c>
      <c r="N12" s="20">
        <f t="shared" si="9"/>
        <v>2.2312124879393042E-3</v>
      </c>
      <c r="O12" s="21">
        <f t="shared" si="10"/>
        <v>3.3343150333223948E-3</v>
      </c>
      <c r="P12" s="22">
        <f t="shared" si="11"/>
        <v>264.44346171423945</v>
      </c>
      <c r="Q12" s="22">
        <f t="shared" si="12"/>
        <v>0.88173780985760375</v>
      </c>
      <c r="R12" s="10">
        <v>264.44</v>
      </c>
      <c r="S12" s="10">
        <v>276.33</v>
      </c>
      <c r="T12" s="10">
        <v>2475</v>
      </c>
      <c r="U12" s="10">
        <v>2002082</v>
      </c>
      <c r="V12" s="10">
        <v>2002089</v>
      </c>
    </row>
    <row r="13" spans="1:23">
      <c r="A13" s="94">
        <v>9</v>
      </c>
      <c r="B13" s="19" t="s">
        <v>33</v>
      </c>
      <c r="C13" s="19" t="s">
        <v>34</v>
      </c>
      <c r="D13" s="10">
        <v>84879556.420000002</v>
      </c>
      <c r="E13" s="10">
        <v>2716866.44</v>
      </c>
      <c r="F13" s="10">
        <v>11093158.91</v>
      </c>
      <c r="G13" s="10">
        <v>1950692.72</v>
      </c>
      <c r="H13" s="12">
        <f t="shared" si="6"/>
        <v>11859332.629999999</v>
      </c>
      <c r="I13" s="29">
        <v>87586956.459999993</v>
      </c>
      <c r="J13" s="13">
        <f t="shared" si="0"/>
        <v>1.0797053795566784E-3</v>
      </c>
      <c r="K13" s="29">
        <v>99720235.629999995</v>
      </c>
      <c r="L13" s="13">
        <f t="shared" si="7"/>
        <v>9.9271780261492781E-4</v>
      </c>
      <c r="M13" s="13">
        <f t="shared" si="8"/>
        <v>0.13852837979980659</v>
      </c>
      <c r="N13" s="20">
        <f t="shared" si="9"/>
        <v>1.9561653737339851E-2</v>
      </c>
      <c r="O13" s="21">
        <f t="shared" si="10"/>
        <v>0.11892603898372878</v>
      </c>
      <c r="P13" s="22">
        <f t="shared" si="11"/>
        <v>364.72986967082625</v>
      </c>
      <c r="Q13" s="22">
        <f t="shared" si="12"/>
        <v>43.375878699002996</v>
      </c>
      <c r="R13" s="10">
        <v>357.14</v>
      </c>
      <c r="S13" s="10">
        <v>367.13</v>
      </c>
      <c r="T13" s="10">
        <v>31</v>
      </c>
      <c r="U13" s="10">
        <v>271668</v>
      </c>
      <c r="V13" s="10">
        <v>273408.46999999997</v>
      </c>
      <c r="W13" s="6"/>
    </row>
    <row r="14" spans="1:23">
      <c r="A14" s="94">
        <v>10</v>
      </c>
      <c r="B14" s="79" t="s">
        <v>35</v>
      </c>
      <c r="C14" s="79" t="s">
        <v>36</v>
      </c>
      <c r="D14" s="10">
        <v>5884317967.3900003</v>
      </c>
      <c r="E14" s="10">
        <v>16467827.939999999</v>
      </c>
      <c r="F14" s="10">
        <v>289534167.08999997</v>
      </c>
      <c r="G14" s="10">
        <v>19177351.710000001</v>
      </c>
      <c r="H14" s="12">
        <f t="shared" si="6"/>
        <v>286824643.31999999</v>
      </c>
      <c r="I14" s="29">
        <v>3392641239.8400002</v>
      </c>
      <c r="J14" s="13">
        <f t="shared" si="0"/>
        <v>4.182190072141579E-2</v>
      </c>
      <c r="K14" s="29">
        <v>5856168998.4200001</v>
      </c>
      <c r="L14" s="13">
        <f t="shared" si="7"/>
        <v>5.8298330154609217E-2</v>
      </c>
      <c r="M14" s="13">
        <f t="shared" si="8"/>
        <v>0.72613859952258963</v>
      </c>
      <c r="N14" s="20">
        <f t="shared" si="9"/>
        <v>3.2747264833330575E-3</v>
      </c>
      <c r="O14" s="21">
        <f t="shared" si="10"/>
        <v>4.8978204590302221E-2</v>
      </c>
      <c r="P14" s="22">
        <f t="shared" si="11"/>
        <v>4.2909911937217071</v>
      </c>
      <c r="Q14" s="22">
        <f t="shared" si="12"/>
        <v>0.2101650445812869</v>
      </c>
      <c r="R14" s="10">
        <v>4.3</v>
      </c>
      <c r="S14" s="10">
        <v>4.32</v>
      </c>
      <c r="T14" s="10">
        <v>4548</v>
      </c>
      <c r="U14" s="10">
        <v>842534296.60000002</v>
      </c>
      <c r="V14" s="10">
        <v>1364759034.46</v>
      </c>
    </row>
    <row r="15" spans="1:23">
      <c r="A15" s="94">
        <v>11</v>
      </c>
      <c r="B15" s="74" t="s">
        <v>250</v>
      </c>
      <c r="C15" s="75" t="s">
        <v>273</v>
      </c>
      <c r="D15" s="17">
        <v>201278521.50999999</v>
      </c>
      <c r="E15" s="10">
        <v>5973365.75</v>
      </c>
      <c r="F15" s="10">
        <v>9652087.9100000001</v>
      </c>
      <c r="G15" s="10">
        <v>669948.65</v>
      </c>
      <c r="H15" s="12">
        <f t="shared" si="6"/>
        <v>14955505.01</v>
      </c>
      <c r="I15" s="17">
        <v>114510345.38</v>
      </c>
      <c r="J15" s="13">
        <f t="shared" si="0"/>
        <v>1.4115964399121813E-3</v>
      </c>
      <c r="K15" s="17">
        <v>294306270.81</v>
      </c>
      <c r="L15" s="13">
        <f t="shared" si="7"/>
        <v>2.9298273575920257E-3</v>
      </c>
      <c r="M15" s="13">
        <f t="shared" si="8"/>
        <v>1.5701282258240623</v>
      </c>
      <c r="N15" s="20">
        <f t="shared" si="9"/>
        <v>2.2763655295422146E-3</v>
      </c>
      <c r="O15" s="21">
        <f t="shared" si="10"/>
        <v>5.0816127596734303E-2</v>
      </c>
      <c r="P15" s="22">
        <f t="shared" si="11"/>
        <v>51.969073993696746</v>
      </c>
      <c r="Q15" s="22">
        <f t="shared" si="12"/>
        <v>2.6408670951478199</v>
      </c>
      <c r="R15" s="10">
        <v>29.641604000000001</v>
      </c>
      <c r="S15" s="10">
        <v>29.898776999999999</v>
      </c>
      <c r="T15" s="10">
        <v>101</v>
      </c>
      <c r="U15" s="17">
        <v>4316663</v>
      </c>
      <c r="V15" s="17">
        <v>5663104</v>
      </c>
    </row>
    <row r="16" spans="1:23">
      <c r="A16" s="94">
        <v>12</v>
      </c>
      <c r="B16" s="19" t="s">
        <v>37</v>
      </c>
      <c r="C16" s="79" t="s">
        <v>38</v>
      </c>
      <c r="D16" s="10">
        <v>2952765239.7600002</v>
      </c>
      <c r="E16" s="10">
        <v>7237924.29</v>
      </c>
      <c r="F16" s="10">
        <v>0</v>
      </c>
      <c r="G16" s="10">
        <v>5168614.95</v>
      </c>
      <c r="H16" s="12">
        <f t="shared" si="6"/>
        <v>2069309.3399999999</v>
      </c>
      <c r="I16" s="29">
        <v>2708660555.48</v>
      </c>
      <c r="J16" s="13">
        <f t="shared" si="0"/>
        <v>3.3390307088480113E-2</v>
      </c>
      <c r="K16" s="29">
        <v>2938230322.8000002</v>
      </c>
      <c r="L16" s="13">
        <f t="shared" si="7"/>
        <v>2.9250167041814143E-2</v>
      </c>
      <c r="M16" s="13">
        <f t="shared" si="8"/>
        <v>8.4753981762516667E-2</v>
      </c>
      <c r="N16" s="20">
        <f t="shared" si="9"/>
        <v>1.7590911474477415E-3</v>
      </c>
      <c r="O16" s="21">
        <f t="shared" si="10"/>
        <v>7.0427063662866364E-4</v>
      </c>
      <c r="P16" s="22">
        <f t="shared" si="11"/>
        <v>6.0178051314348755</v>
      </c>
      <c r="Q16" s="22">
        <f t="shared" si="12"/>
        <v>4.2381634510228784E-3</v>
      </c>
      <c r="R16" s="10">
        <v>5.93</v>
      </c>
      <c r="S16" s="10">
        <v>6.06</v>
      </c>
      <c r="T16" s="10">
        <v>3726</v>
      </c>
      <c r="U16" s="10">
        <v>482681579</v>
      </c>
      <c r="V16" s="10">
        <v>488256143</v>
      </c>
    </row>
    <row r="17" spans="1:23">
      <c r="A17" s="94">
        <v>13</v>
      </c>
      <c r="B17" s="19" t="s">
        <v>39</v>
      </c>
      <c r="C17" s="19" t="s">
        <v>40</v>
      </c>
      <c r="D17" s="10">
        <v>3828117521.0999999</v>
      </c>
      <c r="E17" s="10">
        <v>9827421.8900000006</v>
      </c>
      <c r="F17" s="10">
        <v>320530067.25999999</v>
      </c>
      <c r="G17" s="10">
        <v>5793617.7400000002</v>
      </c>
      <c r="H17" s="12">
        <f t="shared" si="6"/>
        <v>324563871.40999997</v>
      </c>
      <c r="I17" s="29">
        <v>3637091332.8299999</v>
      </c>
      <c r="J17" s="13">
        <f t="shared" si="0"/>
        <v>4.4835295536144501E-2</v>
      </c>
      <c r="K17" s="29">
        <v>4506727740.5699997</v>
      </c>
      <c r="L17" s="13">
        <f t="shared" si="7"/>
        <v>4.4864603772119954E-2</v>
      </c>
      <c r="M17" s="13">
        <f t="shared" si="8"/>
        <v>0.23910216383357649</v>
      </c>
      <c r="N17" s="20">
        <f t="shared" si="9"/>
        <v>1.2855486449392742E-3</v>
      </c>
      <c r="O17" s="21">
        <f t="shared" si="10"/>
        <v>7.2017634544071646E-2</v>
      </c>
      <c r="P17" s="22">
        <f t="shared" si="11"/>
        <v>34.25210871808941</v>
      </c>
      <c r="Q17" s="22">
        <f t="shared" si="12"/>
        <v>2.4667558480231735</v>
      </c>
      <c r="R17" s="10">
        <v>34.159999999999997</v>
      </c>
      <c r="S17" s="10">
        <v>34.29</v>
      </c>
      <c r="T17" s="10">
        <v>1322</v>
      </c>
      <c r="U17" s="10">
        <v>103938896.26000001</v>
      </c>
      <c r="V17" s="10">
        <v>131575190.81999999</v>
      </c>
    </row>
    <row r="18" spans="1:23">
      <c r="A18" s="94">
        <v>14</v>
      </c>
      <c r="B18" s="83" t="s">
        <v>41</v>
      </c>
      <c r="C18" s="83" t="s">
        <v>42</v>
      </c>
      <c r="D18" s="10">
        <v>190180374.77000001</v>
      </c>
      <c r="E18" s="10">
        <v>2420319.58</v>
      </c>
      <c r="F18" s="10">
        <v>109086730.22</v>
      </c>
      <c r="G18" s="10">
        <v>335300.34999999998</v>
      </c>
      <c r="H18" s="12">
        <f>(E18+F18)-G18</f>
        <v>111171749.45</v>
      </c>
      <c r="I18" s="29">
        <v>180807563.19999999</v>
      </c>
      <c r="J18" s="13">
        <f t="shared" si="0"/>
        <v>2.2288581147436996E-3</v>
      </c>
      <c r="K18" s="29">
        <v>190324445.05000001</v>
      </c>
      <c r="L18" s="13">
        <f t="shared" si="7"/>
        <v>1.8946853031412316E-3</v>
      </c>
      <c r="M18" s="13">
        <f t="shared" si="8"/>
        <v>5.2635419014374643E-2</v>
      </c>
      <c r="N18" s="20">
        <f t="shared" si="9"/>
        <v>1.761730343739678E-3</v>
      </c>
      <c r="O18" s="21">
        <f t="shared" si="10"/>
        <v>0.5841170293221879</v>
      </c>
      <c r="P18" s="22">
        <f t="shared" si="11"/>
        <v>2.055513777062969</v>
      </c>
      <c r="Q18" s="22">
        <f t="shared" si="12"/>
        <v>1.2006606011888514</v>
      </c>
      <c r="R18" s="10">
        <v>2.08</v>
      </c>
      <c r="S18" s="10">
        <v>2.16</v>
      </c>
      <c r="T18" s="10">
        <v>25</v>
      </c>
      <c r="U18" s="10">
        <v>93061453.569999993</v>
      </c>
      <c r="V18" s="10">
        <v>92592152.469999999</v>
      </c>
    </row>
    <row r="19" spans="1:23">
      <c r="A19" s="94">
        <v>15</v>
      </c>
      <c r="B19" s="19" t="s">
        <v>43</v>
      </c>
      <c r="C19" s="19" t="s">
        <v>44</v>
      </c>
      <c r="D19" s="10">
        <v>9755546514.3199997</v>
      </c>
      <c r="E19" s="10">
        <v>34387474.469999999</v>
      </c>
      <c r="F19" s="10">
        <v>794632385.48000002</v>
      </c>
      <c r="G19" s="10">
        <v>14921880.23</v>
      </c>
      <c r="H19" s="12">
        <f t="shared" si="6"/>
        <v>814097979.72000003</v>
      </c>
      <c r="I19" s="29">
        <v>7487017125.3299999</v>
      </c>
      <c r="J19" s="13">
        <f t="shared" si="0"/>
        <v>9.2294252406675978E-2</v>
      </c>
      <c r="K19" s="29">
        <v>9737470867.9699993</v>
      </c>
      <c r="L19" s="13">
        <f t="shared" si="7"/>
        <v>9.6936801462690778E-2</v>
      </c>
      <c r="M19" s="13">
        <f t="shared" si="8"/>
        <v>0.30058081943292037</v>
      </c>
      <c r="N19" s="20">
        <f t="shared" si="9"/>
        <v>1.5324184721397592E-3</v>
      </c>
      <c r="O19" s="21">
        <f t="shared" si="10"/>
        <v>8.3604663958262243E-2</v>
      </c>
      <c r="P19" s="22">
        <f t="shared" si="11"/>
        <v>52.174655345894401</v>
      </c>
      <c r="Q19" s="22">
        <f t="shared" si="12"/>
        <v>4.3620445273316522</v>
      </c>
      <c r="R19" s="10">
        <v>52.174500000000002</v>
      </c>
      <c r="S19" s="10">
        <v>52.2714</v>
      </c>
      <c r="T19" s="10">
        <v>14982</v>
      </c>
      <c r="U19" s="10">
        <v>157741205</v>
      </c>
      <c r="V19" s="10">
        <v>186632203</v>
      </c>
    </row>
    <row r="20" spans="1:23">
      <c r="A20" s="94">
        <v>16</v>
      </c>
      <c r="B20" s="79" t="s">
        <v>45</v>
      </c>
      <c r="C20" s="19" t="s">
        <v>46</v>
      </c>
      <c r="D20" s="10">
        <v>1859655240.6400001</v>
      </c>
      <c r="E20" s="10">
        <v>7115775.1299999999</v>
      </c>
      <c r="F20" s="10">
        <v>86415746.069999993</v>
      </c>
      <c r="G20" s="10">
        <v>2689941.34</v>
      </c>
      <c r="H20" s="12">
        <f>(E20+F20)-G20</f>
        <v>90841579.859999985</v>
      </c>
      <c r="I20" s="29">
        <v>1665146465.01</v>
      </c>
      <c r="J20" s="13">
        <f t="shared" si="0"/>
        <v>2.0526659090410907E-2</v>
      </c>
      <c r="K20" s="29">
        <v>1970050229.5599999</v>
      </c>
      <c r="L20" s="13">
        <f t="shared" si="7"/>
        <v>1.9611906475895651E-2</v>
      </c>
      <c r="M20" s="13">
        <f t="shared" si="8"/>
        <v>0.18310927654533313</v>
      </c>
      <c r="N20" s="20">
        <f t="shared" si="9"/>
        <v>1.3654176424734022E-3</v>
      </c>
      <c r="O20" s="21">
        <f t="shared" si="10"/>
        <v>4.6111301375442067E-2</v>
      </c>
      <c r="P20" s="22">
        <f t="shared" si="11"/>
        <v>13468.305302152015</v>
      </c>
      <c r="Q20" s="22">
        <f t="shared" si="12"/>
        <v>621.04108480399589</v>
      </c>
      <c r="R20" s="10">
        <v>13396.71</v>
      </c>
      <c r="S20" s="10">
        <v>13561.19</v>
      </c>
      <c r="T20" s="10">
        <v>44</v>
      </c>
      <c r="U20" s="10">
        <v>130145.04</v>
      </c>
      <c r="V20" s="10">
        <v>146273.06</v>
      </c>
    </row>
    <row r="21" spans="1:23">
      <c r="A21" s="94">
        <v>17</v>
      </c>
      <c r="B21" s="19" t="s">
        <v>47</v>
      </c>
      <c r="C21" s="19" t="s">
        <v>46</v>
      </c>
      <c r="D21" s="10">
        <v>29301516169.5</v>
      </c>
      <c r="E21" s="10">
        <v>84866713.370000005</v>
      </c>
      <c r="F21" s="10">
        <v>1587974428.21</v>
      </c>
      <c r="G21" s="10">
        <v>92331351.819999993</v>
      </c>
      <c r="H21" s="12">
        <f t="shared" si="6"/>
        <v>1580509789.76</v>
      </c>
      <c r="I21" s="29">
        <v>25268909800.889999</v>
      </c>
      <c r="J21" s="13">
        <f t="shared" si="0"/>
        <v>0.31149590019163692</v>
      </c>
      <c r="K21" s="29">
        <v>30343482945.82</v>
      </c>
      <c r="L21" s="13">
        <f t="shared" si="7"/>
        <v>0.3020702420461977</v>
      </c>
      <c r="M21" s="13">
        <f t="shared" si="8"/>
        <v>0.20082279706231204</v>
      </c>
      <c r="N21" s="20">
        <f t="shared" si="9"/>
        <v>3.0428725662397698E-3</v>
      </c>
      <c r="O21" s="21">
        <f t="shared" si="10"/>
        <v>5.2087289800649757E-2</v>
      </c>
      <c r="P21" s="22">
        <f t="shared" si="11"/>
        <v>45695.878275424679</v>
      </c>
      <c r="Q21" s="22">
        <f t="shared" si="12"/>
        <v>2380.1744544272606</v>
      </c>
      <c r="R21" s="10">
        <v>45376.55</v>
      </c>
      <c r="S21" s="10">
        <v>45978.87</v>
      </c>
      <c r="T21" s="10">
        <v>19531</v>
      </c>
      <c r="U21" s="10">
        <v>587109.02</v>
      </c>
      <c r="V21" s="10">
        <v>664031.06999999995</v>
      </c>
    </row>
    <row r="22" spans="1:23">
      <c r="A22" s="94">
        <v>18</v>
      </c>
      <c r="B22" s="19" t="s">
        <v>49</v>
      </c>
      <c r="C22" s="19" t="s">
        <v>50</v>
      </c>
      <c r="D22" s="10">
        <v>6812671799</v>
      </c>
      <c r="E22" s="10">
        <v>28524708</v>
      </c>
      <c r="F22" s="10">
        <v>396454193</v>
      </c>
      <c r="G22" s="10">
        <v>12520507</v>
      </c>
      <c r="H22" s="12">
        <f t="shared" ref="H22" si="13">(E22+F22)-G22</f>
        <v>412458394</v>
      </c>
      <c r="I22" s="29">
        <v>6552167912</v>
      </c>
      <c r="J22" s="13">
        <f t="shared" si="0"/>
        <v>8.0770142362189004E-2</v>
      </c>
      <c r="K22" s="29">
        <v>8033470092</v>
      </c>
      <c r="L22" s="13">
        <f t="shared" si="7"/>
        <v>7.9973424919423067E-2</v>
      </c>
      <c r="M22" s="13">
        <f t="shared" si="8"/>
        <v>0.22607817746658504</v>
      </c>
      <c r="N22" s="20">
        <f t="shared" si="9"/>
        <v>1.5585428036221038E-3</v>
      </c>
      <c r="O22" s="21">
        <f t="shared" si="10"/>
        <v>5.1342494498204452E-2</v>
      </c>
      <c r="P22" s="22">
        <f t="shared" si="11"/>
        <v>2.0678087182121709</v>
      </c>
      <c r="Q22" s="22">
        <f t="shared" si="12"/>
        <v>0.10616645773814758</v>
      </c>
      <c r="R22" s="10">
        <v>2.0699999999999998</v>
      </c>
      <c r="S22" s="10">
        <v>2.09</v>
      </c>
      <c r="T22" s="10">
        <v>3700</v>
      </c>
      <c r="U22" s="10">
        <v>3362968449</v>
      </c>
      <c r="V22" s="10">
        <v>3885016066.1599998</v>
      </c>
    </row>
    <row r="23" spans="1:23">
      <c r="A23" s="94">
        <v>19</v>
      </c>
      <c r="B23" s="74" t="s">
        <v>321</v>
      </c>
      <c r="C23" s="74" t="s">
        <v>290</v>
      </c>
      <c r="D23" s="10">
        <v>361196159.35000002</v>
      </c>
      <c r="E23" s="10">
        <v>19894.27</v>
      </c>
      <c r="F23" s="10">
        <v>-1087294.3400000001</v>
      </c>
      <c r="G23" s="10">
        <v>760836.11</v>
      </c>
      <c r="H23" s="12">
        <f t="shared" si="6"/>
        <v>-1828236.1800000002</v>
      </c>
      <c r="I23" s="29">
        <v>97716852.629999995</v>
      </c>
      <c r="J23" s="13">
        <f t="shared" si="0"/>
        <v>1.2045790346207695E-3</v>
      </c>
      <c r="K23" s="29">
        <v>405546211.06999999</v>
      </c>
      <c r="L23" s="13">
        <f t="shared" si="7"/>
        <v>4.0372241498304621E-3</v>
      </c>
      <c r="M23" s="13">
        <f t="shared" si="8"/>
        <v>3.1502176968959548</v>
      </c>
      <c r="N23" s="20">
        <f t="shared" si="9"/>
        <v>1.8760774709066991E-3</v>
      </c>
      <c r="O23" s="21">
        <f t="shared" si="10"/>
        <v>-4.5080834935588496E-3</v>
      </c>
      <c r="P23" s="22">
        <f t="shared" si="11"/>
        <v>1.1273997157046924</v>
      </c>
      <c r="Q23" s="22">
        <f t="shared" si="12"/>
        <v>-5.0824120490112635E-3</v>
      </c>
      <c r="R23" s="10">
        <v>1.1274</v>
      </c>
      <c r="S23" s="10">
        <v>1.1433</v>
      </c>
      <c r="T23" s="10">
        <v>315</v>
      </c>
      <c r="U23" s="10">
        <v>96176000</v>
      </c>
      <c r="V23" s="10">
        <v>359718213</v>
      </c>
    </row>
    <row r="24" spans="1:23">
      <c r="A24" s="94">
        <v>20</v>
      </c>
      <c r="B24" s="75" t="s">
        <v>251</v>
      </c>
      <c r="C24" s="75" t="s">
        <v>252</v>
      </c>
      <c r="D24" s="10">
        <v>9957686813.5599995</v>
      </c>
      <c r="E24" s="10">
        <v>463966</v>
      </c>
      <c r="F24" s="10">
        <v>1149212646.99</v>
      </c>
      <c r="G24" s="10">
        <v>21642122.210000001</v>
      </c>
      <c r="H24" s="12">
        <f t="shared" si="6"/>
        <v>1128034490.78</v>
      </c>
      <c r="I24" s="29">
        <v>9479099721</v>
      </c>
      <c r="J24" s="13">
        <f t="shared" si="0"/>
        <v>0.11685113144434874</v>
      </c>
      <c r="K24" s="29">
        <v>10782180479</v>
      </c>
      <c r="L24" s="13">
        <f t="shared" si="7"/>
        <v>0.10733691557072839</v>
      </c>
      <c r="M24" s="13">
        <f t="shared" si="8"/>
        <v>0.13746883104448776</v>
      </c>
      <c r="N24" s="20">
        <f t="shared" si="9"/>
        <v>2.0072120154315219E-3</v>
      </c>
      <c r="O24" s="21">
        <f t="shared" si="10"/>
        <v>0.10462025681883413</v>
      </c>
      <c r="P24" s="22">
        <f t="shared" si="11"/>
        <v>235.76300173362279</v>
      </c>
      <c r="Q24" s="22">
        <f t="shared" si="12"/>
        <v>24.665585789750853</v>
      </c>
      <c r="R24" s="10">
        <v>233.4</v>
      </c>
      <c r="S24" s="10">
        <v>237.4</v>
      </c>
      <c r="T24" s="10">
        <v>89</v>
      </c>
      <c r="U24" s="10">
        <v>44433703</v>
      </c>
      <c r="V24" s="10">
        <v>45733132</v>
      </c>
    </row>
    <row r="25" spans="1:23">
      <c r="A25" s="105" t="s">
        <v>51</v>
      </c>
      <c r="B25" s="105"/>
      <c r="C25" s="105"/>
      <c r="D25" s="105"/>
      <c r="E25" s="105"/>
      <c r="F25" s="105"/>
      <c r="G25" s="105"/>
      <c r="H25" s="105"/>
      <c r="I25" s="50">
        <f>SUM(I5:I24)</f>
        <v>81121163345.470001</v>
      </c>
      <c r="J25" s="34">
        <f>(I25/$I$240)</f>
        <v>1.040041573569133E-2</v>
      </c>
      <c r="K25" s="50">
        <f>SUM(K5:K24)</f>
        <v>100451745065.24002</v>
      </c>
      <c r="L25" s="34">
        <f>(K25/$K$240)</f>
        <v>1.2355755051750558E-2</v>
      </c>
      <c r="M25" s="34">
        <f t="shared" si="1"/>
        <v>0.23829270837065092</v>
      </c>
      <c r="N25" s="20"/>
      <c r="O25" s="20"/>
      <c r="P25" s="35"/>
      <c r="Q25" s="35"/>
      <c r="R25" s="36"/>
      <c r="S25" s="36"/>
      <c r="T25" s="36">
        <f>SUM(T5:T24)</f>
        <v>67553</v>
      </c>
      <c r="U25" s="36"/>
      <c r="V25" s="36"/>
    </row>
    <row r="26" spans="1:23" ht="6" customHeight="1">
      <c r="A26" s="120"/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5"/>
    </row>
    <row r="27" spans="1:23">
      <c r="A27" s="104" t="s">
        <v>52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</row>
    <row r="28" spans="1:23" ht="13.05" customHeight="1">
      <c r="A28" s="62">
        <v>21</v>
      </c>
      <c r="B28" s="19" t="s">
        <v>53</v>
      </c>
      <c r="C28" s="19" t="s">
        <v>22</v>
      </c>
      <c r="D28" s="10">
        <v>6139820385.2700005</v>
      </c>
      <c r="E28" s="10">
        <v>89621999.890000001</v>
      </c>
      <c r="F28" s="10">
        <v>0</v>
      </c>
      <c r="G28" s="10">
        <v>11240148.369999999</v>
      </c>
      <c r="H28" s="12">
        <f>(E28+F28)-G28</f>
        <v>78381851.519999996</v>
      </c>
      <c r="I28" s="44">
        <v>5596518359.8999996</v>
      </c>
      <c r="J28" s="13">
        <f>(I28/$I$72)</f>
        <v>1.1589808466702255E-3</v>
      </c>
      <c r="K28" s="44">
        <v>5994309277.3000002</v>
      </c>
      <c r="L28" s="13">
        <f t="shared" ref="L28" si="14">(K28/$K$72)</f>
        <v>1.1551312627462215E-3</v>
      </c>
      <c r="M28" s="13">
        <f t="shared" ref="M28:M72" si="15">((K28-I28)/I28)</f>
        <v>7.1078283285951449E-2</v>
      </c>
      <c r="N28" s="20">
        <f t="shared" ref="N28" si="16">(G28/K28)</f>
        <v>1.8751365420142064E-3</v>
      </c>
      <c r="O28" s="21">
        <f t="shared" ref="O28" si="17">H28/K28</f>
        <v>1.3076043943349101E-2</v>
      </c>
      <c r="P28" s="24">
        <f t="shared" ref="P28" si="18">K28/V28</f>
        <v>100.04482219569297</v>
      </c>
      <c r="Q28" s="24">
        <f t="shared" ref="Q28" si="19">H28/V28</f>
        <v>1.3081904913354288</v>
      </c>
      <c r="R28" s="10">
        <v>100</v>
      </c>
      <c r="S28" s="10">
        <v>100</v>
      </c>
      <c r="T28" s="10">
        <v>908</v>
      </c>
      <c r="U28" s="18">
        <v>55937735</v>
      </c>
      <c r="V28" s="18">
        <v>59916237</v>
      </c>
    </row>
    <row r="29" spans="1:23" ht="15" customHeight="1">
      <c r="A29" s="62">
        <v>22</v>
      </c>
      <c r="B29" s="19" t="s">
        <v>54</v>
      </c>
      <c r="C29" s="19" t="s">
        <v>55</v>
      </c>
      <c r="D29" s="10">
        <v>35720322432.620003</v>
      </c>
      <c r="E29" s="10">
        <v>601766971.16999996</v>
      </c>
      <c r="F29" s="10">
        <v>0</v>
      </c>
      <c r="G29" s="10">
        <v>56729265.789999999</v>
      </c>
      <c r="H29" s="12">
        <f t="shared" ref="H29:H71" si="20">(E29+F29)-G29</f>
        <v>545037705.38</v>
      </c>
      <c r="I29" s="44">
        <v>34152006452.689999</v>
      </c>
      <c r="J29" s="13">
        <f t="shared" ref="J29:J71" si="21">(I29/$I$72)</f>
        <v>7.0725259542850699E-3</v>
      </c>
      <c r="K29" s="44">
        <v>36423662683.379997</v>
      </c>
      <c r="L29" s="13">
        <f t="shared" ref="L29:L71" si="22">(K29/$K$72)</f>
        <v>7.0190091173017496E-3</v>
      </c>
      <c r="M29" s="13">
        <f t="shared" ref="M29:M71" si="23">((K29-I29)/I29)</f>
        <v>6.6516040099631413E-2</v>
      </c>
      <c r="N29" s="20">
        <f t="shared" ref="N29:N71" si="24">(G29/K29)</f>
        <v>1.5574838336037354E-3</v>
      </c>
      <c r="O29" s="21">
        <f t="shared" ref="O29:O71" si="25">H29/K29</f>
        <v>1.4963835738263055E-2</v>
      </c>
      <c r="P29" s="24">
        <f t="shared" ref="P29:P71" si="26">K29/V29</f>
        <v>101.62556420894931</v>
      </c>
      <c r="Q29" s="24">
        <f t="shared" ref="Q29:Q71" si="27">H29/V29</f>
        <v>1.5207082496310225</v>
      </c>
      <c r="R29" s="10">
        <v>100</v>
      </c>
      <c r="S29" s="10">
        <v>100</v>
      </c>
      <c r="T29" s="10">
        <v>4124</v>
      </c>
      <c r="U29" s="18">
        <v>327390458.17000002</v>
      </c>
      <c r="V29" s="18">
        <v>358410435.07999998</v>
      </c>
    </row>
    <row r="30" spans="1:23">
      <c r="A30" s="94">
        <v>23</v>
      </c>
      <c r="B30" s="19" t="s">
        <v>56</v>
      </c>
      <c r="C30" s="19" t="s">
        <v>24</v>
      </c>
      <c r="D30" s="10">
        <v>3184784955.8400002</v>
      </c>
      <c r="E30" s="10">
        <v>46978252.229999997</v>
      </c>
      <c r="F30" s="10">
        <v>0</v>
      </c>
      <c r="G30" s="10">
        <v>4044317.83</v>
      </c>
      <c r="H30" s="12">
        <f t="shared" si="20"/>
        <v>42933934.399999999</v>
      </c>
      <c r="I30" s="44">
        <v>2948878189.4299998</v>
      </c>
      <c r="J30" s="13">
        <f t="shared" si="21"/>
        <v>6.1068205640158238E-4</v>
      </c>
      <c r="K30" s="44">
        <v>3275741999.7199998</v>
      </c>
      <c r="L30" s="13">
        <f t="shared" si="22"/>
        <v>6.3125071088620459E-4</v>
      </c>
      <c r="M30" s="13">
        <f t="shared" si="23"/>
        <v>0.11084344258830872</v>
      </c>
      <c r="N30" s="20">
        <f t="shared" si="24"/>
        <v>1.2346264847310001E-3</v>
      </c>
      <c r="O30" s="21">
        <f t="shared" si="25"/>
        <v>1.3106628789346004E-2</v>
      </c>
      <c r="P30" s="24">
        <f t="shared" si="26"/>
        <v>127.94130827942311</v>
      </c>
      <c r="Q30" s="24">
        <f t="shared" si="27"/>
        <v>1.6768792344416792</v>
      </c>
      <c r="R30" s="10">
        <v>100</v>
      </c>
      <c r="S30" s="10">
        <v>100</v>
      </c>
      <c r="T30" s="10">
        <v>1876</v>
      </c>
      <c r="U30" s="18">
        <v>21973655.609999999</v>
      </c>
      <c r="V30" s="18">
        <v>25603474.309999999</v>
      </c>
    </row>
    <row r="31" spans="1:23">
      <c r="A31" s="94">
        <v>24</v>
      </c>
      <c r="B31" s="19" t="s">
        <v>324</v>
      </c>
      <c r="C31" s="19" t="s">
        <v>325</v>
      </c>
      <c r="D31" s="10">
        <v>248911083.71000001</v>
      </c>
      <c r="E31" s="10">
        <v>10555404.050000001</v>
      </c>
      <c r="F31" s="10">
        <v>0</v>
      </c>
      <c r="G31" s="10">
        <v>941868.38</v>
      </c>
      <c r="H31" s="12">
        <f t="shared" si="20"/>
        <v>9613535.6699999999</v>
      </c>
      <c r="I31" s="44">
        <v>0</v>
      </c>
      <c r="J31" s="13">
        <f t="shared" si="21"/>
        <v>0</v>
      </c>
      <c r="K31" s="44">
        <v>717788854.44000006</v>
      </c>
      <c r="L31" s="13">
        <f t="shared" si="22"/>
        <v>1.3832124894761993E-4</v>
      </c>
      <c r="M31" s="13" t="e">
        <f t="shared" si="23"/>
        <v>#DIV/0!</v>
      </c>
      <c r="N31" s="20">
        <f t="shared" si="24"/>
        <v>1.3121802800000579E-3</v>
      </c>
      <c r="O31" s="21">
        <f t="shared" si="25"/>
        <v>1.3393264064402654E-2</v>
      </c>
      <c r="P31" s="24">
        <f t="shared" si="26"/>
        <v>100.00000000000001</v>
      </c>
      <c r="Q31" s="24">
        <f t="shared" si="27"/>
        <v>1.3393264064402655</v>
      </c>
      <c r="R31" s="10">
        <v>1</v>
      </c>
      <c r="S31" s="10">
        <v>1</v>
      </c>
      <c r="T31" s="10">
        <v>105</v>
      </c>
      <c r="U31" s="18">
        <v>10000000</v>
      </c>
      <c r="V31" s="18">
        <v>7177888.5444</v>
      </c>
    </row>
    <row r="32" spans="1:23">
      <c r="A32" s="94">
        <v>25</v>
      </c>
      <c r="B32" s="19" t="s">
        <v>57</v>
      </c>
      <c r="C32" s="79" t="s">
        <v>58</v>
      </c>
      <c r="D32" s="10">
        <v>142625273451</v>
      </c>
      <c r="E32" s="10">
        <v>5660001459</v>
      </c>
      <c r="F32" s="10">
        <v>0</v>
      </c>
      <c r="G32" s="10">
        <v>5660001459</v>
      </c>
      <c r="H32" s="12">
        <f t="shared" si="20"/>
        <v>0</v>
      </c>
      <c r="I32" s="44">
        <v>339883072260</v>
      </c>
      <c r="J32" s="13">
        <f t="shared" si="21"/>
        <v>7.0386255440393286E-2</v>
      </c>
      <c r="K32" s="44">
        <v>359972000819</v>
      </c>
      <c r="L32" s="13">
        <f t="shared" si="22"/>
        <v>6.9368277915521512E-2</v>
      </c>
      <c r="M32" s="13">
        <f t="shared" si="23"/>
        <v>5.9105410650262077E-2</v>
      </c>
      <c r="N32" s="20">
        <f t="shared" si="24"/>
        <v>1.5723449174164923E-2</v>
      </c>
      <c r="O32" s="21">
        <f t="shared" si="25"/>
        <v>0</v>
      </c>
      <c r="P32" s="24">
        <f t="shared" si="26"/>
        <v>1</v>
      </c>
      <c r="Q32" s="24">
        <f t="shared" si="27"/>
        <v>0</v>
      </c>
      <c r="R32" s="10">
        <v>1</v>
      </c>
      <c r="S32" s="10">
        <v>1</v>
      </c>
      <c r="T32" s="10">
        <v>79580</v>
      </c>
      <c r="U32" s="18">
        <v>339883072260</v>
      </c>
      <c r="V32" s="18">
        <v>359972000819</v>
      </c>
    </row>
    <row r="33" spans="1:22">
      <c r="A33" s="94">
        <v>26</v>
      </c>
      <c r="B33" s="19" t="s">
        <v>268</v>
      </c>
      <c r="C33" s="79" t="s">
        <v>101</v>
      </c>
      <c r="D33" s="10">
        <v>767274806.30999994</v>
      </c>
      <c r="E33" s="10">
        <v>31235234.440000001</v>
      </c>
      <c r="F33" s="10">
        <v>0</v>
      </c>
      <c r="G33" s="10">
        <v>3952212.31</v>
      </c>
      <c r="H33" s="12">
        <f t="shared" si="20"/>
        <v>27283022.130000003</v>
      </c>
      <c r="I33" s="44">
        <v>1715296985.98</v>
      </c>
      <c r="J33" s="13">
        <f t="shared" si="21"/>
        <v>3.5522019678275627E-4</v>
      </c>
      <c r="K33" s="44">
        <v>1936242241.1199999</v>
      </c>
      <c r="L33" s="13">
        <f t="shared" si="22"/>
        <v>3.7312288063570703E-4</v>
      </c>
      <c r="M33" s="13">
        <f t="shared" si="23"/>
        <v>0.1288087467918958</v>
      </c>
      <c r="N33" s="20">
        <f t="shared" si="24"/>
        <v>2.0411765770143937E-3</v>
      </c>
      <c r="O33" s="21">
        <f t="shared" si="25"/>
        <v>1.4090707015160672E-2</v>
      </c>
      <c r="P33" s="24">
        <f t="shared" si="26"/>
        <v>0.9698791501792916</v>
      </c>
      <c r="Q33" s="24">
        <f t="shared" si="27"/>
        <v>1.3666282945289415E-2</v>
      </c>
      <c r="R33" s="10">
        <v>1</v>
      </c>
      <c r="S33" s="10">
        <v>1</v>
      </c>
      <c r="T33" s="10">
        <v>394</v>
      </c>
      <c r="U33" s="18">
        <v>1842539503</v>
      </c>
      <c r="V33" s="18">
        <v>1996374745</v>
      </c>
    </row>
    <row r="34" spans="1:22" ht="15" customHeight="1">
      <c r="A34" s="94">
        <v>27</v>
      </c>
      <c r="B34" s="19" t="s">
        <v>59</v>
      </c>
      <c r="C34" s="19" t="s">
        <v>28</v>
      </c>
      <c r="D34" s="10">
        <v>71329087470.100006</v>
      </c>
      <c r="E34" s="10">
        <v>2494354979.1700001</v>
      </c>
      <c r="F34" s="10">
        <v>0</v>
      </c>
      <c r="G34" s="10">
        <v>230938831.56</v>
      </c>
      <c r="H34" s="12">
        <f t="shared" si="20"/>
        <v>2263416147.6100001</v>
      </c>
      <c r="I34" s="44">
        <v>164895725850.48999</v>
      </c>
      <c r="J34" s="13">
        <f t="shared" si="21"/>
        <v>3.4148192799266917E-2</v>
      </c>
      <c r="K34" s="44">
        <v>168238360936.72</v>
      </c>
      <c r="L34" s="13">
        <f t="shared" si="22"/>
        <v>3.2420314221544941E-2</v>
      </c>
      <c r="M34" s="13">
        <f t="shared" si="23"/>
        <v>2.0271205144885073E-2</v>
      </c>
      <c r="N34" s="20">
        <f t="shared" si="24"/>
        <v>1.37268831123993E-3</v>
      </c>
      <c r="O34" s="21">
        <f t="shared" si="25"/>
        <v>1.345362695527773E-2</v>
      </c>
      <c r="P34" s="24">
        <f t="shared" si="26"/>
        <v>1.0129692373919117</v>
      </c>
      <c r="Q34" s="24">
        <f t="shared" si="27"/>
        <v>1.3628110237042948E-2</v>
      </c>
      <c r="R34" s="10">
        <v>1</v>
      </c>
      <c r="S34" s="10">
        <v>1</v>
      </c>
      <c r="T34" s="10">
        <v>38581</v>
      </c>
      <c r="U34" s="18">
        <v>158420543024.48999</v>
      </c>
      <c r="V34" s="18">
        <v>166084373272.66</v>
      </c>
    </row>
    <row r="35" spans="1:22" ht="15" customHeight="1">
      <c r="A35" s="94">
        <v>28</v>
      </c>
      <c r="B35" s="19" t="s">
        <v>263</v>
      </c>
      <c r="C35" s="19" t="s">
        <v>103</v>
      </c>
      <c r="D35" s="10">
        <v>18138195922.549999</v>
      </c>
      <c r="E35" s="10">
        <v>253421094.16999999</v>
      </c>
      <c r="F35" s="10">
        <v>0</v>
      </c>
      <c r="G35" s="10">
        <v>-23120678.280000001</v>
      </c>
      <c r="H35" s="12">
        <f t="shared" si="20"/>
        <v>276541772.44999999</v>
      </c>
      <c r="I35" s="44">
        <v>16107718663.360001</v>
      </c>
      <c r="J35" s="13">
        <f t="shared" si="21"/>
        <v>3.3357412973304963E-3</v>
      </c>
      <c r="K35" s="44">
        <v>18386635303.360001</v>
      </c>
      <c r="L35" s="13">
        <f t="shared" si="22"/>
        <v>3.5431900946544261E-3</v>
      </c>
      <c r="M35" s="13">
        <f t="shared" si="23"/>
        <v>0.14147978913884432</v>
      </c>
      <c r="N35" s="20">
        <f t="shared" si="24"/>
        <v>-1.2574719571326297E-3</v>
      </c>
      <c r="O35" s="21">
        <f t="shared" si="25"/>
        <v>1.5040368609446686E-2</v>
      </c>
      <c r="P35" s="24">
        <f t="shared" si="26"/>
        <v>1</v>
      </c>
      <c r="Q35" s="24">
        <f t="shared" si="27"/>
        <v>1.5040368609446686E-2</v>
      </c>
      <c r="R35" s="10">
        <v>1</v>
      </c>
      <c r="S35" s="10">
        <v>1</v>
      </c>
      <c r="T35" s="10">
        <v>1567</v>
      </c>
      <c r="U35" s="18">
        <v>16107718663.360001</v>
      </c>
      <c r="V35" s="18">
        <v>18386635303.360001</v>
      </c>
    </row>
    <row r="36" spans="1:22">
      <c r="A36" s="94">
        <v>29</v>
      </c>
      <c r="B36" s="79" t="s">
        <v>258</v>
      </c>
      <c r="C36" s="79" t="s">
        <v>44</v>
      </c>
      <c r="D36" s="10">
        <v>37746005192.550003</v>
      </c>
      <c r="E36" s="10">
        <v>544097293.02999997</v>
      </c>
      <c r="F36" s="10">
        <v>0</v>
      </c>
      <c r="G36" s="10">
        <v>62788623.460000001</v>
      </c>
      <c r="H36" s="12">
        <f t="shared" si="20"/>
        <v>481308669.56999999</v>
      </c>
      <c r="I36" s="44">
        <v>37415771934.290001</v>
      </c>
      <c r="J36" s="13">
        <f t="shared" si="21"/>
        <v>7.7484178995882594E-3</v>
      </c>
      <c r="K36" s="44">
        <v>37198331158.910004</v>
      </c>
      <c r="L36" s="13">
        <f t="shared" si="22"/>
        <v>7.1682913336427335E-3</v>
      </c>
      <c r="M36" s="13">
        <f t="shared" si="23"/>
        <v>-5.8114737218804193E-3</v>
      </c>
      <c r="N36" s="20">
        <f t="shared" si="24"/>
        <v>1.687941945346127E-3</v>
      </c>
      <c r="O36" s="21">
        <f t="shared" si="25"/>
        <v>1.2938985555934372E-2</v>
      </c>
      <c r="P36" s="24">
        <f t="shared" si="26"/>
        <v>100.00665947044136</v>
      </c>
      <c r="Q36" s="24">
        <f t="shared" si="27"/>
        <v>1.2939847223852881</v>
      </c>
      <c r="R36" s="10">
        <v>100</v>
      </c>
      <c r="S36" s="10">
        <v>100</v>
      </c>
      <c r="T36" s="10">
        <v>8510</v>
      </c>
      <c r="U36" s="18">
        <v>374156294.55000001</v>
      </c>
      <c r="V36" s="18">
        <v>371958541.12</v>
      </c>
    </row>
    <row r="37" spans="1:22">
      <c r="A37" s="94">
        <v>30</v>
      </c>
      <c r="B37" s="25" t="s">
        <v>212</v>
      </c>
      <c r="C37" s="25" t="s">
        <v>213</v>
      </c>
      <c r="D37" s="10">
        <v>2481906994.0700002</v>
      </c>
      <c r="E37" s="10">
        <v>82450824.680000007</v>
      </c>
      <c r="F37" s="10">
        <v>0</v>
      </c>
      <c r="G37" s="10">
        <v>2883184.28</v>
      </c>
      <c r="H37" s="12">
        <f t="shared" si="20"/>
        <v>79567640.400000006</v>
      </c>
      <c r="I37" s="44">
        <v>2080661853.55</v>
      </c>
      <c r="J37" s="13">
        <f t="shared" si="21"/>
        <v>4.3088346746796127E-4</v>
      </c>
      <c r="K37" s="44">
        <v>2436251957.8600001</v>
      </c>
      <c r="L37" s="13">
        <f t="shared" si="22"/>
        <v>4.6947707738536379E-4</v>
      </c>
      <c r="M37" s="13">
        <f t="shared" si="23"/>
        <v>0.17090239997590029</v>
      </c>
      <c r="N37" s="20">
        <f t="shared" si="24"/>
        <v>1.1834507800796534E-3</v>
      </c>
      <c r="O37" s="21">
        <f t="shared" si="25"/>
        <v>3.2659856934457672E-2</v>
      </c>
      <c r="P37" s="24">
        <f t="shared" si="26"/>
        <v>1.0073864273181852</v>
      </c>
      <c r="Q37" s="24">
        <f t="shared" si="27"/>
        <v>3.2901096593926371E-2</v>
      </c>
      <c r="R37" s="10">
        <v>1</v>
      </c>
      <c r="S37" s="10">
        <v>1</v>
      </c>
      <c r="T37" s="10">
        <v>633</v>
      </c>
      <c r="U37" s="18">
        <v>2057769045.9400001</v>
      </c>
      <c r="V37" s="18">
        <v>2418388705.46</v>
      </c>
    </row>
    <row r="38" spans="1:22">
      <c r="A38" s="94">
        <v>31</v>
      </c>
      <c r="B38" s="19" t="s">
        <v>228</v>
      </c>
      <c r="C38" s="19" t="s">
        <v>60</v>
      </c>
      <c r="D38" s="10">
        <v>90830278918.559998</v>
      </c>
      <c r="E38" s="10">
        <v>1364774458.8699999</v>
      </c>
      <c r="F38" s="10">
        <v>0</v>
      </c>
      <c r="G38" s="10">
        <v>148052458.38</v>
      </c>
      <c r="H38" s="12">
        <f t="shared" si="20"/>
        <v>1216722000.4899998</v>
      </c>
      <c r="I38" s="44">
        <v>86240743836.729996</v>
      </c>
      <c r="J38" s="13">
        <f t="shared" si="21"/>
        <v>1.7859562656942544E-2</v>
      </c>
      <c r="K38" s="44">
        <v>89328149100.600006</v>
      </c>
      <c r="L38" s="13">
        <f t="shared" si="22"/>
        <v>1.7213949580498874E-2</v>
      </c>
      <c r="M38" s="13">
        <f t="shared" si="23"/>
        <v>3.5799845021223971E-2</v>
      </c>
      <c r="N38" s="20">
        <f t="shared" si="24"/>
        <v>1.6573998215642593E-3</v>
      </c>
      <c r="O38" s="21">
        <f t="shared" si="25"/>
        <v>1.3620812842766348E-2</v>
      </c>
      <c r="P38" s="24">
        <f t="shared" si="26"/>
        <v>99.999999999552216</v>
      </c>
      <c r="Q38" s="24">
        <f t="shared" si="27"/>
        <v>1.3620812842705357</v>
      </c>
      <c r="R38" s="10">
        <v>100</v>
      </c>
      <c r="S38" s="10">
        <v>100</v>
      </c>
      <c r="T38" s="10">
        <v>5708</v>
      </c>
      <c r="U38" s="18">
        <v>862407438.37</v>
      </c>
      <c r="V38" s="18">
        <v>893281491.00999999</v>
      </c>
    </row>
    <row r="39" spans="1:22">
      <c r="A39" s="94">
        <v>32</v>
      </c>
      <c r="B39" s="19" t="s">
        <v>61</v>
      </c>
      <c r="C39" s="19" t="s">
        <v>62</v>
      </c>
      <c r="D39" s="10">
        <v>14994137970.41</v>
      </c>
      <c r="E39" s="10">
        <v>575094118.50999999</v>
      </c>
      <c r="F39" s="10">
        <v>0</v>
      </c>
      <c r="G39" s="10">
        <v>43618736.32</v>
      </c>
      <c r="H39" s="12">
        <f t="shared" si="20"/>
        <v>531475382.19</v>
      </c>
      <c r="I39" s="44">
        <v>36233711200</v>
      </c>
      <c r="J39" s="13">
        <f t="shared" si="21"/>
        <v>7.5036253942229181E-3</v>
      </c>
      <c r="K39" s="44">
        <v>38813786400</v>
      </c>
      <c r="L39" s="13">
        <f t="shared" si="22"/>
        <v>7.4795970681694668E-3</v>
      </c>
      <c r="M39" s="13">
        <f t="shared" si="23"/>
        <v>7.1206484639641326E-2</v>
      </c>
      <c r="N39" s="20">
        <f t="shared" si="24"/>
        <v>1.1237949287009009E-3</v>
      </c>
      <c r="O39" s="21">
        <f t="shared" si="25"/>
        <v>1.3692953753926981E-2</v>
      </c>
      <c r="P39" s="24">
        <f t="shared" si="26"/>
        <v>100</v>
      </c>
      <c r="Q39" s="24">
        <f t="shared" si="27"/>
        <v>1.3692953753926982</v>
      </c>
      <c r="R39" s="10">
        <v>100</v>
      </c>
      <c r="S39" s="10">
        <v>100</v>
      </c>
      <c r="T39" s="10">
        <v>5656</v>
      </c>
      <c r="U39" s="18">
        <v>362337112</v>
      </c>
      <c r="V39" s="18">
        <v>388137864</v>
      </c>
    </row>
    <row r="40" spans="1:22">
      <c r="A40" s="94">
        <v>33</v>
      </c>
      <c r="B40" s="19" t="s">
        <v>63</v>
      </c>
      <c r="C40" s="19" t="s">
        <v>64</v>
      </c>
      <c r="D40" s="10">
        <v>78114422389.839996</v>
      </c>
      <c r="E40" s="10">
        <v>954621836.40999997</v>
      </c>
      <c r="F40" s="10">
        <v>0</v>
      </c>
      <c r="G40" s="10">
        <v>129328606.11</v>
      </c>
      <c r="H40" s="12">
        <f t="shared" si="20"/>
        <v>825293230.29999995</v>
      </c>
      <c r="I40" s="44">
        <v>65680669734.949997</v>
      </c>
      <c r="J40" s="13">
        <f t="shared" si="21"/>
        <v>1.3601784774746987E-2</v>
      </c>
      <c r="K40" s="44">
        <v>81822377103.009995</v>
      </c>
      <c r="L40" s="13">
        <f t="shared" si="22"/>
        <v>1.5767552425401354E-2</v>
      </c>
      <c r="M40" s="13">
        <f t="shared" si="23"/>
        <v>0.24576039545879771</v>
      </c>
      <c r="N40" s="20">
        <f t="shared" si="24"/>
        <v>1.5806019170914846E-3</v>
      </c>
      <c r="O40" s="21">
        <f t="shared" si="25"/>
        <v>1.0086400071963198E-2</v>
      </c>
      <c r="P40" s="24">
        <f t="shared" si="26"/>
        <v>1</v>
      </c>
      <c r="Q40" s="24">
        <f t="shared" si="27"/>
        <v>1.0086400071963198E-2</v>
      </c>
      <c r="R40" s="10">
        <v>1</v>
      </c>
      <c r="S40" s="10">
        <v>1</v>
      </c>
      <c r="T40" s="10">
        <v>14462</v>
      </c>
      <c r="U40" s="18">
        <v>65680669734.949997</v>
      </c>
      <c r="V40" s="18">
        <v>81822377103.009995</v>
      </c>
    </row>
    <row r="41" spans="1:22">
      <c r="A41" s="94">
        <v>34</v>
      </c>
      <c r="B41" s="74" t="s">
        <v>304</v>
      </c>
      <c r="C41" s="75" t="s">
        <v>110</v>
      </c>
      <c r="D41" s="10">
        <v>885406574.74000001</v>
      </c>
      <c r="E41" s="10">
        <v>13554602.84</v>
      </c>
      <c r="F41" s="10">
        <v>0</v>
      </c>
      <c r="G41" s="10">
        <v>1384002.32</v>
      </c>
      <c r="H41" s="12">
        <f t="shared" ref="H41" si="28">(E41+F41)-G41</f>
        <v>12170600.52</v>
      </c>
      <c r="I41" s="44">
        <v>839504975.33000004</v>
      </c>
      <c r="J41" s="13">
        <f t="shared" si="21"/>
        <v>1.7385276425845863E-4</v>
      </c>
      <c r="K41" s="44">
        <v>848794115.79999995</v>
      </c>
      <c r="L41" s="13">
        <f t="shared" si="22"/>
        <v>1.6356657179978645E-4</v>
      </c>
      <c r="M41" s="13">
        <f t="shared" si="23"/>
        <v>1.106502134349883E-2</v>
      </c>
      <c r="N41" s="20">
        <f t="shared" si="24"/>
        <v>1.6305512658927415E-3</v>
      </c>
      <c r="O41" s="21">
        <f t="shared" si="25"/>
        <v>1.4338695678314221E-2</v>
      </c>
      <c r="P41" s="24">
        <f t="shared" si="26"/>
        <v>999.99999505180358</v>
      </c>
      <c r="Q41" s="24">
        <f t="shared" si="27"/>
        <v>14.338695607363539</v>
      </c>
      <c r="R41" s="10">
        <v>1000</v>
      </c>
      <c r="S41" s="10">
        <v>1000</v>
      </c>
      <c r="T41" s="10">
        <v>67</v>
      </c>
      <c r="U41" s="18">
        <v>846405.1</v>
      </c>
      <c r="V41" s="18">
        <v>848794.12</v>
      </c>
    </row>
    <row r="42" spans="1:22">
      <c r="A42" s="94">
        <v>35</v>
      </c>
      <c r="B42" s="19" t="s">
        <v>65</v>
      </c>
      <c r="C42" s="19" t="s">
        <v>66</v>
      </c>
      <c r="D42" s="10">
        <v>34212047257.389999</v>
      </c>
      <c r="E42" s="10">
        <v>1302012562.1600001</v>
      </c>
      <c r="F42" s="10"/>
      <c r="G42" s="10">
        <v>134979118.46000001</v>
      </c>
      <c r="H42" s="12">
        <f t="shared" si="20"/>
        <v>1167033443.7</v>
      </c>
      <c r="I42" s="44">
        <v>86746277951.050003</v>
      </c>
      <c r="J42" s="13">
        <f t="shared" si="21"/>
        <v>1.7964253523327148E-2</v>
      </c>
      <c r="K42" s="44">
        <v>87348468300.050003</v>
      </c>
      <c r="L42" s="13">
        <f t="shared" si="22"/>
        <v>1.6832455887533498E-2</v>
      </c>
      <c r="M42" s="13">
        <f t="shared" si="23"/>
        <v>6.9419733413785155E-3</v>
      </c>
      <c r="N42" s="20">
        <f t="shared" si="24"/>
        <v>1.5452946237858958E-3</v>
      </c>
      <c r="O42" s="21">
        <f t="shared" si="25"/>
        <v>1.336066294478265E-2</v>
      </c>
      <c r="P42" s="24">
        <f t="shared" si="26"/>
        <v>101.41127037081935</v>
      </c>
      <c r="Q42" s="24">
        <f t="shared" si="27"/>
        <v>1.3549218022267409</v>
      </c>
      <c r="R42" s="10">
        <v>100</v>
      </c>
      <c r="S42" s="10">
        <v>100</v>
      </c>
      <c r="T42" s="10">
        <v>8239</v>
      </c>
      <c r="U42" s="18">
        <v>838373416</v>
      </c>
      <c r="V42" s="18">
        <v>861329002</v>
      </c>
    </row>
    <row r="43" spans="1:22">
      <c r="A43" s="94">
        <v>36</v>
      </c>
      <c r="B43" s="19" t="s">
        <v>67</v>
      </c>
      <c r="C43" s="19" t="s">
        <v>66</v>
      </c>
      <c r="D43" s="10">
        <v>5371901831.4899998</v>
      </c>
      <c r="E43" s="10">
        <v>149390177.38</v>
      </c>
      <c r="F43" s="10">
        <v>0</v>
      </c>
      <c r="G43" s="10">
        <v>8498954.0999999996</v>
      </c>
      <c r="H43" s="12">
        <f t="shared" si="20"/>
        <v>140891223.28</v>
      </c>
      <c r="I43" s="44">
        <v>11491831510.27</v>
      </c>
      <c r="J43" s="13">
        <f t="shared" si="21"/>
        <v>2.3798389922198497E-3</v>
      </c>
      <c r="K43" s="44">
        <v>9752904974.8999996</v>
      </c>
      <c r="L43" s="13">
        <f t="shared" si="22"/>
        <v>1.8794301257966796E-3</v>
      </c>
      <c r="M43" s="13">
        <f t="shared" si="23"/>
        <v>-0.15131848511840432</v>
      </c>
      <c r="N43" s="20">
        <f t="shared" si="24"/>
        <v>8.7142796139948479E-4</v>
      </c>
      <c r="O43" s="21">
        <f t="shared" si="25"/>
        <v>1.4446077721724611E-2</v>
      </c>
      <c r="P43" s="24">
        <f t="shared" si="26"/>
        <v>1097188.0948250645</v>
      </c>
      <c r="Q43" s="24">
        <f t="shared" si="27"/>
        <v>15850.064493193835</v>
      </c>
      <c r="R43" s="10">
        <v>1000000</v>
      </c>
      <c r="S43" s="10">
        <v>1000000</v>
      </c>
      <c r="T43" s="10">
        <v>86</v>
      </c>
      <c r="U43" s="18">
        <v>11087</v>
      </c>
      <c r="V43" s="18">
        <v>8889</v>
      </c>
    </row>
    <row r="44" spans="1:22">
      <c r="A44" s="94">
        <v>37</v>
      </c>
      <c r="B44" s="79" t="s">
        <v>68</v>
      </c>
      <c r="C44" s="79" t="s">
        <v>69</v>
      </c>
      <c r="D44" s="10">
        <v>7464202560.6199999</v>
      </c>
      <c r="E44" s="10">
        <v>131261728.29000001</v>
      </c>
      <c r="F44" s="10">
        <v>0</v>
      </c>
      <c r="G44" s="10">
        <v>12805751</v>
      </c>
      <c r="H44" s="12">
        <f t="shared" si="20"/>
        <v>118455977.29000001</v>
      </c>
      <c r="I44" s="44">
        <v>7302742140.3299999</v>
      </c>
      <c r="J44" s="13">
        <f t="shared" si="21"/>
        <v>1.5123220767858305E-3</v>
      </c>
      <c r="K44" s="44">
        <v>7158853368</v>
      </c>
      <c r="L44" s="13">
        <f t="shared" si="22"/>
        <v>1.3795443224974288E-3</v>
      </c>
      <c r="M44" s="13">
        <f t="shared" si="23"/>
        <v>-1.9703389434410155E-2</v>
      </c>
      <c r="N44" s="20">
        <f t="shared" si="24"/>
        <v>1.7887991751921576E-3</v>
      </c>
      <c r="O44" s="21">
        <f t="shared" si="25"/>
        <v>1.6546780776303786E-2</v>
      </c>
      <c r="P44" s="24">
        <f t="shared" si="26"/>
        <v>0.99577482141863205</v>
      </c>
      <c r="Q44" s="24">
        <f t="shared" si="27"/>
        <v>1.6476867672577156E-2</v>
      </c>
      <c r="R44" s="10">
        <v>1</v>
      </c>
      <c r="S44" s="10">
        <v>1</v>
      </c>
      <c r="T44" s="10">
        <v>1136</v>
      </c>
      <c r="U44" s="18">
        <v>7333244966</v>
      </c>
      <c r="V44" s="18">
        <v>7189229145</v>
      </c>
    </row>
    <row r="45" spans="1:22">
      <c r="A45" s="94">
        <v>38</v>
      </c>
      <c r="B45" s="19" t="s">
        <v>70</v>
      </c>
      <c r="C45" s="19" t="s">
        <v>71</v>
      </c>
      <c r="D45" s="10">
        <v>2675476944.3499999</v>
      </c>
      <c r="E45" s="10">
        <v>81812272.640000001</v>
      </c>
      <c r="F45" s="10">
        <v>0</v>
      </c>
      <c r="G45" s="10">
        <v>5829236.1399999997</v>
      </c>
      <c r="H45" s="12">
        <f>(E45+F45)-G45</f>
        <v>75983036.5</v>
      </c>
      <c r="I45" s="44">
        <v>4451832118.1499996</v>
      </c>
      <c r="J45" s="13">
        <f t="shared" si="21"/>
        <v>9.219282106704967E-4</v>
      </c>
      <c r="K45" s="44">
        <v>5497257245.4200001</v>
      </c>
      <c r="L45" s="13">
        <f t="shared" si="22"/>
        <v>1.0593470256181137E-3</v>
      </c>
      <c r="M45" s="13">
        <f t="shared" si="23"/>
        <v>0.2348303124477292</v>
      </c>
      <c r="N45" s="20">
        <f t="shared" si="24"/>
        <v>1.0603899144171552E-3</v>
      </c>
      <c r="O45" s="21">
        <f t="shared" si="25"/>
        <v>1.3821990332234264E-2</v>
      </c>
      <c r="P45" s="24">
        <f t="shared" si="26"/>
        <v>1.0165433316620367</v>
      </c>
      <c r="Q45" s="24">
        <f t="shared" si="27"/>
        <v>1.4050652102529881E-2</v>
      </c>
      <c r="R45" s="10">
        <v>1</v>
      </c>
      <c r="S45" s="10">
        <v>1</v>
      </c>
      <c r="T45" s="10">
        <v>1935</v>
      </c>
      <c r="U45" s="18">
        <v>4413558335.7299995</v>
      </c>
      <c r="V45" s="18">
        <v>5407794310.5799999</v>
      </c>
    </row>
    <row r="46" spans="1:22">
      <c r="A46" s="94">
        <v>39</v>
      </c>
      <c r="B46" s="19" t="s">
        <v>72</v>
      </c>
      <c r="C46" s="19" t="s">
        <v>73</v>
      </c>
      <c r="D46" s="10">
        <v>744088821199.10999</v>
      </c>
      <c r="E46" s="10">
        <v>10689959549.91</v>
      </c>
      <c r="F46" s="10">
        <v>0</v>
      </c>
      <c r="G46" s="10">
        <v>1193340544.54</v>
      </c>
      <c r="H46" s="12">
        <f t="shared" ref="H46" si="29">(E46+F46)-G46</f>
        <v>9496619005.3699989</v>
      </c>
      <c r="I46" s="44">
        <v>695909385086.63</v>
      </c>
      <c r="J46" s="13">
        <f t="shared" si="21"/>
        <v>0.14411560839547929</v>
      </c>
      <c r="K46" s="44">
        <v>733006617627.78003</v>
      </c>
      <c r="L46" s="13">
        <f t="shared" si="22"/>
        <v>0.14125378265485486</v>
      </c>
      <c r="M46" s="13">
        <f t="shared" si="23"/>
        <v>5.3307561783395102E-2</v>
      </c>
      <c r="N46" s="20">
        <f t="shared" si="24"/>
        <v>1.6280078731103311E-3</v>
      </c>
      <c r="O46" s="21">
        <f t="shared" si="25"/>
        <v>1.2955707052282538E-2</v>
      </c>
      <c r="P46" s="24">
        <f t="shared" si="26"/>
        <v>100.04450396966232</v>
      </c>
      <c r="Q46" s="24">
        <f t="shared" si="27"/>
        <v>1.2961472856218623</v>
      </c>
      <c r="R46" s="10">
        <v>100</v>
      </c>
      <c r="S46" s="10">
        <v>100</v>
      </c>
      <c r="T46" s="10">
        <v>38608</v>
      </c>
      <c r="U46" s="18">
        <v>6955819436</v>
      </c>
      <c r="V46" s="18">
        <v>7326805457</v>
      </c>
    </row>
    <row r="47" spans="1:22">
      <c r="A47" s="94">
        <v>40</v>
      </c>
      <c r="B47" s="19" t="s">
        <v>264</v>
      </c>
      <c r="C47" s="19" t="s">
        <v>265</v>
      </c>
      <c r="D47" s="10">
        <v>3897826770.7399998</v>
      </c>
      <c r="E47" s="10">
        <v>39470748.270000003</v>
      </c>
      <c r="F47" s="10">
        <v>0</v>
      </c>
      <c r="G47" s="10">
        <v>4772720.8899999997</v>
      </c>
      <c r="H47" s="12">
        <f>(E47+F47)-G47</f>
        <v>34698027.380000003</v>
      </c>
      <c r="I47" s="44">
        <v>3703958591.02</v>
      </c>
      <c r="J47" s="13">
        <f t="shared" si="21"/>
        <v>7.6705136797380587E-4</v>
      </c>
      <c r="K47" s="44">
        <v>3905797142.79</v>
      </c>
      <c r="L47" s="13">
        <f t="shared" si="22"/>
        <v>7.5266526581587942E-4</v>
      </c>
      <c r="M47" s="13">
        <f t="shared" si="23"/>
        <v>5.4492658816257845E-2</v>
      </c>
      <c r="N47" s="20">
        <f t="shared" si="24"/>
        <v>1.2219582112220852E-3</v>
      </c>
      <c r="O47" s="21">
        <f t="shared" si="25"/>
        <v>8.8837249123528243E-3</v>
      </c>
      <c r="P47" s="24">
        <f t="shared" si="26"/>
        <v>0.9992997991474738</v>
      </c>
      <c r="Q47" s="24">
        <f t="shared" si="27"/>
        <v>8.8775045205955853E-3</v>
      </c>
      <c r="R47" s="10">
        <v>1</v>
      </c>
      <c r="S47" s="10">
        <v>1</v>
      </c>
      <c r="T47" s="10">
        <v>555</v>
      </c>
      <c r="U47" s="18">
        <v>3704811884</v>
      </c>
      <c r="V47" s="18">
        <v>3908533901.5599999</v>
      </c>
    </row>
    <row r="48" spans="1:22">
      <c r="A48" s="94">
        <v>41</v>
      </c>
      <c r="B48" s="19" t="s">
        <v>322</v>
      </c>
      <c r="C48" s="19" t="s">
        <v>323</v>
      </c>
      <c r="D48" s="10">
        <v>7398998.5899999999</v>
      </c>
      <c r="E48" s="10">
        <v>610000</v>
      </c>
      <c r="F48" s="10">
        <v>0</v>
      </c>
      <c r="G48" s="10">
        <v>0</v>
      </c>
      <c r="H48" s="12">
        <f t="shared" si="20"/>
        <v>610000</v>
      </c>
      <c r="I48" s="44">
        <v>7292094.1699999999</v>
      </c>
      <c r="J48" s="13">
        <f t="shared" si="21"/>
        <v>1.5101169926826842E-6</v>
      </c>
      <c r="K48" s="44">
        <v>7398998.5899999999</v>
      </c>
      <c r="L48" s="13">
        <f t="shared" si="22"/>
        <v>1.4258214231104756E-6</v>
      </c>
      <c r="M48" s="13">
        <f t="shared" si="23"/>
        <v>1.4660318079792423E-2</v>
      </c>
      <c r="N48" s="20">
        <f t="shared" si="24"/>
        <v>0</v>
      </c>
      <c r="O48" s="21">
        <f t="shared" si="25"/>
        <v>8.2443589166841566E-2</v>
      </c>
      <c r="P48" s="24">
        <f t="shared" si="26"/>
        <v>7.4738114425398237E-3</v>
      </c>
      <c r="Q48" s="24">
        <f t="shared" si="27"/>
        <v>6.1616784007919277E-4</v>
      </c>
      <c r="R48" s="10">
        <v>1</v>
      </c>
      <c r="S48" s="10">
        <v>1</v>
      </c>
      <c r="T48" s="10">
        <v>21</v>
      </c>
      <c r="U48" s="18">
        <v>1000000000</v>
      </c>
      <c r="V48" s="18">
        <v>989990000</v>
      </c>
    </row>
    <row r="49" spans="1:22" ht="15.6" customHeight="1">
      <c r="A49" s="94">
        <v>42</v>
      </c>
      <c r="B49" s="19" t="s">
        <v>74</v>
      </c>
      <c r="C49" s="19" t="s">
        <v>75</v>
      </c>
      <c r="D49" s="10">
        <v>1877627534.8</v>
      </c>
      <c r="E49" s="10">
        <v>28678630.609999999</v>
      </c>
      <c r="F49" s="10">
        <v>0</v>
      </c>
      <c r="G49" s="10">
        <v>1723784.47</v>
      </c>
      <c r="H49" s="12">
        <f t="shared" si="20"/>
        <v>26954846.140000001</v>
      </c>
      <c r="I49" s="44">
        <v>2034152998.75</v>
      </c>
      <c r="J49" s="13">
        <f t="shared" si="21"/>
        <v>4.2125196651551382E-4</v>
      </c>
      <c r="K49" s="44">
        <v>1832814225.4400001</v>
      </c>
      <c r="L49" s="13">
        <f t="shared" si="22"/>
        <v>3.5319182122103701E-4</v>
      </c>
      <c r="M49" s="13">
        <f t="shared" si="23"/>
        <v>-9.8979168938483936E-2</v>
      </c>
      <c r="N49" s="20">
        <f t="shared" si="24"/>
        <v>9.4051238040024181E-4</v>
      </c>
      <c r="O49" s="21">
        <f t="shared" si="25"/>
        <v>1.4706807578127023E-2</v>
      </c>
      <c r="P49" s="24">
        <f t="shared" si="26"/>
        <v>9.965084174539923</v>
      </c>
      <c r="Q49" s="24">
        <f t="shared" si="27"/>
        <v>0.14655457545479739</v>
      </c>
      <c r="R49" s="10">
        <v>10</v>
      </c>
      <c r="S49" s="10">
        <v>10</v>
      </c>
      <c r="T49" s="10">
        <v>570</v>
      </c>
      <c r="U49" s="18">
        <v>203648011</v>
      </c>
      <c r="V49" s="18">
        <v>183923607</v>
      </c>
    </row>
    <row r="50" spans="1:22">
      <c r="A50" s="94">
        <v>43</v>
      </c>
      <c r="B50" s="19" t="s">
        <v>76</v>
      </c>
      <c r="C50" s="19" t="s">
        <v>77</v>
      </c>
      <c r="D50" s="10">
        <v>5685076284.71</v>
      </c>
      <c r="E50" s="10">
        <v>199280568.97</v>
      </c>
      <c r="F50" s="10">
        <v>0</v>
      </c>
      <c r="G50" s="10">
        <v>23396368.440000001</v>
      </c>
      <c r="H50" s="12">
        <f t="shared" si="20"/>
        <v>175884200.53</v>
      </c>
      <c r="I50" s="44">
        <v>9809150688.25</v>
      </c>
      <c r="J50" s="13">
        <f t="shared" si="21"/>
        <v>2.0313732643569755E-3</v>
      </c>
      <c r="K50" s="44">
        <v>10864794837.879999</v>
      </c>
      <c r="L50" s="13">
        <f t="shared" si="22"/>
        <v>2.0936964710989909E-3</v>
      </c>
      <c r="M50" s="13">
        <f t="shared" si="23"/>
        <v>0.10761830286637498</v>
      </c>
      <c r="N50" s="20">
        <f t="shared" si="24"/>
        <v>2.1534109745384969E-3</v>
      </c>
      <c r="O50" s="21">
        <f t="shared" si="25"/>
        <v>1.6188451153884793E-2</v>
      </c>
      <c r="P50" s="24">
        <f t="shared" si="26"/>
        <v>99.233464215412852</v>
      </c>
      <c r="Q50" s="24">
        <f t="shared" si="27"/>
        <v>1.6064360882819853</v>
      </c>
      <c r="R50" s="10">
        <v>100</v>
      </c>
      <c r="S50" s="10">
        <v>100</v>
      </c>
      <c r="T50" s="10">
        <v>1961</v>
      </c>
      <c r="U50" s="18">
        <v>98954151</v>
      </c>
      <c r="V50" s="18">
        <v>109487207</v>
      </c>
    </row>
    <row r="51" spans="1:22">
      <c r="A51" s="94">
        <v>44</v>
      </c>
      <c r="B51" s="74" t="s">
        <v>248</v>
      </c>
      <c r="C51" s="74" t="s">
        <v>224</v>
      </c>
      <c r="D51" s="10">
        <v>202569914.59</v>
      </c>
      <c r="E51" s="10">
        <v>7976962.2999999998</v>
      </c>
      <c r="F51" s="10">
        <v>0</v>
      </c>
      <c r="G51" s="10">
        <v>274051.06</v>
      </c>
      <c r="H51" s="12">
        <f t="shared" si="20"/>
        <v>7702911.2400000002</v>
      </c>
      <c r="I51" s="44">
        <v>126627613.25</v>
      </c>
      <c r="J51" s="13">
        <f t="shared" si="21"/>
        <v>2.6223263997107157E-5</v>
      </c>
      <c r="K51" s="44">
        <v>203434216.03999999</v>
      </c>
      <c r="L51" s="13">
        <f t="shared" si="22"/>
        <v>3.9202719110602874E-5</v>
      </c>
      <c r="M51" s="13">
        <f t="shared" si="23"/>
        <v>0.60655492762357655</v>
      </c>
      <c r="N51" s="20">
        <f t="shared" si="24"/>
        <v>1.3471237303862153E-3</v>
      </c>
      <c r="O51" s="21">
        <f t="shared" si="25"/>
        <v>3.7864383828556281E-2</v>
      </c>
      <c r="P51" s="24">
        <f t="shared" si="26"/>
        <v>0.95927825716986148</v>
      </c>
      <c r="Q51" s="24">
        <f t="shared" si="27"/>
        <v>3.6322480127868158E-2</v>
      </c>
      <c r="R51" s="10">
        <v>1</v>
      </c>
      <c r="S51" s="10">
        <v>1</v>
      </c>
      <c r="T51" s="10">
        <v>127</v>
      </c>
      <c r="U51" s="18">
        <v>12606433.76</v>
      </c>
      <c r="V51" s="18">
        <v>212070079.27000001</v>
      </c>
    </row>
    <row r="52" spans="1:22">
      <c r="A52" s="94">
        <v>45</v>
      </c>
      <c r="B52" s="79" t="s">
        <v>266</v>
      </c>
      <c r="C52" s="79" t="s">
        <v>36</v>
      </c>
      <c r="D52" s="10">
        <v>1589719716.3</v>
      </c>
      <c r="E52" s="10">
        <v>18016926.010000002</v>
      </c>
      <c r="F52" s="10">
        <v>0</v>
      </c>
      <c r="G52" s="10">
        <v>2232737.5</v>
      </c>
      <c r="H52" s="12">
        <f t="shared" si="20"/>
        <v>15784188.510000002</v>
      </c>
      <c r="I52" s="44">
        <v>919468229.30999994</v>
      </c>
      <c r="J52" s="13">
        <f t="shared" si="21"/>
        <v>1.9041232394190126E-4</v>
      </c>
      <c r="K52" s="44">
        <v>1736437905</v>
      </c>
      <c r="L52" s="13">
        <f t="shared" si="22"/>
        <v>3.3461965625946591E-4</v>
      </c>
      <c r="M52" s="13">
        <f t="shared" si="23"/>
        <v>0.88852409430511992</v>
      </c>
      <c r="N52" s="20">
        <f t="shared" si="24"/>
        <v>1.2858147668689598E-3</v>
      </c>
      <c r="O52" s="21">
        <f t="shared" si="25"/>
        <v>9.0899815447186994E-3</v>
      </c>
      <c r="P52" s="24">
        <f t="shared" si="26"/>
        <v>100</v>
      </c>
      <c r="Q52" s="24">
        <f t="shared" si="27"/>
        <v>0.90899815447186982</v>
      </c>
      <c r="R52" s="10">
        <v>100</v>
      </c>
      <c r="S52" s="10">
        <v>100</v>
      </c>
      <c r="T52" s="10">
        <v>7263</v>
      </c>
      <c r="U52" s="18">
        <v>9194682.2899999991</v>
      </c>
      <c r="V52" s="18">
        <v>17364379.050000001</v>
      </c>
    </row>
    <row r="53" spans="1:22">
      <c r="A53" s="94">
        <v>46</v>
      </c>
      <c r="B53" s="79" t="s">
        <v>78</v>
      </c>
      <c r="C53" s="79" t="s">
        <v>36</v>
      </c>
      <c r="D53" s="10">
        <v>337416426392.83002</v>
      </c>
      <c r="E53" s="10">
        <v>5076158436.04</v>
      </c>
      <c r="F53" s="10">
        <v>0</v>
      </c>
      <c r="G53" s="10">
        <v>353344791.81</v>
      </c>
      <c r="H53" s="12">
        <f t="shared" si="20"/>
        <v>4722813644.2299995</v>
      </c>
      <c r="I53" s="44">
        <v>283453627642.44</v>
      </c>
      <c r="J53" s="13">
        <f t="shared" si="21"/>
        <v>5.8700303336921777E-2</v>
      </c>
      <c r="K53" s="44">
        <v>332141987889.41998</v>
      </c>
      <c r="L53" s="13">
        <f t="shared" si="22"/>
        <v>6.4005305054022882E-2</v>
      </c>
      <c r="M53" s="13">
        <f t="shared" si="23"/>
        <v>0.17176834409188607</v>
      </c>
      <c r="N53" s="20">
        <f t="shared" si="24"/>
        <v>1.0638365659678024E-3</v>
      </c>
      <c r="O53" s="21">
        <f t="shared" si="25"/>
        <v>1.4219261088430546E-2</v>
      </c>
      <c r="P53" s="24">
        <f t="shared" si="26"/>
        <v>100.00000000012645</v>
      </c>
      <c r="Q53" s="24">
        <f t="shared" si="27"/>
        <v>1.4219261088448527</v>
      </c>
      <c r="R53" s="10">
        <v>100</v>
      </c>
      <c r="S53" s="10">
        <v>100</v>
      </c>
      <c r="T53" s="10">
        <v>30429</v>
      </c>
      <c r="U53" s="18">
        <v>2834536276.4200001</v>
      </c>
      <c r="V53" s="18">
        <v>3321419878.8899999</v>
      </c>
    </row>
    <row r="54" spans="1:22">
      <c r="A54" s="94">
        <v>47</v>
      </c>
      <c r="B54" s="19" t="s">
        <v>79</v>
      </c>
      <c r="C54" s="19" t="s">
        <v>38</v>
      </c>
      <c r="D54" s="10">
        <v>54498809553</v>
      </c>
      <c r="E54" s="10">
        <v>827411782.14999998</v>
      </c>
      <c r="F54" s="10">
        <v>0</v>
      </c>
      <c r="G54" s="10">
        <v>63836964.43</v>
      </c>
      <c r="H54" s="12">
        <f t="shared" si="20"/>
        <v>763574817.72000003</v>
      </c>
      <c r="I54" s="44">
        <v>47692538361.739998</v>
      </c>
      <c r="J54" s="13">
        <f t="shared" si="21"/>
        <v>9.8766295285287499E-3</v>
      </c>
      <c r="K54" s="44">
        <v>54367627309.589996</v>
      </c>
      <c r="L54" s="13">
        <f t="shared" si="22"/>
        <v>1.0476894514680474E-2</v>
      </c>
      <c r="M54" s="13">
        <f t="shared" si="23"/>
        <v>0.13996086551779977</v>
      </c>
      <c r="N54" s="20">
        <f t="shared" si="24"/>
        <v>1.1741723446286885E-3</v>
      </c>
      <c r="O54" s="21">
        <f t="shared" si="25"/>
        <v>1.4044659579714854E-2</v>
      </c>
      <c r="P54" s="24">
        <f t="shared" si="26"/>
        <v>1.0004724312888704</v>
      </c>
      <c r="Q54" s="24">
        <f t="shared" si="27"/>
        <v>1.4051294716341844E-2</v>
      </c>
      <c r="R54" s="10">
        <v>1</v>
      </c>
      <c r="S54" s="10">
        <v>1</v>
      </c>
      <c r="T54" s="10">
        <v>3119</v>
      </c>
      <c r="U54" s="18">
        <v>48026043438</v>
      </c>
      <c r="V54" s="18">
        <v>54341954470</v>
      </c>
    </row>
    <row r="55" spans="1:22">
      <c r="A55" s="94">
        <v>48</v>
      </c>
      <c r="B55" s="19" t="s">
        <v>274</v>
      </c>
      <c r="C55" s="79" t="s">
        <v>275</v>
      </c>
      <c r="D55" s="10">
        <v>2636571578.3099999</v>
      </c>
      <c r="E55" s="10">
        <v>82258856.849999994</v>
      </c>
      <c r="F55" s="10"/>
      <c r="G55" s="10">
        <v>80876727.519999996</v>
      </c>
      <c r="H55" s="12">
        <f t="shared" si="20"/>
        <v>1382129.3299999982</v>
      </c>
      <c r="I55" s="44">
        <v>4876669427.79</v>
      </c>
      <c r="J55" s="13">
        <f t="shared" si="21"/>
        <v>1.0099076066377541E-3</v>
      </c>
      <c r="K55" s="44">
        <v>5258331411.6700001</v>
      </c>
      <c r="L55" s="13">
        <f t="shared" si="22"/>
        <v>1.0133049067892626E-3</v>
      </c>
      <c r="M55" s="13">
        <f t="shared" si="23"/>
        <v>7.8262836866709859E-2</v>
      </c>
      <c r="N55" s="20">
        <f t="shared" si="24"/>
        <v>1.5380682803770683E-2</v>
      </c>
      <c r="O55" s="21">
        <f t="shared" si="25"/>
        <v>2.6284561047875185E-4</v>
      </c>
      <c r="P55" s="24">
        <f t="shared" si="26"/>
        <v>101.3785973372721</v>
      </c>
      <c r="Q55" s="24">
        <f t="shared" si="27"/>
        <v>2.6646919306594852E-2</v>
      </c>
      <c r="R55" s="10">
        <v>100</v>
      </c>
      <c r="S55" s="10">
        <v>100</v>
      </c>
      <c r="T55" s="10">
        <v>926</v>
      </c>
      <c r="U55" s="18">
        <v>47228265.060000002</v>
      </c>
      <c r="V55" s="18">
        <v>51868259.670000002</v>
      </c>
    </row>
    <row r="56" spans="1:22">
      <c r="A56" s="94">
        <v>49</v>
      </c>
      <c r="B56" s="19" t="s">
        <v>80</v>
      </c>
      <c r="C56" s="19" t="s">
        <v>40</v>
      </c>
      <c r="D56" s="10">
        <v>92553713744.580002</v>
      </c>
      <c r="E56" s="10">
        <v>1343969255.2</v>
      </c>
      <c r="F56" s="10">
        <v>0</v>
      </c>
      <c r="G56" s="10">
        <v>129927424.81999999</v>
      </c>
      <c r="H56" s="12">
        <f t="shared" si="20"/>
        <v>1214041830.3800001</v>
      </c>
      <c r="I56" s="44">
        <v>83488657475.589996</v>
      </c>
      <c r="J56" s="13">
        <f t="shared" si="21"/>
        <v>1.7289634144995233E-2</v>
      </c>
      <c r="K56" s="44">
        <v>90706721139.899994</v>
      </c>
      <c r="L56" s="13">
        <f t="shared" si="22"/>
        <v>1.7479606820870779E-2</v>
      </c>
      <c r="M56" s="13">
        <f t="shared" si="23"/>
        <v>8.6455620231052105E-2</v>
      </c>
      <c r="N56" s="20">
        <f t="shared" si="24"/>
        <v>1.4323902703925169E-3</v>
      </c>
      <c r="O56" s="21">
        <f t="shared" si="25"/>
        <v>1.3384254387362795E-2</v>
      </c>
      <c r="P56" s="24">
        <f t="shared" si="26"/>
        <v>10.088909841592038</v>
      </c>
      <c r="Q56" s="24">
        <f t="shared" si="27"/>
        <v>0.13503253581103594</v>
      </c>
      <c r="R56" s="10">
        <v>10</v>
      </c>
      <c r="S56" s="10">
        <v>10</v>
      </c>
      <c r="T56" s="10">
        <v>7641</v>
      </c>
      <c r="U56" s="18">
        <v>8343724466.8900003</v>
      </c>
      <c r="V56" s="18">
        <v>8990735625.9599991</v>
      </c>
    </row>
    <row r="57" spans="1:22" ht="14.1" customHeight="1">
      <c r="A57" s="94">
        <v>50</v>
      </c>
      <c r="B57" s="19" t="s">
        <v>81</v>
      </c>
      <c r="C57" s="19" t="s">
        <v>259</v>
      </c>
      <c r="D57" s="10">
        <v>14833161638.15</v>
      </c>
      <c r="E57" s="10">
        <v>533369703.92000002</v>
      </c>
      <c r="F57" s="10">
        <v>72789671.239999995</v>
      </c>
      <c r="G57" s="10">
        <v>47492534.5</v>
      </c>
      <c r="H57" s="12">
        <f t="shared" si="20"/>
        <v>558666840.65999997</v>
      </c>
      <c r="I57" s="44">
        <v>33184037348</v>
      </c>
      <c r="J57" s="13">
        <f t="shared" si="21"/>
        <v>6.8720696026106903E-3</v>
      </c>
      <c r="K57" s="44">
        <v>39191388528</v>
      </c>
      <c r="L57" s="13">
        <f t="shared" si="22"/>
        <v>7.552362753547778E-3</v>
      </c>
      <c r="M57" s="13">
        <f t="shared" si="23"/>
        <v>0.18103135302679083</v>
      </c>
      <c r="N57" s="20">
        <f t="shared" si="24"/>
        <v>1.2118104584651118E-3</v>
      </c>
      <c r="O57" s="21">
        <f t="shared" si="25"/>
        <v>1.4254836627206115E-2</v>
      </c>
      <c r="P57" s="24">
        <f t="shared" si="26"/>
        <v>100.00000000000001</v>
      </c>
      <c r="Q57" s="24">
        <f t="shared" si="27"/>
        <v>1.4254836627206116</v>
      </c>
      <c r="R57" s="10">
        <v>100</v>
      </c>
      <c r="S57" s="10">
        <v>100</v>
      </c>
      <c r="T57" s="10">
        <v>5715</v>
      </c>
      <c r="U57" s="18">
        <v>331840373.48000002</v>
      </c>
      <c r="V57" s="18">
        <v>391913885.27999997</v>
      </c>
    </row>
    <row r="58" spans="1:22">
      <c r="A58" s="94">
        <v>51</v>
      </c>
      <c r="B58" s="19" t="s">
        <v>82</v>
      </c>
      <c r="C58" s="79" t="s">
        <v>83</v>
      </c>
      <c r="D58" s="10">
        <v>75168583.670000002</v>
      </c>
      <c r="E58" s="10">
        <v>2049709.14</v>
      </c>
      <c r="F58" s="10">
        <v>0</v>
      </c>
      <c r="G58" s="10">
        <v>1822884.74</v>
      </c>
      <c r="H58" s="12">
        <f t="shared" si="20"/>
        <v>226824.39999999991</v>
      </c>
      <c r="I58" s="44">
        <v>175351329.34</v>
      </c>
      <c r="J58" s="13">
        <f t="shared" si="21"/>
        <v>3.6313439726990215E-5</v>
      </c>
      <c r="K58" s="44">
        <v>175182304.86000001</v>
      </c>
      <c r="L58" s="13">
        <f t="shared" si="22"/>
        <v>3.3758444495021645E-5</v>
      </c>
      <c r="M58" s="13">
        <f t="shared" si="23"/>
        <v>-9.6391901125686256E-4</v>
      </c>
      <c r="N58" s="20">
        <f t="shared" si="24"/>
        <v>1.040564423134397E-2</v>
      </c>
      <c r="O58" s="21">
        <f t="shared" si="25"/>
        <v>1.2947905907578427E-3</v>
      </c>
      <c r="P58" s="24">
        <f t="shared" si="26"/>
        <v>1.0007916299317996</v>
      </c>
      <c r="Q58" s="24">
        <f t="shared" si="27"/>
        <v>1.2958155857448991E-3</v>
      </c>
      <c r="R58" s="10">
        <v>1</v>
      </c>
      <c r="S58" s="10">
        <v>1</v>
      </c>
      <c r="T58" s="10">
        <v>93</v>
      </c>
      <c r="U58" s="18">
        <v>175182304.86000001</v>
      </c>
      <c r="V58" s="18">
        <v>175043735</v>
      </c>
    </row>
    <row r="59" spans="1:22" ht="15" customHeight="1">
      <c r="A59" s="94">
        <v>52</v>
      </c>
      <c r="B59" s="79" t="s">
        <v>84</v>
      </c>
      <c r="C59" s="79" t="s">
        <v>42</v>
      </c>
      <c r="D59" s="10">
        <v>2582254491.0300002</v>
      </c>
      <c r="E59" s="10">
        <v>106589380.15000001</v>
      </c>
      <c r="F59" s="10">
        <v>0</v>
      </c>
      <c r="G59" s="10">
        <v>3322522.03</v>
      </c>
      <c r="H59" s="12">
        <f t="shared" si="20"/>
        <v>103266858.12</v>
      </c>
      <c r="I59" s="44">
        <v>2329633790.71</v>
      </c>
      <c r="J59" s="13">
        <f t="shared" si="21"/>
        <v>4.8244297071097024E-4</v>
      </c>
      <c r="K59" s="44">
        <v>2609884706.5700002</v>
      </c>
      <c r="L59" s="13">
        <f t="shared" si="22"/>
        <v>5.0293691520704876E-4</v>
      </c>
      <c r="M59" s="13">
        <f t="shared" si="23"/>
        <v>0.12029827047391356</v>
      </c>
      <c r="N59" s="20">
        <f t="shared" si="24"/>
        <v>1.2730531818650993E-3</v>
      </c>
      <c r="O59" s="21">
        <f t="shared" si="25"/>
        <v>3.9567593871116566E-2</v>
      </c>
      <c r="P59" s="24">
        <f t="shared" si="26"/>
        <v>10.608991757656133</v>
      </c>
      <c r="Q59" s="24">
        <f t="shared" si="27"/>
        <v>0.41977227724896105</v>
      </c>
      <c r="R59" s="10">
        <v>10</v>
      </c>
      <c r="S59" s="10">
        <v>10</v>
      </c>
      <c r="T59" s="10">
        <v>951</v>
      </c>
      <c r="U59" s="18">
        <v>221989113.09999999</v>
      </c>
      <c r="V59" s="18">
        <v>246006855.90000001</v>
      </c>
    </row>
    <row r="60" spans="1:22" ht="15" customHeight="1">
      <c r="A60" s="94">
        <v>53</v>
      </c>
      <c r="B60" s="10" t="s">
        <v>207</v>
      </c>
      <c r="C60" s="10" t="s">
        <v>208</v>
      </c>
      <c r="D60" s="10">
        <v>647380754.38999999</v>
      </c>
      <c r="E60" s="10">
        <v>21778899.609999999</v>
      </c>
      <c r="F60" s="10">
        <v>0</v>
      </c>
      <c r="G60" s="10">
        <v>2183697.5699999998</v>
      </c>
      <c r="H60" s="12">
        <f t="shared" si="20"/>
        <v>19595202.039999999</v>
      </c>
      <c r="I60" s="44">
        <v>1149116509.5899999</v>
      </c>
      <c r="J60" s="13">
        <f t="shared" si="21"/>
        <v>2.3797009847228474E-4</v>
      </c>
      <c r="K60" s="44">
        <v>1297581539</v>
      </c>
      <c r="L60" s="13">
        <f t="shared" si="22"/>
        <v>2.5004999447349012E-4</v>
      </c>
      <c r="M60" s="13">
        <f t="shared" si="23"/>
        <v>0.12919928325020044</v>
      </c>
      <c r="N60" s="20">
        <f t="shared" si="24"/>
        <v>1.682898148876947E-3</v>
      </c>
      <c r="O60" s="21">
        <f t="shared" si="25"/>
        <v>1.5101326160282248E-2</v>
      </c>
      <c r="P60" s="24">
        <f t="shared" si="26"/>
        <v>1</v>
      </c>
      <c r="Q60" s="24">
        <f t="shared" si="27"/>
        <v>1.5101326160282248E-2</v>
      </c>
      <c r="R60" s="10">
        <v>1</v>
      </c>
      <c r="S60" s="10">
        <v>1</v>
      </c>
      <c r="T60" s="10">
        <v>201</v>
      </c>
      <c r="U60" s="18">
        <v>1149116509</v>
      </c>
      <c r="V60" s="18">
        <v>1297581539</v>
      </c>
    </row>
    <row r="61" spans="1:22" ht="15" customHeight="1">
      <c r="A61" s="94">
        <v>54</v>
      </c>
      <c r="B61" s="10" t="s">
        <v>294</v>
      </c>
      <c r="C61" s="10" t="s">
        <v>295</v>
      </c>
      <c r="D61" s="10">
        <v>2128553211.6900001</v>
      </c>
      <c r="E61" s="10">
        <v>33489985.420000002</v>
      </c>
      <c r="F61" s="10">
        <v>0</v>
      </c>
      <c r="G61" s="10">
        <v>1749095.5</v>
      </c>
      <c r="H61" s="12">
        <f t="shared" si="20"/>
        <v>31740889.920000002</v>
      </c>
      <c r="I61" s="44">
        <v>1975360614.8599999</v>
      </c>
      <c r="J61" s="13">
        <f t="shared" si="21"/>
        <v>4.0907667422185811E-4</v>
      </c>
      <c r="K61" s="44">
        <v>2753109495.4200001</v>
      </c>
      <c r="L61" s="13">
        <f t="shared" si="22"/>
        <v>5.3053699780995734E-4</v>
      </c>
      <c r="M61" s="13">
        <f t="shared" si="23"/>
        <v>0.39372501137728805</v>
      </c>
      <c r="N61" s="20">
        <f t="shared" si="24"/>
        <v>6.3531635879711607E-4</v>
      </c>
      <c r="O61" s="21">
        <f t="shared" si="25"/>
        <v>1.1529105534234401E-2</v>
      </c>
      <c r="P61" s="24">
        <f t="shared" si="26"/>
        <v>1</v>
      </c>
      <c r="Q61" s="24">
        <f t="shared" si="27"/>
        <v>1.1529105534234401E-2</v>
      </c>
      <c r="R61" s="10">
        <v>1</v>
      </c>
      <c r="S61" s="10">
        <v>1</v>
      </c>
      <c r="T61" s="10">
        <v>2116</v>
      </c>
      <c r="U61" s="18">
        <v>1975360614.8599999</v>
      </c>
      <c r="V61" s="18">
        <v>2753109495.4200001</v>
      </c>
    </row>
    <row r="62" spans="1:22" ht="15" customHeight="1">
      <c r="A62" s="94">
        <v>55</v>
      </c>
      <c r="B62" s="74" t="s">
        <v>209</v>
      </c>
      <c r="C62" s="75" t="s">
        <v>210</v>
      </c>
      <c r="D62" s="10">
        <v>14582159638.92</v>
      </c>
      <c r="E62" s="10">
        <v>227224593.72999999</v>
      </c>
      <c r="F62" s="10">
        <v>0</v>
      </c>
      <c r="G62" s="10">
        <v>228472490.58000001</v>
      </c>
      <c r="H62" s="12">
        <f t="shared" si="20"/>
        <v>-1247896.8500000238</v>
      </c>
      <c r="I62" s="44">
        <v>14754529817.77</v>
      </c>
      <c r="J62" s="13">
        <f t="shared" si="21"/>
        <v>3.0555099368468281E-3</v>
      </c>
      <c r="K62" s="44">
        <v>14333687617.889999</v>
      </c>
      <c r="L62" s="13">
        <f t="shared" si="22"/>
        <v>2.7621682352234264E-3</v>
      </c>
      <c r="M62" s="13">
        <f t="shared" si="23"/>
        <v>-2.8522915001544059E-2</v>
      </c>
      <c r="N62" s="20">
        <f t="shared" si="24"/>
        <v>1.5939547217063775E-2</v>
      </c>
      <c r="O62" s="21">
        <f t="shared" si="25"/>
        <v>-8.7060419011958441E-5</v>
      </c>
      <c r="P62" s="24">
        <f t="shared" si="26"/>
        <v>99.99085685897019</v>
      </c>
      <c r="Q62" s="24">
        <f t="shared" si="27"/>
        <v>-8.7052458955067039E-3</v>
      </c>
      <c r="R62" s="10">
        <v>100</v>
      </c>
      <c r="S62" s="10">
        <v>100</v>
      </c>
      <c r="T62" s="10">
        <v>189</v>
      </c>
      <c r="U62" s="18">
        <v>140947436.15000001</v>
      </c>
      <c r="V62" s="18">
        <v>143349982.87</v>
      </c>
    </row>
    <row r="63" spans="1:22" ht="15" customHeight="1">
      <c r="A63" s="94">
        <v>56</v>
      </c>
      <c r="B63" s="74" t="s">
        <v>211</v>
      </c>
      <c r="C63" s="75" t="s">
        <v>110</v>
      </c>
      <c r="D63" s="10">
        <v>73615830.140000001</v>
      </c>
      <c r="E63" s="10">
        <v>1272104</v>
      </c>
      <c r="F63" s="10">
        <v>0</v>
      </c>
      <c r="G63" s="10">
        <v>83508.899999999994</v>
      </c>
      <c r="H63" s="12">
        <f t="shared" si="20"/>
        <v>1188595.1000000001</v>
      </c>
      <c r="I63" s="44">
        <v>71821109.620000005</v>
      </c>
      <c r="J63" s="13">
        <f t="shared" si="21"/>
        <v>1.4873406122028701E-5</v>
      </c>
      <c r="K63" s="44">
        <v>73107861.799999997</v>
      </c>
      <c r="L63" s="13">
        <f t="shared" si="22"/>
        <v>1.4088224816412617E-5</v>
      </c>
      <c r="M63" s="13">
        <f t="shared" si="23"/>
        <v>1.7916072124311355E-2</v>
      </c>
      <c r="N63" s="20">
        <f t="shared" si="24"/>
        <v>1.142269763386788E-3</v>
      </c>
      <c r="O63" s="21">
        <f t="shared" si="25"/>
        <v>1.6258102353637706E-2</v>
      </c>
      <c r="P63" s="24">
        <f t="shared" si="26"/>
        <v>1246.9360702711922</v>
      </c>
      <c r="Q63" s="24">
        <f t="shared" si="27"/>
        <v>20.272814258911822</v>
      </c>
      <c r="R63" s="10">
        <v>1000</v>
      </c>
      <c r="S63" s="10">
        <v>1000</v>
      </c>
      <c r="T63" s="10">
        <v>20</v>
      </c>
      <c r="U63" s="18">
        <v>58610</v>
      </c>
      <c r="V63" s="18">
        <v>58630</v>
      </c>
    </row>
    <row r="64" spans="1:22">
      <c r="A64" s="94">
        <v>57</v>
      </c>
      <c r="B64" s="19" t="s">
        <v>85</v>
      </c>
      <c r="C64" s="19" t="s">
        <v>46</v>
      </c>
      <c r="D64" s="10">
        <v>2523613306441.7202</v>
      </c>
      <c r="E64" s="10">
        <v>36496276881.940002</v>
      </c>
      <c r="F64" s="10">
        <v>0</v>
      </c>
      <c r="G64" s="10">
        <v>4098241245.1599998</v>
      </c>
      <c r="H64" s="12">
        <f t="shared" si="20"/>
        <v>32398035636.780003</v>
      </c>
      <c r="I64" s="44">
        <v>2355275408027.8701</v>
      </c>
      <c r="J64" s="13">
        <f t="shared" si="21"/>
        <v>0.48775308343426521</v>
      </c>
      <c r="K64" s="44">
        <v>2521482311350</v>
      </c>
      <c r="L64" s="13">
        <f t="shared" si="22"/>
        <v>0.48590136270278006</v>
      </c>
      <c r="M64" s="13">
        <f t="shared" si="23"/>
        <v>7.0567927111886669E-2</v>
      </c>
      <c r="N64" s="20">
        <f t="shared" si="24"/>
        <v>1.6253301586580649E-3</v>
      </c>
      <c r="O64" s="21">
        <f t="shared" si="25"/>
        <v>1.2848805439144292E-2</v>
      </c>
      <c r="P64" s="24">
        <f t="shared" si="26"/>
        <v>1</v>
      </c>
      <c r="Q64" s="24">
        <f t="shared" si="27"/>
        <v>1.2848805439144292E-2</v>
      </c>
      <c r="R64" s="10">
        <v>100</v>
      </c>
      <c r="S64" s="10">
        <v>100</v>
      </c>
      <c r="T64" s="10">
        <v>285855</v>
      </c>
      <c r="U64" s="18">
        <v>2355275408027.8701</v>
      </c>
      <c r="V64" s="18">
        <v>2521482311350</v>
      </c>
    </row>
    <row r="65" spans="1:23">
      <c r="A65" s="94">
        <v>58</v>
      </c>
      <c r="B65" s="19" t="s">
        <v>296</v>
      </c>
      <c r="C65" s="19" t="s">
        <v>297</v>
      </c>
      <c r="D65" s="10">
        <v>3650385122.21</v>
      </c>
      <c r="E65" s="10">
        <v>355891438.00999999</v>
      </c>
      <c r="F65" s="10">
        <v>0</v>
      </c>
      <c r="G65" s="10">
        <v>42620203.469999999</v>
      </c>
      <c r="H65" s="12">
        <f t="shared" si="20"/>
        <v>313271234.53999996</v>
      </c>
      <c r="I65" s="44">
        <v>7506009493.1199999</v>
      </c>
      <c r="J65" s="13">
        <f t="shared" si="21"/>
        <v>1.554416635132134E-3</v>
      </c>
      <c r="K65" s="44">
        <v>8461612065.7600002</v>
      </c>
      <c r="L65" s="13">
        <f t="shared" si="22"/>
        <v>1.6305919795303941E-3</v>
      </c>
      <c r="M65" s="13">
        <f t="shared" si="23"/>
        <v>0.12731166587464413</v>
      </c>
      <c r="N65" s="20">
        <f t="shared" si="24"/>
        <v>5.0368893230715557E-3</v>
      </c>
      <c r="O65" s="21">
        <f t="shared" si="25"/>
        <v>3.7022642033857259E-2</v>
      </c>
      <c r="P65" s="24">
        <f t="shared" si="26"/>
        <v>100</v>
      </c>
      <c r="Q65" s="24">
        <f t="shared" si="27"/>
        <v>3.7022642033857265</v>
      </c>
      <c r="R65" s="10">
        <v>100</v>
      </c>
      <c r="S65" s="10">
        <v>100</v>
      </c>
      <c r="T65" s="10">
        <v>933</v>
      </c>
      <c r="U65" s="18">
        <v>75119155.021200001</v>
      </c>
      <c r="V65" s="18">
        <v>84616120.657600001</v>
      </c>
    </row>
    <row r="66" spans="1:23">
      <c r="A66" s="94">
        <v>59</v>
      </c>
      <c r="B66" s="19" t="s">
        <v>86</v>
      </c>
      <c r="C66" s="19" t="s">
        <v>87</v>
      </c>
      <c r="D66" s="10">
        <v>13942212898.9</v>
      </c>
      <c r="E66" s="10">
        <v>237294377.24000001</v>
      </c>
      <c r="F66" s="10">
        <v>0</v>
      </c>
      <c r="G66" s="10">
        <v>18802531.210000001</v>
      </c>
      <c r="H66" s="12">
        <f t="shared" si="20"/>
        <v>218491846.03</v>
      </c>
      <c r="I66" s="44">
        <v>11787926281.620001</v>
      </c>
      <c r="J66" s="13">
        <f t="shared" si="21"/>
        <v>2.4411571451723544E-3</v>
      </c>
      <c r="K66" s="44">
        <v>14003105244.629999</v>
      </c>
      <c r="L66" s="13">
        <f t="shared" si="22"/>
        <v>2.6984634751584819E-3</v>
      </c>
      <c r="M66" s="13">
        <f t="shared" si="23"/>
        <v>0.18791930913785532</v>
      </c>
      <c r="N66" s="20">
        <f t="shared" si="24"/>
        <v>1.3427401195324528E-3</v>
      </c>
      <c r="O66" s="21">
        <f t="shared" si="25"/>
        <v>1.5603099613479565E-2</v>
      </c>
      <c r="P66" s="24">
        <f t="shared" si="26"/>
        <v>1.015685010277009</v>
      </c>
      <c r="Q66" s="24">
        <f t="shared" si="27"/>
        <v>1.5847834391270188E-2</v>
      </c>
      <c r="R66" s="10">
        <v>1</v>
      </c>
      <c r="S66" s="10">
        <v>1</v>
      </c>
      <c r="T66" s="10">
        <v>705</v>
      </c>
      <c r="U66" s="18">
        <v>11398993330.549999</v>
      </c>
      <c r="V66" s="18">
        <v>13786858231.58</v>
      </c>
    </row>
    <row r="67" spans="1:23">
      <c r="A67" s="94">
        <v>60</v>
      </c>
      <c r="B67" s="19" t="s">
        <v>88</v>
      </c>
      <c r="C67" s="19" t="s">
        <v>50</v>
      </c>
      <c r="D67" s="10">
        <v>79801605814</v>
      </c>
      <c r="E67" s="10">
        <v>338523590</v>
      </c>
      <c r="F67" s="10">
        <v>0</v>
      </c>
      <c r="G67" s="10">
        <v>341008680</v>
      </c>
      <c r="H67" s="12">
        <f t="shared" si="20"/>
        <v>-2485090</v>
      </c>
      <c r="I67" s="44">
        <v>214531386868</v>
      </c>
      <c r="J67" s="13">
        <f t="shared" si="21"/>
        <v>4.4427222855399524E-2</v>
      </c>
      <c r="K67" s="44">
        <v>229681176846</v>
      </c>
      <c r="L67" s="13">
        <f t="shared" si="22"/>
        <v>4.4260630468947355E-2</v>
      </c>
      <c r="M67" s="13">
        <f t="shared" si="23"/>
        <v>7.0618058267257575E-2</v>
      </c>
      <c r="N67" s="20">
        <f t="shared" si="24"/>
        <v>1.4847045138080448E-3</v>
      </c>
      <c r="O67" s="21">
        <f t="shared" si="25"/>
        <v>-1.0819737316420317E-5</v>
      </c>
      <c r="P67" s="24">
        <f t="shared" si="26"/>
        <v>1.0074114617290808</v>
      </c>
      <c r="Q67" s="24">
        <f t="shared" si="27"/>
        <v>-1.0899927385459672E-5</v>
      </c>
      <c r="R67" s="10">
        <v>1</v>
      </c>
      <c r="S67" s="10">
        <v>1</v>
      </c>
      <c r="T67" s="10">
        <v>19123</v>
      </c>
      <c r="U67" s="18">
        <v>208695224893.42999</v>
      </c>
      <c r="V67" s="18">
        <v>227991427109.42001</v>
      </c>
    </row>
    <row r="68" spans="1:23">
      <c r="A68" s="94">
        <v>61</v>
      </c>
      <c r="B68" s="93" t="s">
        <v>89</v>
      </c>
      <c r="C68" s="19" t="s">
        <v>90</v>
      </c>
      <c r="D68" s="10">
        <v>1270044578.5899999</v>
      </c>
      <c r="E68" s="10">
        <v>35441193.689999998</v>
      </c>
      <c r="F68" s="10">
        <v>0</v>
      </c>
      <c r="G68" s="10">
        <v>5005755.51</v>
      </c>
      <c r="H68" s="12">
        <f t="shared" si="20"/>
        <v>30435438.18</v>
      </c>
      <c r="I68" s="44">
        <v>2481624498.9200001</v>
      </c>
      <c r="J68" s="13">
        <f t="shared" si="21"/>
        <v>5.1391866834280659E-4</v>
      </c>
      <c r="K68" s="44">
        <v>2454328442.4099998</v>
      </c>
      <c r="L68" s="13">
        <f t="shared" si="22"/>
        <v>4.7296049998808595E-4</v>
      </c>
      <c r="M68" s="13">
        <f t="shared" si="23"/>
        <v>-1.0999269438982183E-2</v>
      </c>
      <c r="N68" s="20">
        <f t="shared" si="24"/>
        <v>2.0395621969342683E-3</v>
      </c>
      <c r="O68" s="21">
        <f t="shared" si="25"/>
        <v>1.2400719338979044E-2</v>
      </c>
      <c r="P68" s="24">
        <f t="shared" si="26"/>
        <v>1.0111348695094866</v>
      </c>
      <c r="Q68" s="24">
        <f t="shared" si="27"/>
        <v>1.2538799730642343E-2</v>
      </c>
      <c r="R68" s="10">
        <v>1</v>
      </c>
      <c r="S68" s="10">
        <v>1</v>
      </c>
      <c r="T68" s="10">
        <v>156</v>
      </c>
      <c r="U68" s="18">
        <v>2396040681.0300002</v>
      </c>
      <c r="V68" s="18">
        <v>2427300765.1300001</v>
      </c>
    </row>
    <row r="69" spans="1:23">
      <c r="A69" s="94">
        <v>62</v>
      </c>
      <c r="B69" s="19" t="s">
        <v>91</v>
      </c>
      <c r="C69" s="19" t="s">
        <v>92</v>
      </c>
      <c r="D69" s="10">
        <v>8504109698.3400002</v>
      </c>
      <c r="E69" s="10">
        <v>126330423.45</v>
      </c>
      <c r="F69" s="10">
        <v>0</v>
      </c>
      <c r="G69" s="10">
        <v>12893392.08</v>
      </c>
      <c r="H69" s="12">
        <f t="shared" si="20"/>
        <v>113437031.37</v>
      </c>
      <c r="I69" s="44">
        <v>8405395936.9499998</v>
      </c>
      <c r="J69" s="13">
        <f t="shared" si="21"/>
        <v>1.7406702297995949E-3</v>
      </c>
      <c r="K69" s="44">
        <v>8513240999.9099998</v>
      </c>
      <c r="L69" s="13">
        <f t="shared" si="22"/>
        <v>1.6405411151421943E-3</v>
      </c>
      <c r="M69" s="13">
        <f t="shared" si="23"/>
        <v>1.2830456027171151E-2</v>
      </c>
      <c r="N69" s="20">
        <f t="shared" si="24"/>
        <v>1.5145104056300423E-3</v>
      </c>
      <c r="O69" s="21">
        <f t="shared" si="25"/>
        <v>1.3324776236359248E-2</v>
      </c>
      <c r="P69" s="24">
        <f t="shared" si="26"/>
        <v>1.0132035688665635</v>
      </c>
      <c r="Q69" s="24">
        <f t="shared" si="27"/>
        <v>1.3500710837027566E-2</v>
      </c>
      <c r="R69" s="10">
        <v>1</v>
      </c>
      <c r="S69" s="10">
        <v>1</v>
      </c>
      <c r="T69" s="10">
        <v>571</v>
      </c>
      <c r="U69" s="18">
        <v>8104083757.3100004</v>
      </c>
      <c r="V69" s="18">
        <v>8402300644.71</v>
      </c>
    </row>
    <row r="70" spans="1:23">
      <c r="A70" s="94">
        <v>63</v>
      </c>
      <c r="B70" s="74" t="s">
        <v>292</v>
      </c>
      <c r="C70" s="74" t="s">
        <v>290</v>
      </c>
      <c r="D70" s="10">
        <v>4261978435.8000002</v>
      </c>
      <c r="E70" s="10">
        <v>195997089.69999999</v>
      </c>
      <c r="F70" s="10"/>
      <c r="G70" s="10">
        <v>14326644.470000001</v>
      </c>
      <c r="H70" s="12">
        <f t="shared" si="20"/>
        <v>181670445.22999999</v>
      </c>
      <c r="I70" s="44">
        <v>10333920221.57</v>
      </c>
      <c r="J70" s="13">
        <f t="shared" si="21"/>
        <v>2.1400475863053844E-3</v>
      </c>
      <c r="K70" s="44">
        <v>12182055371.059999</v>
      </c>
      <c r="L70" s="13">
        <f t="shared" si="22"/>
        <v>2.347538699230294E-3</v>
      </c>
      <c r="M70" s="13">
        <f t="shared" si="23"/>
        <v>0.17884163123616784</v>
      </c>
      <c r="N70" s="20">
        <f t="shared" si="24"/>
        <v>1.1760449311398421E-3</v>
      </c>
      <c r="O70" s="21">
        <f t="shared" si="25"/>
        <v>1.4912955137404885E-2</v>
      </c>
      <c r="P70" s="24">
        <f t="shared" si="26"/>
        <v>1.0003424098736469</v>
      </c>
      <c r="Q70" s="24">
        <f t="shared" si="27"/>
        <v>1.4918061480489185E-2</v>
      </c>
      <c r="R70" s="10">
        <v>1</v>
      </c>
      <c r="S70" s="10">
        <v>1</v>
      </c>
      <c r="T70" s="10">
        <v>5313</v>
      </c>
      <c r="U70" s="18">
        <v>10330404170.23</v>
      </c>
      <c r="V70" s="18">
        <v>12177885542.809999</v>
      </c>
    </row>
    <row r="71" spans="1:23">
      <c r="A71" s="94">
        <v>64</v>
      </c>
      <c r="B71" s="19" t="s">
        <v>93</v>
      </c>
      <c r="C71" s="19" t="s">
        <v>94</v>
      </c>
      <c r="D71" s="10">
        <v>140328571049.26999</v>
      </c>
      <c r="E71" s="10">
        <v>2129959620.1400001</v>
      </c>
      <c r="F71" s="10">
        <v>0</v>
      </c>
      <c r="G71" s="10">
        <v>164704035.28999999</v>
      </c>
      <c r="H71" s="12">
        <f t="shared" si="20"/>
        <v>1965255584.8500001</v>
      </c>
      <c r="I71" s="44">
        <v>129061292243.98</v>
      </c>
      <c r="J71" s="13">
        <f t="shared" si="21"/>
        <v>2.6727253649169495E-2</v>
      </c>
      <c r="K71" s="44">
        <v>142894762115.01001</v>
      </c>
      <c r="L71" s="13">
        <f t="shared" si="22"/>
        <v>2.753648491692123E-2</v>
      </c>
      <c r="M71" s="13">
        <f t="shared" si="23"/>
        <v>0.10718527321792928</v>
      </c>
      <c r="N71" s="20">
        <f t="shared" si="24"/>
        <v>1.1526247208238228E-3</v>
      </c>
      <c r="O71" s="21">
        <f t="shared" si="25"/>
        <v>1.3753167406291969E-2</v>
      </c>
      <c r="P71" s="24">
        <f t="shared" si="26"/>
        <v>1.0131771960380154</v>
      </c>
      <c r="Q71" s="24">
        <f t="shared" si="27"/>
        <v>1.3934395589348322E-2</v>
      </c>
      <c r="R71" s="10">
        <v>1</v>
      </c>
      <c r="S71" s="10">
        <v>1</v>
      </c>
      <c r="T71" s="10">
        <v>7609</v>
      </c>
      <c r="U71" s="18">
        <v>124172357428.09</v>
      </c>
      <c r="V71" s="18">
        <v>141036299152.60001</v>
      </c>
    </row>
    <row r="72" spans="1:23" ht="15" customHeight="1">
      <c r="A72" s="105" t="s">
        <v>51</v>
      </c>
      <c r="B72" s="105"/>
      <c r="C72" s="105"/>
      <c r="D72" s="105"/>
      <c r="E72" s="105"/>
      <c r="F72" s="105"/>
      <c r="G72" s="105"/>
      <c r="H72" s="105"/>
      <c r="I72" s="26">
        <f>SUM(I28:I71)</f>
        <v>4828827306317.3613</v>
      </c>
      <c r="J72" s="34">
        <f>(I72/$I$240)</f>
        <v>0.61909629288327461</v>
      </c>
      <c r="K72" s="36">
        <f>SUM(K28:K71)</f>
        <v>5189288413032.0088</v>
      </c>
      <c r="L72" s="34">
        <f>(K72/$K$240)</f>
        <v>0.6382923112253418</v>
      </c>
      <c r="M72" s="34">
        <f t="shared" si="15"/>
        <v>7.4647752725194916E-2</v>
      </c>
      <c r="N72" s="20"/>
      <c r="O72" s="20"/>
      <c r="P72" s="37"/>
      <c r="Q72" s="37"/>
      <c r="R72" s="36"/>
      <c r="S72" s="36"/>
      <c r="T72" s="36">
        <f>SUM(T28:T71)</f>
        <v>594337</v>
      </c>
      <c r="U72" s="36"/>
      <c r="V72" s="36"/>
    </row>
    <row r="73" spans="1:23" ht="6" customHeight="1">
      <c r="A73" s="121"/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5"/>
    </row>
    <row r="74" spans="1:23" ht="12.75" customHeight="1">
      <c r="A74" s="112" t="s">
        <v>95</v>
      </c>
      <c r="B74" s="113"/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4"/>
    </row>
    <row r="75" spans="1:23">
      <c r="A75" s="62">
        <v>65</v>
      </c>
      <c r="B75" s="19" t="s">
        <v>96</v>
      </c>
      <c r="C75" s="19" t="s">
        <v>24</v>
      </c>
      <c r="D75" s="10">
        <v>736987471.32000005</v>
      </c>
      <c r="E75" s="10">
        <v>10736312.68</v>
      </c>
      <c r="F75" s="10">
        <v>0</v>
      </c>
      <c r="G75" s="10">
        <v>1016914.15</v>
      </c>
      <c r="H75" s="12">
        <f t="shared" ref="H75:H113" si="30">(E75+F75)-G75</f>
        <v>9719398.5299999993</v>
      </c>
      <c r="I75" s="10">
        <v>721652145.17999995</v>
      </c>
      <c r="J75" s="13">
        <f t="shared" ref="J75:J113" si="31">(I75/$I$114)</f>
        <v>3.0152616556980466E-3</v>
      </c>
      <c r="K75" s="10">
        <v>737407992.50999999</v>
      </c>
      <c r="L75" s="13">
        <f t="shared" ref="L75" si="32">(K75/$K$114)</f>
        <v>3.0627661216595611E-3</v>
      </c>
      <c r="M75" s="13">
        <f t="shared" ref="M75:M114" si="33">((K75-I75)/I75)</f>
        <v>2.1833022232713103E-2</v>
      </c>
      <c r="N75" s="20">
        <f t="shared" ref="N75" si="34">(G75/K75)</f>
        <v>1.3790386873060773E-3</v>
      </c>
      <c r="O75" s="21">
        <f t="shared" ref="O75" si="35">H75/K75</f>
        <v>1.3180489808521019E-2</v>
      </c>
      <c r="P75" s="24">
        <f t="shared" ref="P75" si="36">K75/V75</f>
        <v>1.7338720773999976</v>
      </c>
      <c r="Q75" s="24">
        <f t="shared" ref="Q75" si="37">H75/V75</f>
        <v>2.2853283245449836E-2</v>
      </c>
      <c r="R75" s="10">
        <v>1.69</v>
      </c>
      <c r="S75" s="10">
        <v>1.69</v>
      </c>
      <c r="T75" s="17">
        <v>420</v>
      </c>
      <c r="U75" s="10">
        <v>430084393.13</v>
      </c>
      <c r="V75" s="10">
        <v>425295500.24000001</v>
      </c>
    </row>
    <row r="76" spans="1:23" ht="13.05" customHeight="1">
      <c r="A76" s="62">
        <v>66</v>
      </c>
      <c r="B76" s="19" t="s">
        <v>97</v>
      </c>
      <c r="C76" s="79" t="s">
        <v>26</v>
      </c>
      <c r="D76" s="10">
        <v>974917449</v>
      </c>
      <c r="E76" s="10">
        <v>12667392</v>
      </c>
      <c r="F76" s="10">
        <v>2520559</v>
      </c>
      <c r="G76" s="10">
        <v>2487924</v>
      </c>
      <c r="H76" s="12">
        <f t="shared" si="30"/>
        <v>12700027</v>
      </c>
      <c r="I76" s="10">
        <v>1376493993</v>
      </c>
      <c r="J76" s="13">
        <f t="shared" si="31"/>
        <v>5.7513714663126915E-3</v>
      </c>
      <c r="K76" s="10">
        <v>1206501904</v>
      </c>
      <c r="L76" s="13">
        <f t="shared" ref="L76:L113" si="38">(K76/$K$114)</f>
        <v>5.0111108027335967E-3</v>
      </c>
      <c r="M76" s="13">
        <f t="shared" ref="M76:M113" si="39">((K76-I76)/I76)</f>
        <v>-0.12349642632984596</v>
      </c>
      <c r="N76" s="20">
        <f t="shared" ref="N76:N113" si="40">(G76/K76)</f>
        <v>2.062097035861785E-3</v>
      </c>
      <c r="O76" s="21">
        <f t="shared" ref="O76:O113" si="41">H76/K76</f>
        <v>1.052632155647224E-2</v>
      </c>
      <c r="P76" s="24">
        <f t="shared" ref="P76:P113" si="42">K76/V76</f>
        <v>1.3400103989529752</v>
      </c>
      <c r="Q76" s="24">
        <f t="shared" ref="Q76:Q113" si="43">H76/V76</f>
        <v>1.4105380348395667E-2</v>
      </c>
      <c r="R76" s="10">
        <v>1.34</v>
      </c>
      <c r="S76" s="10">
        <v>1.34</v>
      </c>
      <c r="T76" s="17">
        <v>1465</v>
      </c>
      <c r="U76" s="10">
        <v>1035569367</v>
      </c>
      <c r="V76" s="10">
        <v>900367568</v>
      </c>
    </row>
    <row r="77" spans="1:23" ht="15" customHeight="1">
      <c r="A77" s="94">
        <v>67</v>
      </c>
      <c r="B77" s="19" t="s">
        <v>98</v>
      </c>
      <c r="C77" s="19" t="s">
        <v>99</v>
      </c>
      <c r="D77" s="10">
        <v>522736482.36000001</v>
      </c>
      <c r="E77" s="10">
        <v>9632181.0800000001</v>
      </c>
      <c r="F77" s="10">
        <v>0</v>
      </c>
      <c r="G77" s="10">
        <v>1337530.25</v>
      </c>
      <c r="H77" s="12">
        <f t="shared" si="30"/>
        <v>8294650.8300000001</v>
      </c>
      <c r="I77" s="10">
        <v>816942859</v>
      </c>
      <c r="J77" s="13">
        <f t="shared" si="31"/>
        <v>3.4134125341297528E-3</v>
      </c>
      <c r="K77" s="10">
        <v>656352300</v>
      </c>
      <c r="L77" s="13">
        <f t="shared" si="38"/>
        <v>2.7261076754413831E-3</v>
      </c>
      <c r="M77" s="13">
        <f t="shared" si="39"/>
        <v>-0.19657502018755024</v>
      </c>
      <c r="N77" s="20">
        <f t="shared" si="40"/>
        <v>2.0378236657356118E-3</v>
      </c>
      <c r="O77" s="21">
        <f t="shared" si="41"/>
        <v>1.2637497926037586E-2</v>
      </c>
      <c r="P77" s="24">
        <f t="shared" si="42"/>
        <v>1.1935657656387504</v>
      </c>
      <c r="Q77" s="24">
        <f t="shared" si="43"/>
        <v>1.5083684887849173E-2</v>
      </c>
      <c r="R77" s="10">
        <v>1.1936</v>
      </c>
      <c r="S77" s="10">
        <v>1.1936</v>
      </c>
      <c r="T77" s="17">
        <v>649</v>
      </c>
      <c r="U77" s="10">
        <v>691092097</v>
      </c>
      <c r="V77" s="10">
        <v>549908785</v>
      </c>
    </row>
    <row r="78" spans="1:23">
      <c r="A78" s="94">
        <v>68</v>
      </c>
      <c r="B78" s="19" t="s">
        <v>100</v>
      </c>
      <c r="C78" s="79" t="s">
        <v>101</v>
      </c>
      <c r="D78" s="10">
        <v>264413236.03999999</v>
      </c>
      <c r="E78" s="10">
        <v>4353141.8499999996</v>
      </c>
      <c r="F78" s="10">
        <v>0</v>
      </c>
      <c r="G78" s="10">
        <v>527354.29</v>
      </c>
      <c r="H78" s="12">
        <f t="shared" si="30"/>
        <v>3825787.5599999996</v>
      </c>
      <c r="I78" s="10">
        <v>310232977.33999997</v>
      </c>
      <c r="J78" s="13">
        <f t="shared" si="31"/>
        <v>1.2962389250197822E-3</v>
      </c>
      <c r="K78" s="10">
        <v>313228632.92000002</v>
      </c>
      <c r="L78" s="13">
        <f t="shared" si="38"/>
        <v>1.3009705007070494E-3</v>
      </c>
      <c r="M78" s="13">
        <f t="shared" si="39"/>
        <v>9.6561481170873483E-3</v>
      </c>
      <c r="N78" s="20">
        <f t="shared" si="40"/>
        <v>1.6836081844876828E-3</v>
      </c>
      <c r="O78" s="21">
        <f t="shared" si="41"/>
        <v>1.2214041622999142E-2</v>
      </c>
      <c r="P78" s="24">
        <f t="shared" si="42"/>
        <v>1217.0552167730004</v>
      </c>
      <c r="Q78" s="24">
        <f t="shared" si="43"/>
        <v>14.865163075153671</v>
      </c>
      <c r="R78" s="10">
        <v>1217.06</v>
      </c>
      <c r="S78" s="10">
        <v>1217.06</v>
      </c>
      <c r="T78" s="17">
        <v>98</v>
      </c>
      <c r="U78" s="10">
        <v>257366</v>
      </c>
      <c r="V78" s="10">
        <v>257366</v>
      </c>
    </row>
    <row r="79" spans="1:23">
      <c r="A79" s="94">
        <v>69</v>
      </c>
      <c r="B79" s="19" t="s">
        <v>102</v>
      </c>
      <c r="C79" s="79" t="s">
        <v>103</v>
      </c>
      <c r="D79" s="10">
        <v>1820199051.24</v>
      </c>
      <c r="E79" s="10">
        <v>30357424.719999999</v>
      </c>
      <c r="F79" s="10">
        <v>10331263.18</v>
      </c>
      <c r="G79" s="10">
        <v>2623364.56</v>
      </c>
      <c r="H79" s="12">
        <f t="shared" si="30"/>
        <v>38065323.339999996</v>
      </c>
      <c r="I79" s="10">
        <v>2011979368.8699999</v>
      </c>
      <c r="J79" s="13">
        <f t="shared" si="31"/>
        <v>8.4066045996386233E-3</v>
      </c>
      <c r="K79" s="10">
        <v>1811805364.6300001</v>
      </c>
      <c r="L79" s="13">
        <f t="shared" si="38"/>
        <v>7.5251911373262759E-3</v>
      </c>
      <c r="M79" s="13">
        <f t="shared" si="39"/>
        <v>-9.9491081935111844E-2</v>
      </c>
      <c r="N79" s="20">
        <f t="shared" si="40"/>
        <v>1.4479284647309417E-3</v>
      </c>
      <c r="O79" s="21">
        <f t="shared" si="41"/>
        <v>2.1009609576784508E-2</v>
      </c>
      <c r="P79" s="24">
        <f t="shared" si="42"/>
        <v>1.1101000000006551</v>
      </c>
      <c r="Q79" s="24">
        <f t="shared" si="43"/>
        <v>2.3322767591202245E-2</v>
      </c>
      <c r="R79" s="10">
        <v>1.1101000000000001</v>
      </c>
      <c r="S79" s="10">
        <v>1.1101000000000001</v>
      </c>
      <c r="T79" s="17">
        <v>1048</v>
      </c>
      <c r="U79" s="10">
        <v>1752207035.6300001</v>
      </c>
      <c r="V79" s="10">
        <v>1632110048.3099999</v>
      </c>
    </row>
    <row r="80" spans="1:23">
      <c r="A80" s="94">
        <v>70</v>
      </c>
      <c r="B80" s="19" t="s">
        <v>104</v>
      </c>
      <c r="C80" s="19" t="s">
        <v>105</v>
      </c>
      <c r="D80" s="10">
        <v>500810063.81</v>
      </c>
      <c r="E80" s="10">
        <v>6802253.7999999998</v>
      </c>
      <c r="F80" s="10">
        <v>0</v>
      </c>
      <c r="G80" s="10">
        <v>1018451.71</v>
      </c>
      <c r="H80" s="12">
        <f t="shared" si="30"/>
        <v>5783802.0899999999</v>
      </c>
      <c r="I80" s="10">
        <v>482216276.25999999</v>
      </c>
      <c r="J80" s="13">
        <f t="shared" si="31"/>
        <v>2.0148325717200002E-3</v>
      </c>
      <c r="K80" s="10">
        <v>488200078.35000002</v>
      </c>
      <c r="L80" s="13">
        <f t="shared" si="38"/>
        <v>2.0277006429946535E-3</v>
      </c>
      <c r="M80" s="13">
        <f t="shared" si="39"/>
        <v>1.2408959184060606E-2</v>
      </c>
      <c r="N80" s="20">
        <f t="shared" si="40"/>
        <v>2.0861359003507829E-3</v>
      </c>
      <c r="O80" s="21">
        <f t="shared" si="41"/>
        <v>1.1847196152749245E-2</v>
      </c>
      <c r="P80" s="24">
        <f t="shared" si="42"/>
        <v>2.7802057971452334</v>
      </c>
      <c r="Q80" s="24">
        <f t="shared" si="43"/>
        <v>3.2937643423790151E-2</v>
      </c>
      <c r="R80" s="10">
        <v>2.7723</v>
      </c>
      <c r="S80" s="10">
        <v>2.7723</v>
      </c>
      <c r="T80" s="17">
        <v>1390</v>
      </c>
      <c r="U80" s="10">
        <v>175526170.81</v>
      </c>
      <c r="V80" s="10">
        <v>175598539.81</v>
      </c>
    </row>
    <row r="81" spans="1:24">
      <c r="A81" s="94">
        <v>71</v>
      </c>
      <c r="B81" s="19" t="s">
        <v>306</v>
      </c>
      <c r="C81" s="19" t="s">
        <v>307</v>
      </c>
      <c r="D81" s="10">
        <v>468428391.81999999</v>
      </c>
      <c r="E81" s="10">
        <v>33568885.329999998</v>
      </c>
      <c r="F81" s="10">
        <v>0</v>
      </c>
      <c r="G81" s="10">
        <v>4467915.76</v>
      </c>
      <c r="H81" s="12">
        <f t="shared" ref="H81" si="44">(E81+F81)-G81</f>
        <v>29100969.57</v>
      </c>
      <c r="I81" s="10">
        <v>1145930542.8399999</v>
      </c>
      <c r="J81" s="13">
        <f t="shared" si="31"/>
        <v>4.7880137944533614E-3</v>
      </c>
      <c r="K81" s="10">
        <v>1257613613.8299999</v>
      </c>
      <c r="L81" s="13">
        <f t="shared" si="38"/>
        <v>5.2233992710950172E-3</v>
      </c>
      <c r="M81" s="13">
        <f t="shared" si="39"/>
        <v>9.7460593652746119E-2</v>
      </c>
      <c r="N81" s="20">
        <f t="shared" si="40"/>
        <v>3.5526935386721711E-3</v>
      </c>
      <c r="O81" s="21">
        <f t="shared" si="41"/>
        <v>2.3139833451209582E-2</v>
      </c>
      <c r="P81" s="24">
        <f t="shared" si="42"/>
        <v>1145.5710384175695</v>
      </c>
      <c r="Q81" s="24">
        <f t="shared" si="43"/>
        <v>26.508323035511772</v>
      </c>
      <c r="R81" s="10">
        <v>1145.57</v>
      </c>
      <c r="S81" s="10">
        <v>1145.57</v>
      </c>
      <c r="T81" s="17">
        <v>249</v>
      </c>
      <c r="U81" s="10">
        <v>1024056</v>
      </c>
      <c r="V81" s="10">
        <v>1097805</v>
      </c>
    </row>
    <row r="82" spans="1:24">
      <c r="A82" s="94">
        <v>72</v>
      </c>
      <c r="B82" s="74" t="s">
        <v>244</v>
      </c>
      <c r="C82" s="75" t="s">
        <v>213</v>
      </c>
      <c r="D82" s="10">
        <v>235501675.90000001</v>
      </c>
      <c r="E82" s="10">
        <v>14812336.9</v>
      </c>
      <c r="F82" s="10">
        <v>0</v>
      </c>
      <c r="G82" s="10">
        <v>501392.75</v>
      </c>
      <c r="H82" s="12">
        <f t="shared" si="30"/>
        <v>14310944.15</v>
      </c>
      <c r="I82" s="10">
        <v>231876309.16999999</v>
      </c>
      <c r="J82" s="13">
        <f t="shared" si="31"/>
        <v>9.6884315881953711E-4</v>
      </c>
      <c r="K82" s="10">
        <v>233081207.55000001</v>
      </c>
      <c r="L82" s="13">
        <f t="shared" si="38"/>
        <v>9.6808447064663454E-4</v>
      </c>
      <c r="M82" s="13">
        <f t="shared" si="39"/>
        <v>5.1962979069011079E-3</v>
      </c>
      <c r="N82" s="20">
        <f t="shared" si="40"/>
        <v>2.151150473563779E-3</v>
      </c>
      <c r="O82" s="21">
        <f t="shared" si="41"/>
        <v>6.1398961762844186E-2</v>
      </c>
      <c r="P82" s="24">
        <f t="shared" si="42"/>
        <v>11.493237952635081</v>
      </c>
      <c r="Q82" s="24">
        <f t="shared" si="43"/>
        <v>0.70567287758511088</v>
      </c>
      <c r="R82" s="10">
        <v>11.4932</v>
      </c>
      <c r="S82" s="10">
        <v>11.567299999999999</v>
      </c>
      <c r="T82" s="17">
        <v>46</v>
      </c>
      <c r="U82" s="10">
        <v>18392876.02</v>
      </c>
      <c r="V82" s="10">
        <v>20279855.73</v>
      </c>
    </row>
    <row r="83" spans="1:24">
      <c r="A83" s="94">
        <v>73</v>
      </c>
      <c r="B83" s="79" t="s">
        <v>106</v>
      </c>
      <c r="C83" s="19" t="s">
        <v>60</v>
      </c>
      <c r="D83" s="10">
        <v>2078565750.0699999</v>
      </c>
      <c r="E83" s="10">
        <v>24244007.989999998</v>
      </c>
      <c r="F83" s="10">
        <v>0</v>
      </c>
      <c r="G83" s="10">
        <v>3760503.78</v>
      </c>
      <c r="H83" s="12">
        <f t="shared" si="30"/>
        <v>20483504.209999997</v>
      </c>
      <c r="I83" s="10">
        <v>1970948154.53</v>
      </c>
      <c r="J83" s="13">
        <f t="shared" si="31"/>
        <v>8.2351648719076534E-3</v>
      </c>
      <c r="K83" s="10">
        <v>2050547784.3599999</v>
      </c>
      <c r="L83" s="13">
        <f t="shared" si="38"/>
        <v>8.5167890076763928E-3</v>
      </c>
      <c r="M83" s="13">
        <f t="shared" si="39"/>
        <v>4.0386465593754577E-2</v>
      </c>
      <c r="N83" s="20">
        <f t="shared" si="40"/>
        <v>1.8339020473856927E-3</v>
      </c>
      <c r="O83" s="21">
        <f t="shared" si="41"/>
        <v>9.9892840177792496E-3</v>
      </c>
      <c r="P83" s="24">
        <f t="shared" si="42"/>
        <v>4801.6574929787494</v>
      </c>
      <c r="Q83" s="24">
        <f t="shared" si="43"/>
        <v>47.965120453462596</v>
      </c>
      <c r="R83" s="10">
        <v>4801.66</v>
      </c>
      <c r="S83" s="10">
        <v>4801.66</v>
      </c>
      <c r="T83" s="17">
        <v>1184</v>
      </c>
      <c r="U83" s="10">
        <v>414671.59</v>
      </c>
      <c r="V83" s="10">
        <v>427049.99</v>
      </c>
    </row>
    <row r="84" spans="1:24">
      <c r="A84" s="94">
        <v>74</v>
      </c>
      <c r="B84" s="19" t="s">
        <v>107</v>
      </c>
      <c r="C84" s="19" t="s">
        <v>62</v>
      </c>
      <c r="D84" s="10">
        <v>356745128.37</v>
      </c>
      <c r="E84" s="10">
        <v>4385341.08</v>
      </c>
      <c r="F84" s="10">
        <v>0</v>
      </c>
      <c r="G84" s="10">
        <v>781556.18</v>
      </c>
      <c r="H84" s="12">
        <f t="shared" si="30"/>
        <v>3603784.9</v>
      </c>
      <c r="I84" s="10">
        <v>366609771.63</v>
      </c>
      <c r="J84" s="13">
        <f t="shared" si="31"/>
        <v>1.5317967172735741E-3</v>
      </c>
      <c r="K84" s="10">
        <v>368240341.94999999</v>
      </c>
      <c r="L84" s="13">
        <f t="shared" si="38"/>
        <v>1.5294573091265992E-3</v>
      </c>
      <c r="M84" s="13">
        <f t="shared" si="39"/>
        <v>4.4477001056197757E-3</v>
      </c>
      <c r="N84" s="20">
        <f t="shared" si="40"/>
        <v>2.1224078162140106E-3</v>
      </c>
      <c r="O84" s="21">
        <f t="shared" si="41"/>
        <v>9.7865021548598427E-3</v>
      </c>
      <c r="P84" s="24">
        <f t="shared" si="42"/>
        <v>112.76656385985649</v>
      </c>
      <c r="Q84" s="24">
        <f t="shared" si="43"/>
        <v>1.1035902202106256</v>
      </c>
      <c r="R84" s="10">
        <v>113.12</v>
      </c>
      <c r="S84" s="10">
        <v>113.12</v>
      </c>
      <c r="T84" s="17">
        <v>110</v>
      </c>
      <c r="U84" s="10">
        <v>3285510</v>
      </c>
      <c r="V84" s="10">
        <v>3265510</v>
      </c>
      <c r="W84" s="15"/>
      <c r="X84" s="15"/>
    </row>
    <row r="85" spans="1:24">
      <c r="A85" s="94">
        <v>75</v>
      </c>
      <c r="B85" s="79" t="s">
        <v>108</v>
      </c>
      <c r="C85" s="79" t="s">
        <v>64</v>
      </c>
      <c r="D85" s="10">
        <v>1086348151.29</v>
      </c>
      <c r="E85" s="10">
        <v>18023392.100000001</v>
      </c>
      <c r="F85" s="10">
        <v>45716867.170000002</v>
      </c>
      <c r="G85" s="10">
        <v>1605120.18</v>
      </c>
      <c r="H85" s="12">
        <f t="shared" si="30"/>
        <v>62135139.090000004</v>
      </c>
      <c r="I85" s="10">
        <v>666870367.75999999</v>
      </c>
      <c r="J85" s="13">
        <f t="shared" si="31"/>
        <v>2.7863682837476174E-3</v>
      </c>
      <c r="K85" s="10">
        <v>1106761337.55</v>
      </c>
      <c r="L85" s="13">
        <f t="shared" si="38"/>
        <v>4.5968462016158489E-3</v>
      </c>
      <c r="M85" s="13">
        <f t="shared" si="39"/>
        <v>0.65963490215884413</v>
      </c>
      <c r="N85" s="20">
        <f t="shared" si="40"/>
        <v>1.4502857350919035E-3</v>
      </c>
      <c r="O85" s="21">
        <f t="shared" si="41"/>
        <v>5.614140734943493E-2</v>
      </c>
      <c r="P85" s="24">
        <f t="shared" si="42"/>
        <v>1.5161922426350352</v>
      </c>
      <c r="Q85" s="24">
        <f t="shared" si="43"/>
        <v>8.5121166313826796E-2</v>
      </c>
      <c r="R85" s="10">
        <v>1.4935</v>
      </c>
      <c r="S85" s="10">
        <v>1.4935</v>
      </c>
      <c r="T85" s="17">
        <v>2084</v>
      </c>
      <c r="U85" s="10">
        <v>435927077.62</v>
      </c>
      <c r="V85" s="10">
        <v>729961087.00999999</v>
      </c>
    </row>
    <row r="86" spans="1:24">
      <c r="A86" s="94">
        <v>76</v>
      </c>
      <c r="B86" s="74" t="s">
        <v>256</v>
      </c>
      <c r="C86" s="75" t="s">
        <v>64</v>
      </c>
      <c r="D86" s="16">
        <v>111164456.77</v>
      </c>
      <c r="E86" s="10">
        <v>2787428.02</v>
      </c>
      <c r="F86" s="10">
        <v>2607.9499999999998</v>
      </c>
      <c r="G86" s="10">
        <v>158409.22</v>
      </c>
      <c r="H86" s="12">
        <f t="shared" si="30"/>
        <v>2631626.75</v>
      </c>
      <c r="I86" s="10">
        <v>61764052.100000001</v>
      </c>
      <c r="J86" s="13">
        <f t="shared" si="31"/>
        <v>2.5806724090207526E-4</v>
      </c>
      <c r="K86" s="10">
        <v>114258984.09</v>
      </c>
      <c r="L86" s="13">
        <f t="shared" si="38"/>
        <v>4.7456570734327264E-4</v>
      </c>
      <c r="M86" s="13">
        <f t="shared" si="39"/>
        <v>0.84992694302192651</v>
      </c>
      <c r="N86" s="20">
        <f t="shared" si="40"/>
        <v>1.3864049401596601E-3</v>
      </c>
      <c r="O86" s="21">
        <f t="shared" si="41"/>
        <v>2.3032121027149244E-2</v>
      </c>
      <c r="P86" s="24">
        <f t="shared" si="42"/>
        <v>1.0037789785756661</v>
      </c>
      <c r="Q86" s="24">
        <f t="shared" si="43"/>
        <v>2.311915891906299E-2</v>
      </c>
      <c r="R86" s="17">
        <v>0.98770000000000002</v>
      </c>
      <c r="S86" s="18">
        <v>0.98770000000000002</v>
      </c>
      <c r="T86" s="17">
        <v>96</v>
      </c>
      <c r="U86" s="10">
        <v>58783992.520000003</v>
      </c>
      <c r="V86" s="10">
        <v>113828827.39</v>
      </c>
    </row>
    <row r="87" spans="1:24">
      <c r="A87" s="94">
        <v>77</v>
      </c>
      <c r="B87" s="19" t="s">
        <v>238</v>
      </c>
      <c r="C87" s="19" t="s">
        <v>48</v>
      </c>
      <c r="D87" s="10">
        <v>201969240.71000001</v>
      </c>
      <c r="E87" s="10">
        <v>1468763.5</v>
      </c>
      <c r="F87" s="10">
        <v>0</v>
      </c>
      <c r="G87" s="10">
        <v>609092.37</v>
      </c>
      <c r="H87" s="12">
        <f t="shared" si="30"/>
        <v>859671.13</v>
      </c>
      <c r="I87" s="10">
        <v>303136196.35000002</v>
      </c>
      <c r="J87" s="13">
        <f t="shared" si="31"/>
        <v>1.2665866171302294E-3</v>
      </c>
      <c r="K87" s="10">
        <v>282807778.22000003</v>
      </c>
      <c r="L87" s="13">
        <f t="shared" si="38"/>
        <v>1.1746198724070388E-3</v>
      </c>
      <c r="M87" s="13">
        <f t="shared" si="39"/>
        <v>-6.7060345728323617E-2</v>
      </c>
      <c r="N87" s="20">
        <f t="shared" si="40"/>
        <v>2.1537327361844296E-3</v>
      </c>
      <c r="O87" s="21">
        <f t="shared" si="41"/>
        <v>3.0397718740651117E-3</v>
      </c>
      <c r="P87" s="24">
        <f t="shared" si="42"/>
        <v>177.5661243868102</v>
      </c>
      <c r="Q87" s="24">
        <f t="shared" si="43"/>
        <v>0.53976051069777287</v>
      </c>
      <c r="R87" s="10">
        <v>177.57</v>
      </c>
      <c r="S87" s="10">
        <v>177.57</v>
      </c>
      <c r="T87" s="17">
        <v>377</v>
      </c>
      <c r="U87" s="10">
        <v>2187975.96</v>
      </c>
      <c r="V87" s="10">
        <v>1592689.93</v>
      </c>
    </row>
    <row r="88" spans="1:24">
      <c r="A88" s="94">
        <v>78</v>
      </c>
      <c r="B88" s="19" t="s">
        <v>109</v>
      </c>
      <c r="C88" s="19" t="s">
        <v>110</v>
      </c>
      <c r="D88" s="10">
        <v>2646454590.3699999</v>
      </c>
      <c r="E88" s="10">
        <v>42609997.359999999</v>
      </c>
      <c r="F88" s="10">
        <v>0</v>
      </c>
      <c r="G88" s="10">
        <v>4335836.41</v>
      </c>
      <c r="H88" s="12">
        <f t="shared" si="30"/>
        <v>38274160.950000003</v>
      </c>
      <c r="I88" s="10">
        <v>2644899195.1900001</v>
      </c>
      <c r="J88" s="13">
        <f t="shared" si="31"/>
        <v>1.1051118159503052E-2</v>
      </c>
      <c r="K88" s="10">
        <v>2615178639.3800001</v>
      </c>
      <c r="L88" s="13">
        <f t="shared" si="38"/>
        <v>1.0861938872560012E-2</v>
      </c>
      <c r="M88" s="13">
        <f t="shared" si="39"/>
        <v>-1.1236933288062393E-2</v>
      </c>
      <c r="N88" s="20">
        <f t="shared" si="40"/>
        <v>1.6579503765861018E-3</v>
      </c>
      <c r="O88" s="21">
        <f t="shared" si="41"/>
        <v>1.4635390628257021E-2</v>
      </c>
      <c r="P88" s="24">
        <f t="shared" si="42"/>
        <v>1306.825996091553</v>
      </c>
      <c r="Q88" s="24">
        <f t="shared" si="43"/>
        <v>19.125908935960961</v>
      </c>
      <c r="R88" s="10">
        <v>1306.83</v>
      </c>
      <c r="S88" s="10">
        <v>1306.83</v>
      </c>
      <c r="T88" s="17">
        <v>316</v>
      </c>
      <c r="U88" s="10">
        <v>2086932.35</v>
      </c>
      <c r="V88" s="10">
        <v>2001168.21</v>
      </c>
    </row>
    <row r="89" spans="1:24">
      <c r="A89" s="94">
        <v>79</v>
      </c>
      <c r="B89" s="19" t="s">
        <v>111</v>
      </c>
      <c r="C89" s="19" t="s">
        <v>66</v>
      </c>
      <c r="D89" s="10">
        <v>135519451.13</v>
      </c>
      <c r="E89" s="10">
        <v>1747266.34</v>
      </c>
      <c r="F89" s="10">
        <v>0</v>
      </c>
      <c r="G89" s="10">
        <v>525702.65</v>
      </c>
      <c r="H89" s="12">
        <f t="shared" si="30"/>
        <v>1221563.69</v>
      </c>
      <c r="I89" s="10">
        <v>157265576.08000001</v>
      </c>
      <c r="J89" s="13">
        <f t="shared" si="31"/>
        <v>6.5709894231244916E-4</v>
      </c>
      <c r="K89" s="10">
        <v>138901875.16999999</v>
      </c>
      <c r="L89" s="13">
        <f t="shared" si="38"/>
        <v>5.7691801801279259E-4</v>
      </c>
      <c r="M89" s="13">
        <f t="shared" si="39"/>
        <v>-0.11676872566605756</v>
      </c>
      <c r="N89" s="20">
        <f t="shared" si="40"/>
        <v>3.7847052054308136E-3</v>
      </c>
      <c r="O89" s="21">
        <f t="shared" si="41"/>
        <v>8.7944362774436697E-3</v>
      </c>
      <c r="P89" s="24">
        <f t="shared" si="42"/>
        <v>941.82256255000607</v>
      </c>
      <c r="Q89" s="24">
        <f t="shared" si="43"/>
        <v>8.2827985110047315</v>
      </c>
      <c r="R89" s="10">
        <v>1102.96</v>
      </c>
      <c r="S89" s="10">
        <v>1137.43</v>
      </c>
      <c r="T89" s="17">
        <v>284</v>
      </c>
      <c r="U89" s="10">
        <v>133771</v>
      </c>
      <c r="V89" s="10">
        <v>147482</v>
      </c>
    </row>
    <row r="90" spans="1:24">
      <c r="A90" s="94">
        <v>80</v>
      </c>
      <c r="B90" s="19" t="s">
        <v>112</v>
      </c>
      <c r="C90" s="79" t="s">
        <v>69</v>
      </c>
      <c r="D90" s="10">
        <v>725469337.78999996</v>
      </c>
      <c r="E90" s="10">
        <v>9110614.8699999992</v>
      </c>
      <c r="F90" s="10">
        <v>0</v>
      </c>
      <c r="G90" s="10">
        <v>1329968</v>
      </c>
      <c r="H90" s="12">
        <f t="shared" si="30"/>
        <v>7780646.8699999992</v>
      </c>
      <c r="I90" s="10">
        <v>723588918.46000004</v>
      </c>
      <c r="J90" s="13">
        <f t="shared" si="31"/>
        <v>3.0233540285205624E-3</v>
      </c>
      <c r="K90" s="10">
        <v>729488145</v>
      </c>
      <c r="L90" s="13">
        <f t="shared" si="38"/>
        <v>3.0298716576874895E-3</v>
      </c>
      <c r="M90" s="13">
        <f t="shared" si="39"/>
        <v>8.1527320133027593E-3</v>
      </c>
      <c r="N90" s="20">
        <f t="shared" si="40"/>
        <v>1.8231523145588609E-3</v>
      </c>
      <c r="O90" s="21">
        <f t="shared" si="41"/>
        <v>1.0665898991408558E-2</v>
      </c>
      <c r="P90" s="24">
        <f t="shared" si="42"/>
        <v>1.2109981397952854</v>
      </c>
      <c r="Q90" s="24">
        <f t="shared" si="43"/>
        <v>1.2916383837840174E-2</v>
      </c>
      <c r="R90" s="10">
        <v>1.2068000000000001</v>
      </c>
      <c r="S90" s="10">
        <v>1.2068000000000001</v>
      </c>
      <c r="T90" s="17">
        <v>64</v>
      </c>
      <c r="U90" s="10">
        <v>602424210</v>
      </c>
      <c r="V90" s="10">
        <v>602385851</v>
      </c>
    </row>
    <row r="91" spans="1:24">
      <c r="A91" s="94">
        <v>81</v>
      </c>
      <c r="B91" s="19" t="s">
        <v>245</v>
      </c>
      <c r="C91" s="19" t="s">
        <v>30</v>
      </c>
      <c r="D91" s="10">
        <v>11961114113.32</v>
      </c>
      <c r="E91" s="10">
        <v>120419743.45</v>
      </c>
      <c r="F91" s="10">
        <v>0</v>
      </c>
      <c r="G91" s="10">
        <v>14009951.550000001</v>
      </c>
      <c r="H91" s="12">
        <f t="shared" si="30"/>
        <v>106409791.90000001</v>
      </c>
      <c r="I91" s="10">
        <v>11518320997.200001</v>
      </c>
      <c r="J91" s="13">
        <f t="shared" si="31"/>
        <v>4.8126721264323331E-2</v>
      </c>
      <c r="K91" s="10">
        <v>11579539611.629999</v>
      </c>
      <c r="L91" s="13">
        <f t="shared" si="38"/>
        <v>4.8094707390134953E-2</v>
      </c>
      <c r="M91" s="13">
        <f t="shared" si="39"/>
        <v>5.3148904640598306E-3</v>
      </c>
      <c r="N91" s="20">
        <f t="shared" si="40"/>
        <v>1.2098884774252164E-3</v>
      </c>
      <c r="O91" s="21">
        <f t="shared" si="41"/>
        <v>9.1894665478000973E-3</v>
      </c>
      <c r="P91" s="24">
        <f t="shared" si="42"/>
        <v>1678.687001818138</v>
      </c>
      <c r="Q91" s="24">
        <f t="shared" si="43"/>
        <v>15.426238047434619</v>
      </c>
      <c r="R91" s="10">
        <v>1678.68</v>
      </c>
      <c r="S91" s="10">
        <v>1678.68</v>
      </c>
      <c r="T91" s="17">
        <v>2042</v>
      </c>
      <c r="U91" s="10">
        <v>6912688.4699999997</v>
      </c>
      <c r="V91" s="10">
        <v>6897974.1900000004</v>
      </c>
    </row>
    <row r="92" spans="1:24" ht="14.55" customHeight="1">
      <c r="A92" s="94">
        <v>82</v>
      </c>
      <c r="B92" s="19" t="s">
        <v>113</v>
      </c>
      <c r="C92" s="19" t="s">
        <v>75</v>
      </c>
      <c r="D92" s="10">
        <v>23266012.129999999</v>
      </c>
      <c r="E92" s="10">
        <v>317913.86</v>
      </c>
      <c r="F92" s="10">
        <v>0</v>
      </c>
      <c r="G92" s="10">
        <v>254025.97</v>
      </c>
      <c r="H92" s="12">
        <f>(E92+F92)-G92</f>
        <v>63887.889999999985</v>
      </c>
      <c r="I92" s="10">
        <v>23875487.890000001</v>
      </c>
      <c r="J92" s="13">
        <f t="shared" si="31"/>
        <v>9.9758371989379407E-5</v>
      </c>
      <c r="K92" s="10">
        <v>24084528.379999999</v>
      </c>
      <c r="L92" s="13">
        <f t="shared" si="38"/>
        <v>1.0003319509370777E-4</v>
      </c>
      <c r="M92" s="13">
        <f t="shared" si="39"/>
        <v>8.7554436987045941E-3</v>
      </c>
      <c r="N92" s="20">
        <f t="shared" si="40"/>
        <v>1.0547267772573258E-2</v>
      </c>
      <c r="O92" s="21">
        <f t="shared" si="41"/>
        <v>2.6526527317451247E-3</v>
      </c>
      <c r="P92" s="24">
        <f t="shared" si="42"/>
        <v>0.73582405511273852</v>
      </c>
      <c r="Q92" s="24">
        <f t="shared" si="43"/>
        <v>1.9518856898785811E-3</v>
      </c>
      <c r="R92" s="10">
        <v>0.73580000000000001</v>
      </c>
      <c r="S92" s="10">
        <v>0.73580000000000001</v>
      </c>
      <c r="T92" s="17">
        <v>728</v>
      </c>
      <c r="U92" s="10">
        <v>32731368.609999999</v>
      </c>
      <c r="V92" s="10">
        <v>32731368.609999999</v>
      </c>
    </row>
    <row r="93" spans="1:24" ht="14.55" customHeight="1">
      <c r="A93" s="94">
        <v>83</v>
      </c>
      <c r="B93" s="19" t="s">
        <v>239</v>
      </c>
      <c r="C93" s="79" t="s">
        <v>36</v>
      </c>
      <c r="D93" s="10">
        <v>13687469157.08</v>
      </c>
      <c r="E93" s="10">
        <v>113685836.48999999</v>
      </c>
      <c r="F93" s="10">
        <v>0</v>
      </c>
      <c r="G93" s="10">
        <v>3323362.83</v>
      </c>
      <c r="H93" s="12">
        <f t="shared" si="30"/>
        <v>110362473.66</v>
      </c>
      <c r="I93" s="10">
        <v>10266486325.26</v>
      </c>
      <c r="J93" s="13">
        <f t="shared" si="31"/>
        <v>4.2896210815785089E-2</v>
      </c>
      <c r="K93" s="10">
        <v>10718557531.790001</v>
      </c>
      <c r="L93" s="13">
        <f t="shared" si="38"/>
        <v>4.4518686012180911E-2</v>
      </c>
      <c r="M93" s="13">
        <f t="shared" si="39"/>
        <v>4.4033683210360865E-2</v>
      </c>
      <c r="N93" s="20">
        <f t="shared" si="40"/>
        <v>3.1005691018994773E-4</v>
      </c>
      <c r="O93" s="21">
        <f t="shared" si="41"/>
        <v>1.0296392339424188E-2</v>
      </c>
      <c r="P93" s="24">
        <f t="shared" si="42"/>
        <v>1</v>
      </c>
      <c r="Q93" s="24">
        <f t="shared" si="43"/>
        <v>1.0296392339424188E-2</v>
      </c>
      <c r="R93" s="10">
        <v>1</v>
      </c>
      <c r="S93" s="10">
        <v>1</v>
      </c>
      <c r="T93" s="17">
        <v>5324</v>
      </c>
      <c r="U93" s="10">
        <v>10266486325.26</v>
      </c>
      <c r="V93" s="10">
        <v>10718557531.790001</v>
      </c>
    </row>
    <row r="94" spans="1:24">
      <c r="A94" s="94">
        <v>84</v>
      </c>
      <c r="B94" s="79" t="s">
        <v>114</v>
      </c>
      <c r="C94" s="79" t="s">
        <v>115</v>
      </c>
      <c r="D94" s="10">
        <v>1591778249.29</v>
      </c>
      <c r="E94" s="10">
        <v>43269969.020000003</v>
      </c>
      <c r="F94" s="10">
        <v>0</v>
      </c>
      <c r="G94" s="10">
        <v>2993331.47</v>
      </c>
      <c r="H94" s="12">
        <f t="shared" si="30"/>
        <v>40276637.550000004</v>
      </c>
      <c r="I94" s="10">
        <v>1991885326.98</v>
      </c>
      <c r="J94" s="13">
        <f t="shared" si="31"/>
        <v>8.3226461517581767E-3</v>
      </c>
      <c r="K94" s="10">
        <v>1575644343.78</v>
      </c>
      <c r="L94" s="13">
        <f t="shared" si="38"/>
        <v>6.5443149042739074E-3</v>
      </c>
      <c r="M94" s="13">
        <f t="shared" si="39"/>
        <v>-0.20896834650169568</v>
      </c>
      <c r="N94" s="20">
        <f t="shared" si="40"/>
        <v>1.8997507158366352E-3</v>
      </c>
      <c r="O94" s="21">
        <f t="shared" si="41"/>
        <v>2.5562010684070751E-2</v>
      </c>
      <c r="P94" s="24">
        <f t="shared" si="42"/>
        <v>285.32965013109992</v>
      </c>
      <c r="Q94" s="24">
        <f t="shared" si="43"/>
        <v>7.293599565133345</v>
      </c>
      <c r="R94" s="10">
        <v>272.70999999999998</v>
      </c>
      <c r="S94" s="10">
        <v>272.70999999999998</v>
      </c>
      <c r="T94" s="17">
        <v>565</v>
      </c>
      <c r="U94" s="10">
        <v>7286189.0800000001</v>
      </c>
      <c r="V94" s="10">
        <v>5522189.3099999996</v>
      </c>
    </row>
    <row r="95" spans="1:24">
      <c r="A95" s="94">
        <v>85</v>
      </c>
      <c r="B95" s="19" t="s">
        <v>116</v>
      </c>
      <c r="C95" s="79" t="s">
        <v>38</v>
      </c>
      <c r="D95" s="10">
        <v>1106567007.4100001</v>
      </c>
      <c r="E95" s="10">
        <v>16463217.74</v>
      </c>
      <c r="F95" s="10">
        <v>0</v>
      </c>
      <c r="G95" s="10">
        <v>1648797.8</v>
      </c>
      <c r="H95" s="12">
        <f t="shared" si="30"/>
        <v>14814419.939999999</v>
      </c>
      <c r="I95" s="10">
        <v>1083410362.27</v>
      </c>
      <c r="J95" s="13">
        <f t="shared" si="31"/>
        <v>4.5267872403037604E-3</v>
      </c>
      <c r="K95" s="10">
        <v>1091411416.04</v>
      </c>
      <c r="L95" s="13">
        <f t="shared" si="38"/>
        <v>4.5330915094393548E-3</v>
      </c>
      <c r="M95" s="13">
        <f t="shared" si="39"/>
        <v>7.3850629905697854E-3</v>
      </c>
      <c r="N95" s="20">
        <f t="shared" si="40"/>
        <v>1.5107023582201307E-3</v>
      </c>
      <c r="O95" s="21">
        <f t="shared" si="41"/>
        <v>1.3573634765294643E-2</v>
      </c>
      <c r="P95" s="24">
        <f t="shared" si="42"/>
        <v>3.6370263418491544</v>
      </c>
      <c r="Q95" s="24">
        <f t="shared" si="43"/>
        <v>4.9367667196016082E-2</v>
      </c>
      <c r="R95" s="10">
        <v>3.64</v>
      </c>
      <c r="S95" s="10">
        <v>3.66</v>
      </c>
      <c r="T95" s="17">
        <v>797</v>
      </c>
      <c r="U95" s="10">
        <v>299828199</v>
      </c>
      <c r="V95" s="10">
        <v>300083451</v>
      </c>
    </row>
    <row r="96" spans="1:24">
      <c r="A96" s="94">
        <v>86</v>
      </c>
      <c r="B96" s="74" t="s">
        <v>243</v>
      </c>
      <c r="C96" s="75" t="s">
        <v>40</v>
      </c>
      <c r="D96" s="10">
        <v>731213126.15999997</v>
      </c>
      <c r="E96" s="10">
        <v>8489172.7699999996</v>
      </c>
      <c r="F96" s="10">
        <v>0</v>
      </c>
      <c r="G96" s="10">
        <v>1734318.14</v>
      </c>
      <c r="H96" s="12">
        <f t="shared" si="30"/>
        <v>6754854.6299999999</v>
      </c>
      <c r="I96" s="10">
        <v>735362246.77999997</v>
      </c>
      <c r="J96" s="13">
        <f t="shared" si="31"/>
        <v>3.07254624069695E-3</v>
      </c>
      <c r="K96" s="10">
        <v>733308023.38</v>
      </c>
      <c r="L96" s="13">
        <f t="shared" si="38"/>
        <v>3.0457372222188711E-3</v>
      </c>
      <c r="M96" s="13">
        <f t="shared" si="39"/>
        <v>-2.7934849919138464E-3</v>
      </c>
      <c r="N96" s="20">
        <f t="shared" si="40"/>
        <v>2.3650609085198522E-3</v>
      </c>
      <c r="O96" s="21">
        <f t="shared" si="41"/>
        <v>9.2114833257451439E-3</v>
      </c>
      <c r="P96" s="24">
        <f t="shared" si="42"/>
        <v>109.01215919439453</v>
      </c>
      <c r="Q96" s="24">
        <f t="shared" si="43"/>
        <v>1.0041636867226404</v>
      </c>
      <c r="R96" s="10">
        <v>109.64</v>
      </c>
      <c r="S96" s="10">
        <v>109.64</v>
      </c>
      <c r="T96" s="17">
        <v>272</v>
      </c>
      <c r="U96" s="10">
        <v>6488646.1799999997</v>
      </c>
      <c r="V96" s="10">
        <v>6726846.1500000004</v>
      </c>
    </row>
    <row r="97" spans="1:22">
      <c r="A97" s="94">
        <v>87</v>
      </c>
      <c r="B97" s="19" t="s">
        <v>242</v>
      </c>
      <c r="C97" s="19" t="s">
        <v>44</v>
      </c>
      <c r="D97" s="10">
        <v>1106179340.72</v>
      </c>
      <c r="E97" s="10">
        <v>14073139.279999999</v>
      </c>
      <c r="F97" s="10">
        <v>0</v>
      </c>
      <c r="G97" s="10">
        <v>2307249.2200000002</v>
      </c>
      <c r="H97" s="12">
        <f t="shared" si="30"/>
        <v>11765890.059999999</v>
      </c>
      <c r="I97" s="10">
        <v>1068997415.4400001</v>
      </c>
      <c r="J97" s="13">
        <f t="shared" si="31"/>
        <v>4.4665659741267251E-3</v>
      </c>
      <c r="K97" s="10">
        <v>1101608740.1099999</v>
      </c>
      <c r="L97" s="13">
        <f t="shared" si="38"/>
        <v>4.5754452932475174E-3</v>
      </c>
      <c r="M97" s="13">
        <f t="shared" si="39"/>
        <v>3.0506457919336497E-2</v>
      </c>
      <c r="N97" s="20">
        <f t="shared" si="40"/>
        <v>2.0944361968021534E-3</v>
      </c>
      <c r="O97" s="21">
        <f t="shared" si="41"/>
        <v>1.0680643346044195E-2</v>
      </c>
      <c r="P97" s="24">
        <f t="shared" si="42"/>
        <v>112.09159570115453</v>
      </c>
      <c r="Q97" s="24">
        <f t="shared" si="43"/>
        <v>1.197210355773012</v>
      </c>
      <c r="R97" s="10">
        <v>112.09</v>
      </c>
      <c r="S97" s="10">
        <v>112.55</v>
      </c>
      <c r="T97" s="17">
        <v>2516</v>
      </c>
      <c r="U97" s="10">
        <v>9744846</v>
      </c>
      <c r="V97" s="10">
        <v>9827755</v>
      </c>
    </row>
    <row r="98" spans="1:22">
      <c r="A98" s="94">
        <v>88</v>
      </c>
      <c r="B98" s="19" t="s">
        <v>119</v>
      </c>
      <c r="C98" s="19" t="s">
        <v>22</v>
      </c>
      <c r="D98" s="10">
        <v>1579327964.02</v>
      </c>
      <c r="E98" s="10">
        <v>20649095.690000001</v>
      </c>
      <c r="F98" s="10">
        <v>72353469.640000001</v>
      </c>
      <c r="G98" s="10">
        <v>2466682.44</v>
      </c>
      <c r="H98" s="12">
        <f t="shared" si="30"/>
        <v>90535882.890000001</v>
      </c>
      <c r="I98" s="10">
        <v>1638720787.55</v>
      </c>
      <c r="J98" s="13">
        <f t="shared" si="31"/>
        <v>6.8470273220934659E-3</v>
      </c>
      <c r="K98" s="10">
        <v>1636196702.78</v>
      </c>
      <c r="L98" s="13">
        <f t="shared" si="38"/>
        <v>6.7958143667363417E-3</v>
      </c>
      <c r="M98" s="13">
        <f t="shared" si="39"/>
        <v>-1.5402775074170266E-3</v>
      </c>
      <c r="N98" s="20">
        <f t="shared" si="40"/>
        <v>1.5075708414574807E-3</v>
      </c>
      <c r="O98" s="21">
        <f t="shared" si="41"/>
        <v>5.5333128795684472E-2</v>
      </c>
      <c r="P98" s="24">
        <f t="shared" si="42"/>
        <v>388.16367128075234</v>
      </c>
      <c r="Q98" s="24">
        <f t="shared" si="43"/>
        <v>21.478310416783597</v>
      </c>
      <c r="R98" s="10">
        <v>388.16</v>
      </c>
      <c r="S98" s="10">
        <v>388.16</v>
      </c>
      <c r="T98" s="17">
        <v>89</v>
      </c>
      <c r="U98" s="10">
        <v>4192179.28</v>
      </c>
      <c r="V98" s="10">
        <v>4215223.6900000004</v>
      </c>
    </row>
    <row r="99" spans="1:22">
      <c r="A99" s="94">
        <v>89</v>
      </c>
      <c r="B99" s="74" t="s">
        <v>246</v>
      </c>
      <c r="C99" s="75" t="s">
        <v>247</v>
      </c>
      <c r="D99" s="10">
        <v>1644334929.1700001</v>
      </c>
      <c r="E99" s="10">
        <v>25978172.140000001</v>
      </c>
      <c r="F99" s="10">
        <v>10216723.109999999</v>
      </c>
      <c r="G99" s="10">
        <v>3316837.28</v>
      </c>
      <c r="H99" s="12">
        <f t="shared" si="30"/>
        <v>32878057.969999999</v>
      </c>
      <c r="I99" s="10">
        <v>1792824075.3499999</v>
      </c>
      <c r="J99" s="13">
        <f t="shared" si="31"/>
        <v>7.4909133519817867E-3</v>
      </c>
      <c r="K99" s="10">
        <v>1825846206.98</v>
      </c>
      <c r="L99" s="13">
        <f t="shared" si="38"/>
        <v>7.5835086721318936E-3</v>
      </c>
      <c r="M99" s="13">
        <f t="shared" si="39"/>
        <v>1.8419058559080007E-2</v>
      </c>
      <c r="N99" s="20">
        <f t="shared" si="40"/>
        <v>1.8166027715368976E-3</v>
      </c>
      <c r="O99" s="21">
        <f t="shared" si="41"/>
        <v>1.8007024821866686E-2</v>
      </c>
      <c r="P99" s="24">
        <f t="shared" si="42"/>
        <v>102.88309979532089</v>
      </c>
      <c r="Q99" s="24">
        <f t="shared" si="43"/>
        <v>1.8526185317649306</v>
      </c>
      <c r="R99" s="10">
        <v>102.88</v>
      </c>
      <c r="S99" s="10">
        <v>102.88</v>
      </c>
      <c r="T99" s="17">
        <v>387</v>
      </c>
      <c r="U99" s="10">
        <v>17167720</v>
      </c>
      <c r="V99" s="10">
        <v>17746804</v>
      </c>
    </row>
    <row r="100" spans="1:22">
      <c r="A100" s="94">
        <v>90</v>
      </c>
      <c r="B100" s="79" t="s">
        <v>120</v>
      </c>
      <c r="C100" s="79" t="s">
        <v>42</v>
      </c>
      <c r="D100" s="10">
        <v>68426834.670000002</v>
      </c>
      <c r="E100" s="10">
        <v>4187666.03</v>
      </c>
      <c r="F100" s="10">
        <v>0</v>
      </c>
      <c r="G100" s="10">
        <v>160221.44</v>
      </c>
      <c r="H100" s="12">
        <f t="shared" si="30"/>
        <v>4027444.59</v>
      </c>
      <c r="I100" s="10">
        <v>67433544.879999995</v>
      </c>
      <c r="J100" s="13">
        <f t="shared" si="31"/>
        <v>2.8175594508035622E-4</v>
      </c>
      <c r="K100" s="10">
        <v>76982550.060000002</v>
      </c>
      <c r="L100" s="13">
        <f t="shared" si="38"/>
        <v>3.1974096928374669E-4</v>
      </c>
      <c r="M100" s="13">
        <f t="shared" si="39"/>
        <v>0.14160615754358971</v>
      </c>
      <c r="N100" s="20">
        <f t="shared" si="40"/>
        <v>2.0812695847971237E-3</v>
      </c>
      <c r="O100" s="21">
        <f t="shared" si="41"/>
        <v>5.2316331257681384E-2</v>
      </c>
      <c r="P100" s="24">
        <f t="shared" si="42"/>
        <v>15.717513698120998</v>
      </c>
      <c r="Q100" s="24">
        <f t="shared" si="43"/>
        <v>0.82228265317804283</v>
      </c>
      <c r="R100" s="10">
        <v>12.25</v>
      </c>
      <c r="S100" s="10">
        <v>12.88</v>
      </c>
      <c r="T100" s="17">
        <v>54</v>
      </c>
      <c r="U100" s="10">
        <v>4897883.4400000004</v>
      </c>
      <c r="V100" s="10">
        <v>4897883.4400000004</v>
      </c>
    </row>
    <row r="101" spans="1:22">
      <c r="A101" s="94">
        <v>91</v>
      </c>
      <c r="B101" s="74" t="s">
        <v>261</v>
      </c>
      <c r="C101" s="75" t="s">
        <v>262</v>
      </c>
      <c r="D101" s="10">
        <v>960980504.08000004</v>
      </c>
      <c r="E101" s="10">
        <v>15229299.060000001</v>
      </c>
      <c r="F101" s="10">
        <v>0</v>
      </c>
      <c r="G101" s="10">
        <v>1514682.07</v>
      </c>
      <c r="H101" s="12">
        <f t="shared" si="30"/>
        <v>13714616.99</v>
      </c>
      <c r="I101" s="10">
        <v>1050445256.79</v>
      </c>
      <c r="J101" s="13">
        <f t="shared" si="31"/>
        <v>4.389049939592082E-3</v>
      </c>
      <c r="K101" s="10">
        <v>945737872.24000001</v>
      </c>
      <c r="L101" s="13">
        <f t="shared" si="38"/>
        <v>3.9280478981624138E-3</v>
      </c>
      <c r="M101" s="13">
        <f t="shared" si="39"/>
        <v>-9.9679049310927165E-2</v>
      </c>
      <c r="N101" s="20">
        <f t="shared" si="40"/>
        <v>1.6015876221731967E-3</v>
      </c>
      <c r="O101" s="21">
        <f t="shared" si="41"/>
        <v>1.4501499191860258E-2</v>
      </c>
      <c r="P101" s="24">
        <f t="shared" si="42"/>
        <v>158.16454491637089</v>
      </c>
      <c r="Q101" s="24">
        <f t="shared" si="43"/>
        <v>2.2936230202856982</v>
      </c>
      <c r="R101" s="10">
        <v>158.16</v>
      </c>
      <c r="S101" s="10">
        <v>158.16</v>
      </c>
      <c r="T101" s="17">
        <v>179</v>
      </c>
      <c r="U101" s="10">
        <v>6740659.4900000002</v>
      </c>
      <c r="V101" s="10">
        <v>5979455.5899999999</v>
      </c>
    </row>
    <row r="102" spans="1:22">
      <c r="A102" s="94">
        <v>92</v>
      </c>
      <c r="B102" s="19" t="s">
        <v>121</v>
      </c>
      <c r="C102" s="19" t="s">
        <v>122</v>
      </c>
      <c r="D102" s="10">
        <v>11020650257.33</v>
      </c>
      <c r="E102" s="10">
        <v>163311791.61000001</v>
      </c>
      <c r="F102" s="10">
        <v>0</v>
      </c>
      <c r="G102" s="10">
        <v>19325970.530000001</v>
      </c>
      <c r="H102" s="12">
        <f t="shared" si="30"/>
        <v>143985821.08000001</v>
      </c>
      <c r="I102" s="10">
        <v>10810935604</v>
      </c>
      <c r="J102" s="13">
        <f t="shared" si="31"/>
        <v>4.517107003240628E-2</v>
      </c>
      <c r="K102" s="10">
        <v>10823824826</v>
      </c>
      <c r="L102" s="13">
        <f t="shared" si="38"/>
        <v>4.4955905442536866E-2</v>
      </c>
      <c r="M102" s="13">
        <f t="shared" si="39"/>
        <v>1.1922392725409485E-3</v>
      </c>
      <c r="N102" s="20">
        <f t="shared" si="40"/>
        <v>1.7855028920624183E-3</v>
      </c>
      <c r="O102" s="21">
        <f t="shared" si="41"/>
        <v>1.3302674737873665E-2</v>
      </c>
      <c r="P102" s="24">
        <f t="shared" si="42"/>
        <v>1.0099999999589424</v>
      </c>
      <c r="Q102" s="24">
        <f t="shared" si="43"/>
        <v>1.3435701484706226E-2</v>
      </c>
      <c r="R102" s="10">
        <v>1.01</v>
      </c>
      <c r="S102" s="10">
        <v>1.01</v>
      </c>
      <c r="T102" s="17">
        <v>5230</v>
      </c>
      <c r="U102" s="10">
        <v>10810935604</v>
      </c>
      <c r="V102" s="10">
        <v>10716658244</v>
      </c>
    </row>
    <row r="103" spans="1:22">
      <c r="A103" s="94">
        <v>93</v>
      </c>
      <c r="B103" s="79" t="s">
        <v>123</v>
      </c>
      <c r="C103" s="19" t="s">
        <v>46</v>
      </c>
      <c r="D103" s="10">
        <v>4580063234.4399996</v>
      </c>
      <c r="E103" s="10">
        <v>64782202.170000002</v>
      </c>
      <c r="F103" s="10">
        <v>0</v>
      </c>
      <c r="G103" s="10">
        <v>6831704.5800000001</v>
      </c>
      <c r="H103" s="12">
        <f t="shared" si="30"/>
        <v>57950497.590000004</v>
      </c>
      <c r="I103" s="10">
        <v>4925276008.1400003</v>
      </c>
      <c r="J103" s="13">
        <f t="shared" si="31"/>
        <v>2.0579161290194509E-2</v>
      </c>
      <c r="K103" s="10">
        <v>4854770142.4099998</v>
      </c>
      <c r="L103" s="13">
        <f t="shared" si="38"/>
        <v>2.0163906103060136E-2</v>
      </c>
      <c r="M103" s="13">
        <f t="shared" si="39"/>
        <v>-1.4315109572230166E-2</v>
      </c>
      <c r="N103" s="20">
        <f t="shared" si="40"/>
        <v>1.4072148381073738E-3</v>
      </c>
      <c r="O103" s="21">
        <f t="shared" si="41"/>
        <v>1.1936815933623642E-2</v>
      </c>
      <c r="P103" s="24">
        <f t="shared" si="42"/>
        <v>5176.1029775857305</v>
      </c>
      <c r="Q103" s="24">
        <f t="shared" si="43"/>
        <v>61.786188496922122</v>
      </c>
      <c r="R103" s="10">
        <v>5176.1000000000004</v>
      </c>
      <c r="S103" s="10">
        <v>5176.1000000000004</v>
      </c>
      <c r="T103" s="17">
        <v>232</v>
      </c>
      <c r="U103" s="10">
        <v>951541.63</v>
      </c>
      <c r="V103" s="10">
        <v>937919.93</v>
      </c>
    </row>
    <row r="104" spans="1:22">
      <c r="A104" s="94">
        <v>94</v>
      </c>
      <c r="B104" s="19" t="s">
        <v>124</v>
      </c>
      <c r="C104" s="19" t="s">
        <v>46</v>
      </c>
      <c r="D104" s="10">
        <v>15573613577.129999</v>
      </c>
      <c r="E104" s="10">
        <v>154785751.65000001</v>
      </c>
      <c r="F104" s="10">
        <v>0</v>
      </c>
      <c r="G104" s="10">
        <v>27401770.41</v>
      </c>
      <c r="H104" s="12">
        <f t="shared" si="30"/>
        <v>127383981.24000001</v>
      </c>
      <c r="I104" s="10">
        <v>15630720806.58</v>
      </c>
      <c r="J104" s="13">
        <f t="shared" si="31"/>
        <v>6.5309461648238601E-2</v>
      </c>
      <c r="K104" s="10">
        <v>15556526376.16</v>
      </c>
      <c r="L104" s="13">
        <f t="shared" si="38"/>
        <v>6.4612809244754835E-2</v>
      </c>
      <c r="M104" s="13">
        <f t="shared" si="39"/>
        <v>-4.7467056278534996E-3</v>
      </c>
      <c r="N104" s="20">
        <f t="shared" si="40"/>
        <v>1.7614324526838169E-3</v>
      </c>
      <c r="O104" s="21">
        <f t="shared" si="41"/>
        <v>8.1884591816855003E-3</v>
      </c>
      <c r="P104" s="24">
        <f t="shared" si="42"/>
        <v>259.23670652787092</v>
      </c>
      <c r="Q104" s="24">
        <f t="shared" si="43"/>
        <v>2.1227491897980539</v>
      </c>
      <c r="R104" s="10">
        <v>259.24</v>
      </c>
      <c r="S104" s="10">
        <v>259.24</v>
      </c>
      <c r="T104" s="17">
        <v>6016</v>
      </c>
      <c r="U104" s="10">
        <v>60318547.390000001</v>
      </c>
      <c r="V104" s="10">
        <v>60008964.719999999</v>
      </c>
    </row>
    <row r="105" spans="1:22">
      <c r="A105" s="94">
        <v>95</v>
      </c>
      <c r="B105" s="79" t="s">
        <v>125</v>
      </c>
      <c r="C105" s="19" t="s">
        <v>46</v>
      </c>
      <c r="D105" s="10">
        <v>814164112.39999998</v>
      </c>
      <c r="E105" s="10">
        <v>7466449.2400000002</v>
      </c>
      <c r="F105" s="10">
        <v>7970313.6500000004</v>
      </c>
      <c r="G105" s="10">
        <v>1208373.8400000001</v>
      </c>
      <c r="H105" s="12">
        <f t="shared" si="30"/>
        <v>14228389.050000001</v>
      </c>
      <c r="I105" s="10">
        <v>628773392.15999997</v>
      </c>
      <c r="J105" s="13">
        <f t="shared" si="31"/>
        <v>2.6271886145787663E-3</v>
      </c>
      <c r="K105" s="10">
        <v>851845619.92999995</v>
      </c>
      <c r="L105" s="13">
        <f t="shared" si="38"/>
        <v>3.538073810028998E-3</v>
      </c>
      <c r="M105" s="13">
        <f t="shared" si="39"/>
        <v>0.35477364429129055</v>
      </c>
      <c r="N105" s="20">
        <f t="shared" si="40"/>
        <v>1.4185361898078406E-3</v>
      </c>
      <c r="O105" s="21">
        <f t="shared" si="41"/>
        <v>1.6703013688289213E-2</v>
      </c>
      <c r="P105" s="24">
        <f t="shared" si="42"/>
        <v>9573.2546258325565</v>
      </c>
      <c r="Q105" s="24">
        <f t="shared" si="43"/>
        <v>159.90220305675922</v>
      </c>
      <c r="R105" s="10">
        <v>9593.02</v>
      </c>
      <c r="S105" s="10">
        <v>9631.73</v>
      </c>
      <c r="T105" s="17">
        <v>22</v>
      </c>
      <c r="U105" s="10">
        <v>66823.92</v>
      </c>
      <c r="V105" s="10">
        <v>88981.82</v>
      </c>
    </row>
    <row r="106" spans="1:22">
      <c r="A106" s="94">
        <v>96</v>
      </c>
      <c r="B106" s="19" t="s">
        <v>126</v>
      </c>
      <c r="C106" s="19" t="s">
        <v>46</v>
      </c>
      <c r="D106" s="10">
        <v>6866668841.6099997</v>
      </c>
      <c r="E106" s="10">
        <v>93694322.489999995</v>
      </c>
      <c r="F106" s="10">
        <v>0</v>
      </c>
      <c r="G106" s="10">
        <v>9943360.75</v>
      </c>
      <c r="H106" s="12">
        <f t="shared" si="30"/>
        <v>83750961.739999995</v>
      </c>
      <c r="I106" s="10">
        <v>6609022216.5200005</v>
      </c>
      <c r="J106" s="13">
        <f t="shared" si="31"/>
        <v>2.7614317236123086E-2</v>
      </c>
      <c r="K106" s="10">
        <v>7021544710.5799999</v>
      </c>
      <c r="L106" s="13">
        <f t="shared" si="38"/>
        <v>2.9163433919507833E-2</v>
      </c>
      <c r="M106" s="13">
        <f t="shared" si="39"/>
        <v>6.2418082515875453E-2</v>
      </c>
      <c r="N106" s="20">
        <f t="shared" si="40"/>
        <v>1.4161215458782786E-3</v>
      </c>
      <c r="O106" s="21">
        <f t="shared" si="41"/>
        <v>1.1927711805894336E-2</v>
      </c>
      <c r="P106" s="24">
        <f t="shared" si="42"/>
        <v>163.41805216084632</v>
      </c>
      <c r="Q106" s="24">
        <f t="shared" si="43"/>
        <v>1.949203430055183</v>
      </c>
      <c r="R106" s="10">
        <v>163.41999999999999</v>
      </c>
      <c r="S106" s="10">
        <v>163.41999999999999</v>
      </c>
      <c r="T106" s="17">
        <v>5577</v>
      </c>
      <c r="U106" s="10">
        <v>40941009.729999997</v>
      </c>
      <c r="V106" s="10">
        <v>42966762.960000001</v>
      </c>
    </row>
    <row r="107" spans="1:22">
      <c r="A107" s="94">
        <v>97</v>
      </c>
      <c r="B107" s="19" t="s">
        <v>127</v>
      </c>
      <c r="C107" s="19" t="s">
        <v>46</v>
      </c>
      <c r="D107" s="10">
        <v>5757125134.46</v>
      </c>
      <c r="E107" s="10">
        <v>102058784.25</v>
      </c>
      <c r="F107" s="10">
        <v>0</v>
      </c>
      <c r="G107" s="10">
        <v>15524047.550000001</v>
      </c>
      <c r="H107" s="12">
        <f t="shared" si="30"/>
        <v>86534736.700000003</v>
      </c>
      <c r="I107" s="10">
        <v>6369693544.25</v>
      </c>
      <c r="J107" s="13">
        <f t="shared" si="31"/>
        <v>2.6614336049307848E-2</v>
      </c>
      <c r="K107" s="10">
        <v>5781903604.2299995</v>
      </c>
      <c r="L107" s="13">
        <f t="shared" si="38"/>
        <v>2.4014682045227234E-2</v>
      </c>
      <c r="M107" s="13">
        <f t="shared" si="39"/>
        <v>-9.2279155337167768E-2</v>
      </c>
      <c r="N107" s="20">
        <f t="shared" si="40"/>
        <v>2.6849371094050615E-3</v>
      </c>
      <c r="O107" s="21">
        <f t="shared" si="41"/>
        <v>1.4966478624218467E-2</v>
      </c>
      <c r="P107" s="24">
        <f t="shared" si="42"/>
        <v>388.07841883753684</v>
      </c>
      <c r="Q107" s="24">
        <f t="shared" si="43"/>
        <v>5.8081673600524963</v>
      </c>
      <c r="R107" s="10">
        <v>388.08</v>
      </c>
      <c r="S107" s="10">
        <v>388.08</v>
      </c>
      <c r="T107" s="17">
        <v>11258</v>
      </c>
      <c r="U107" s="10">
        <v>16546873.27</v>
      </c>
      <c r="V107" s="10">
        <v>14898802.210000001</v>
      </c>
    </row>
    <row r="108" spans="1:22">
      <c r="A108" s="94">
        <v>98</v>
      </c>
      <c r="B108" s="19" t="s">
        <v>308</v>
      </c>
      <c r="C108" s="19" t="s">
        <v>309</v>
      </c>
      <c r="D108" s="10">
        <v>113757886.68000001</v>
      </c>
      <c r="E108" s="10">
        <v>1705677.12</v>
      </c>
      <c r="F108" s="10">
        <v>0</v>
      </c>
      <c r="G108" s="10">
        <v>306154.71999999997</v>
      </c>
      <c r="H108" s="12">
        <f t="shared" ref="H108" si="45">(E108+F108)-G108</f>
        <v>1399522.4000000001</v>
      </c>
      <c r="I108" s="10">
        <v>91648635.299999997</v>
      </c>
      <c r="J108" s="13">
        <f t="shared" si="31"/>
        <v>3.8293327008432363E-4</v>
      </c>
      <c r="K108" s="10">
        <v>113024163.66</v>
      </c>
      <c r="L108" s="13">
        <f t="shared" si="38"/>
        <v>4.6943697776920875E-4</v>
      </c>
      <c r="M108" s="13">
        <f t="shared" si="39"/>
        <v>0.23323346048776353</v>
      </c>
      <c r="N108" s="20">
        <f t="shared" si="40"/>
        <v>2.7087545714647048E-3</v>
      </c>
      <c r="O108" s="21">
        <f t="shared" si="41"/>
        <v>1.2382506135679554E-2</v>
      </c>
      <c r="P108" s="24">
        <f t="shared" si="42"/>
        <v>114.22476416466783</v>
      </c>
      <c r="Q108" s="24">
        <f t="shared" si="43"/>
        <v>1.4143888431155496</v>
      </c>
      <c r="R108" s="10">
        <v>114.2248</v>
      </c>
      <c r="S108" s="10">
        <v>114.2248</v>
      </c>
      <c r="T108" s="17">
        <v>26</v>
      </c>
      <c r="U108" s="10">
        <v>809492.26</v>
      </c>
      <c r="V108" s="10">
        <v>989489.14</v>
      </c>
    </row>
    <row r="109" spans="1:22">
      <c r="A109" s="94">
        <v>99</v>
      </c>
      <c r="B109" s="19" t="s">
        <v>128</v>
      </c>
      <c r="C109" s="19" t="s">
        <v>50</v>
      </c>
      <c r="D109" s="10">
        <v>76905666337</v>
      </c>
      <c r="E109" s="10">
        <v>712556332</v>
      </c>
      <c r="F109" s="10">
        <v>0</v>
      </c>
      <c r="G109" s="10">
        <v>130233273</v>
      </c>
      <c r="H109" s="12">
        <f t="shared" si="30"/>
        <v>582323059</v>
      </c>
      <c r="I109" s="10">
        <v>84393434922</v>
      </c>
      <c r="J109" s="13">
        <f t="shared" si="31"/>
        <v>0.3526190423080966</v>
      </c>
      <c r="K109" s="10">
        <v>82442716472</v>
      </c>
      <c r="L109" s="13">
        <f t="shared" si="38"/>
        <v>0.34241934119611822</v>
      </c>
      <c r="M109" s="13">
        <f t="shared" si="39"/>
        <v>-2.311457581745472E-2</v>
      </c>
      <c r="N109" s="20">
        <f t="shared" si="40"/>
        <v>1.5796819728063072E-3</v>
      </c>
      <c r="O109" s="21">
        <f t="shared" si="41"/>
        <v>7.0633657395044016E-3</v>
      </c>
      <c r="P109" s="24">
        <f t="shared" si="42"/>
        <v>1.989757486838291</v>
      </c>
      <c r="Q109" s="24">
        <f t="shared" si="43"/>
        <v>1.4054384862455966E-2</v>
      </c>
      <c r="R109" s="10">
        <v>1.99</v>
      </c>
      <c r="S109" s="10">
        <v>1.99</v>
      </c>
      <c r="T109" s="17">
        <v>1373</v>
      </c>
      <c r="U109" s="10">
        <v>42699549882</v>
      </c>
      <c r="V109" s="10">
        <v>41433550077</v>
      </c>
    </row>
    <row r="110" spans="1:22">
      <c r="A110" s="94">
        <v>100</v>
      </c>
      <c r="B110" s="19" t="s">
        <v>260</v>
      </c>
      <c r="C110" s="19" t="s">
        <v>50</v>
      </c>
      <c r="D110" s="10">
        <v>45238818618</v>
      </c>
      <c r="E110" s="10">
        <v>976220224</v>
      </c>
      <c r="F110" s="10">
        <v>0</v>
      </c>
      <c r="G110" s="10">
        <v>121412405</v>
      </c>
      <c r="H110" s="12">
        <f t="shared" si="30"/>
        <v>854807819</v>
      </c>
      <c r="I110" s="10">
        <v>62163834454</v>
      </c>
      <c r="J110" s="13">
        <f t="shared" si="31"/>
        <v>0.25973764181571796</v>
      </c>
      <c r="K110" s="10">
        <v>65262672551</v>
      </c>
      <c r="L110" s="13">
        <f t="shared" si="38"/>
        <v>0.27106337947029174</v>
      </c>
      <c r="M110" s="13">
        <f t="shared" si="39"/>
        <v>4.9849532677928327E-2</v>
      </c>
      <c r="N110" s="20">
        <f t="shared" si="40"/>
        <v>1.860365201947888E-3</v>
      </c>
      <c r="O110" s="21">
        <f t="shared" si="41"/>
        <v>1.3097959148577682E-2</v>
      </c>
      <c r="P110" s="24">
        <f t="shared" si="42"/>
        <v>130.954853186669</v>
      </c>
      <c r="Q110" s="24">
        <f t="shared" si="43"/>
        <v>1.7152413173469783</v>
      </c>
      <c r="R110" s="10">
        <v>130.94999999999999</v>
      </c>
      <c r="S110" s="10">
        <v>130.94999999999999</v>
      </c>
      <c r="T110" s="17">
        <v>263</v>
      </c>
      <c r="U110" s="10">
        <v>481681332</v>
      </c>
      <c r="V110" s="10">
        <v>498360091</v>
      </c>
    </row>
    <row r="111" spans="1:22">
      <c r="A111" s="94">
        <v>101</v>
      </c>
      <c r="B111" s="74" t="s">
        <v>240</v>
      </c>
      <c r="C111" s="74" t="s">
        <v>241</v>
      </c>
      <c r="D111" s="10">
        <v>107708718.7</v>
      </c>
      <c r="E111" s="10">
        <v>2497454.06</v>
      </c>
      <c r="F111" s="10">
        <v>0</v>
      </c>
      <c r="G111" s="10">
        <v>474779.46</v>
      </c>
      <c r="H111" s="12">
        <f>(E111+F111)-G111</f>
        <v>2022674.6</v>
      </c>
      <c r="I111" s="10">
        <v>115514406.95999999</v>
      </c>
      <c r="J111" s="13">
        <f t="shared" si="31"/>
        <v>4.8265104498554546E-4</v>
      </c>
      <c r="K111" s="10">
        <v>113718689</v>
      </c>
      <c r="L111" s="13">
        <f t="shared" si="38"/>
        <v>4.7232163416511462E-4</v>
      </c>
      <c r="M111" s="13">
        <f t="shared" si="39"/>
        <v>-1.5545402580145778E-2</v>
      </c>
      <c r="N111" s="20">
        <f t="shared" si="40"/>
        <v>4.1750345890814835E-3</v>
      </c>
      <c r="O111" s="21">
        <f t="shared" si="41"/>
        <v>1.778665070611217E-2</v>
      </c>
      <c r="P111" s="24">
        <f t="shared" si="42"/>
        <v>114.74054882191467</v>
      </c>
      <c r="Q111" s="24">
        <f t="shared" si="43"/>
        <v>2.0408500637230063</v>
      </c>
      <c r="R111" s="10">
        <v>114.7405</v>
      </c>
      <c r="S111" s="10">
        <v>114.7405</v>
      </c>
      <c r="T111" s="17">
        <v>88</v>
      </c>
      <c r="U111" s="10">
        <v>990381.16</v>
      </c>
      <c r="V111" s="10">
        <v>991094.17</v>
      </c>
    </row>
    <row r="112" spans="1:22">
      <c r="A112" s="94">
        <v>102</v>
      </c>
      <c r="B112" s="74" t="s">
        <v>291</v>
      </c>
      <c r="C112" s="74" t="s">
        <v>290</v>
      </c>
      <c r="D112" s="10">
        <v>326648718.91000003</v>
      </c>
      <c r="E112" s="10">
        <v>5354704.83</v>
      </c>
      <c r="F112" s="10"/>
      <c r="G112" s="10">
        <v>685542.12</v>
      </c>
      <c r="H112" s="12">
        <f t="shared" si="30"/>
        <v>4669162.71</v>
      </c>
      <c r="I112" s="10">
        <v>371038475.14999998</v>
      </c>
      <c r="J112" s="13">
        <f t="shared" si="31"/>
        <v>1.550301061780137E-3</v>
      </c>
      <c r="K112" s="10">
        <v>455717716.13</v>
      </c>
      <c r="L112" s="13">
        <f t="shared" si="38"/>
        <v>1.892787705286643E-3</v>
      </c>
      <c r="M112" s="13">
        <f t="shared" si="39"/>
        <v>0.22822226440470003</v>
      </c>
      <c r="N112" s="20">
        <f t="shared" si="40"/>
        <v>1.5043130774499874E-3</v>
      </c>
      <c r="O112" s="21">
        <f t="shared" si="41"/>
        <v>1.0245734463981327E-2</v>
      </c>
      <c r="P112" s="24">
        <f t="shared" si="42"/>
        <v>1.385560390925364</v>
      </c>
      <c r="Q112" s="24">
        <f t="shared" si="43"/>
        <v>1.4196083849231442E-2</v>
      </c>
      <c r="R112" s="10">
        <v>1.3713</v>
      </c>
      <c r="S112" s="10">
        <v>1.3713</v>
      </c>
      <c r="T112" s="17">
        <v>101</v>
      </c>
      <c r="U112" s="10">
        <v>270572033.5</v>
      </c>
      <c r="V112" s="10">
        <v>328904982.5</v>
      </c>
    </row>
    <row r="113" spans="1:23">
      <c r="A113" s="94">
        <v>103</v>
      </c>
      <c r="B113" s="79" t="s">
        <v>129</v>
      </c>
      <c r="C113" s="79" t="s">
        <v>94</v>
      </c>
      <c r="D113" s="10">
        <v>2034789835.1800001</v>
      </c>
      <c r="E113" s="10">
        <v>13399497.17</v>
      </c>
      <c r="F113" s="10">
        <v>0</v>
      </c>
      <c r="G113" s="10">
        <v>3562739.42</v>
      </c>
      <c r="H113" s="12">
        <f t="shared" si="30"/>
        <v>9836757.75</v>
      </c>
      <c r="I113" s="10">
        <v>1993113894.03</v>
      </c>
      <c r="J113" s="13">
        <f t="shared" si="31"/>
        <v>8.3277794436662812E-3</v>
      </c>
      <c r="K113" s="10">
        <v>2067803134.8499999</v>
      </c>
      <c r="L113" s="13">
        <f t="shared" si="38"/>
        <v>8.5884577493159364E-3</v>
      </c>
      <c r="M113" s="13">
        <f t="shared" si="39"/>
        <v>3.7473644152357571E-2</v>
      </c>
      <c r="N113" s="20">
        <f t="shared" si="40"/>
        <v>1.722958709151219E-3</v>
      </c>
      <c r="O113" s="21">
        <f t="shared" si="41"/>
        <v>4.7571055407620161E-3</v>
      </c>
      <c r="P113" s="24">
        <f t="shared" si="42"/>
        <v>31.53980941295994</v>
      </c>
      <c r="Q113" s="24">
        <f t="shared" si="43"/>
        <v>0.1500382021129697</v>
      </c>
      <c r="R113" s="10">
        <v>31.514800000000001</v>
      </c>
      <c r="S113" s="10">
        <v>31.514800000000001</v>
      </c>
      <c r="T113" s="16">
        <v>1296</v>
      </c>
      <c r="U113" s="10">
        <v>65759694.969999999</v>
      </c>
      <c r="V113" s="10">
        <v>65561687.700000003</v>
      </c>
    </row>
    <row r="114" spans="1:23">
      <c r="A114" s="105" t="s">
        <v>51</v>
      </c>
      <c r="B114" s="105"/>
      <c r="C114" s="105"/>
      <c r="D114" s="105"/>
      <c r="E114" s="105"/>
      <c r="F114" s="105"/>
      <c r="G114" s="105"/>
      <c r="H114" s="105"/>
      <c r="I114" s="36">
        <f>SUM(I75:I113)</f>
        <v>239333174889.23999</v>
      </c>
      <c r="J114" s="34">
        <f>(I114/$I$240)</f>
        <v>3.0684526892081579E-2</v>
      </c>
      <c r="K114" s="36">
        <f>SUM(K75:K113)</f>
        <v>240765361512.63</v>
      </c>
      <c r="L114" s="34">
        <f>(K114/$K$240)</f>
        <v>2.961459584265232E-2</v>
      </c>
      <c r="M114" s="34">
        <f t="shared" si="33"/>
        <v>5.9840706331364653E-3</v>
      </c>
      <c r="N114" s="20"/>
      <c r="O114" s="20"/>
      <c r="P114" s="37"/>
      <c r="Q114" s="37"/>
      <c r="R114" s="36"/>
      <c r="S114" s="36"/>
      <c r="T114" s="36">
        <f>SUM(T75:T113)</f>
        <v>54315</v>
      </c>
      <c r="U114" s="36"/>
      <c r="V114" s="10"/>
    </row>
    <row r="115" spans="1:23" ht="7.05" customHeight="1">
      <c r="A115" s="121"/>
      <c r="B115" s="121"/>
      <c r="C115" s="121"/>
      <c r="D115" s="121"/>
      <c r="E115" s="121"/>
      <c r="F115" s="121"/>
      <c r="G115" s="121"/>
      <c r="H115" s="121"/>
      <c r="I115" s="121"/>
      <c r="J115" s="121"/>
      <c r="K115" s="121"/>
      <c r="L115" s="121"/>
      <c r="M115" s="121"/>
      <c r="N115" s="121"/>
      <c r="O115" s="121"/>
      <c r="P115" s="121"/>
      <c r="Q115" s="121"/>
      <c r="R115" s="121"/>
      <c r="S115" s="121"/>
      <c r="T115" s="121"/>
      <c r="U115" s="121"/>
      <c r="V115" s="121"/>
      <c r="W115" s="5"/>
    </row>
    <row r="116" spans="1:23">
      <c r="A116" s="104" t="s">
        <v>316</v>
      </c>
      <c r="B116" s="104"/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104"/>
      <c r="O116" s="104"/>
      <c r="P116" s="104"/>
      <c r="Q116" s="104"/>
      <c r="R116" s="104"/>
      <c r="S116" s="104"/>
      <c r="T116" s="104"/>
      <c r="U116" s="104"/>
      <c r="V116" s="104"/>
    </row>
    <row r="117" spans="1:23">
      <c r="A117" s="115" t="s">
        <v>130</v>
      </c>
      <c r="B117" s="115"/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</row>
    <row r="118" spans="1:23">
      <c r="A118" s="85">
        <v>104</v>
      </c>
      <c r="B118" s="19" t="s">
        <v>131</v>
      </c>
      <c r="C118" s="19" t="s">
        <v>22</v>
      </c>
      <c r="D118" s="17">
        <v>3413482794.7600002</v>
      </c>
      <c r="E118" s="17">
        <v>22283575.77</v>
      </c>
      <c r="F118" s="17">
        <v>649282.76</v>
      </c>
      <c r="G118" s="17">
        <v>6487394.2800000003</v>
      </c>
      <c r="H118" s="12">
        <f t="shared" ref="H118:H134" si="46">(E118+F118)-G118</f>
        <v>16445464.25</v>
      </c>
      <c r="I118" s="29">
        <v>3508647174.6700001</v>
      </c>
      <c r="J118" s="13">
        <f t="shared" ref="J118:J134" si="47">(I118/$I$156)</f>
        <v>1.790954796168991E-3</v>
      </c>
      <c r="K118" s="29">
        <v>3386151738.4099998</v>
      </c>
      <c r="L118" s="13">
        <f t="shared" ref="L118" si="48">(K118/$K$156)</f>
        <v>1.8050264022724763E-3</v>
      </c>
      <c r="M118" s="13">
        <f t="shared" ref="M118" si="49">((K118-I118)/I118)</f>
        <v>-3.4912440653575072E-2</v>
      </c>
      <c r="N118" s="20">
        <f t="shared" ref="N118" si="50">(G118/K118)</f>
        <v>1.9158604755988339E-3</v>
      </c>
      <c r="O118" s="21">
        <f t="shared" ref="O118" si="51">H118/K118</f>
        <v>4.8566826062325626E-3</v>
      </c>
      <c r="P118" s="24">
        <f t="shared" ref="P118" si="52">K118/V118</f>
        <v>159264.45031581016</v>
      </c>
      <c r="Q118" s="24">
        <f t="shared" ref="Q118" si="53">H118/V118</f>
        <v>773.49688563998541</v>
      </c>
      <c r="R118" s="10">
        <f>114.905*FX_RATE</f>
        <v>159321.89544600001</v>
      </c>
      <c r="S118" s="10">
        <f>114.905*FX_RATE</f>
        <v>159321.89544600001</v>
      </c>
      <c r="T118" s="10">
        <v>192</v>
      </c>
      <c r="U118" s="10">
        <v>21252.03</v>
      </c>
      <c r="V118" s="10">
        <v>21261.19</v>
      </c>
    </row>
    <row r="119" spans="1:23">
      <c r="A119" s="85">
        <v>105</v>
      </c>
      <c r="B119" s="74" t="s">
        <v>229</v>
      </c>
      <c r="C119" s="75" t="s">
        <v>55</v>
      </c>
      <c r="D119" s="17">
        <f>4300381.01*C242</f>
        <v>5962707050.6347322</v>
      </c>
      <c r="E119" s="17">
        <f>55459.12*FX_RATE</f>
        <v>76897020.305184007</v>
      </c>
      <c r="F119" s="17">
        <v>0</v>
      </c>
      <c r="G119" s="17">
        <f>7379.74*C242</f>
        <v>10232402.112168001</v>
      </c>
      <c r="H119" s="12">
        <f t="shared" si="46"/>
        <v>66664618.193016008</v>
      </c>
      <c r="I119" s="29">
        <v>6583842345.1485386</v>
      </c>
      <c r="J119" s="13">
        <f t="shared" si="47"/>
        <v>3.3606582361400557E-3</v>
      </c>
      <c r="K119" s="29">
        <f>4455881.01*FX_RATE</f>
        <v>6178316073.2347317</v>
      </c>
      <c r="L119" s="13">
        <f t="shared" ref="L119:L134" si="54">(K119/$K$156)</f>
        <v>3.2934211149703648E-3</v>
      </c>
      <c r="M119" s="13">
        <f t="shared" ref="M119:M134" si="55">((K119-I119)/I119)</f>
        <v>-6.1594165026237095E-2</v>
      </c>
      <c r="N119" s="20">
        <f t="shared" ref="N119:N134" si="56">(G119/K119)</f>
        <v>1.6561797730770197E-3</v>
      </c>
      <c r="O119" s="21">
        <f t="shared" ref="O119:O134" si="57">H119/K119</f>
        <v>1.0790095133173227E-2</v>
      </c>
      <c r="P119" s="24">
        <f t="shared" ref="P119:P134" si="58">K119/V119</f>
        <v>140675.18066739041</v>
      </c>
      <c r="Q119" s="24">
        <f t="shared" ref="Q119:Q134" si="59">H119/V119</f>
        <v>1517.8985822774737</v>
      </c>
      <c r="R119" s="10">
        <f>100*C242</f>
        <v>138655.32</v>
      </c>
      <c r="S119" s="10">
        <f>100*C242</f>
        <v>138655.32</v>
      </c>
      <c r="T119" s="10">
        <v>102</v>
      </c>
      <c r="U119" s="10">
        <v>41818</v>
      </c>
      <c r="V119" s="10">
        <v>43919.02</v>
      </c>
    </row>
    <row r="120" spans="1:23" ht="13.05" customHeight="1">
      <c r="A120" s="85">
        <v>106</v>
      </c>
      <c r="B120" s="19" t="s">
        <v>132</v>
      </c>
      <c r="C120" s="79" t="s">
        <v>26</v>
      </c>
      <c r="D120" s="17">
        <f>7856495*FX_RATE</f>
        <v>10893448283.034</v>
      </c>
      <c r="E120" s="17">
        <f>79168*FX_RATE</f>
        <v>109770643.7376</v>
      </c>
      <c r="F120" s="17">
        <f>3728*C242</f>
        <v>5169070.3295999998</v>
      </c>
      <c r="G120" s="17">
        <f>21484*FX_RATE</f>
        <v>29788708.948800001</v>
      </c>
      <c r="H120" s="12">
        <f t="shared" si="46"/>
        <v>85151005.118400007</v>
      </c>
      <c r="I120" s="29">
        <v>17334092167.022701</v>
      </c>
      <c r="J120" s="13">
        <f t="shared" si="47"/>
        <v>8.8480186118128253E-3</v>
      </c>
      <c r="K120" s="29">
        <f>12276823*FX_RATE</f>
        <v>17022468216.483601</v>
      </c>
      <c r="L120" s="13">
        <f t="shared" si="54"/>
        <v>9.0740188084496957E-3</v>
      </c>
      <c r="M120" s="13">
        <f t="shared" si="55"/>
        <v>-1.7977517803438856E-2</v>
      </c>
      <c r="N120" s="20">
        <f t="shared" si="56"/>
        <v>1.7499641397452745E-3</v>
      </c>
      <c r="O120" s="21">
        <f t="shared" si="57"/>
        <v>5.0022713531016946E-3</v>
      </c>
      <c r="P120" s="24">
        <f t="shared" si="58"/>
        <v>1682.5384080061797</v>
      </c>
      <c r="Q120" s="24">
        <f t="shared" si="59"/>
        <v>8.4165136788626427</v>
      </c>
      <c r="R120" s="10">
        <f>1.2135*FX_RATE</f>
        <v>1682.5823082000002</v>
      </c>
      <c r="S120" s="10">
        <f>1.2135*FX_RATE</f>
        <v>1682.5823082000002</v>
      </c>
      <c r="T120" s="10">
        <v>324</v>
      </c>
      <c r="U120" s="10">
        <v>10000161</v>
      </c>
      <c r="V120" s="10">
        <v>10117135</v>
      </c>
    </row>
    <row r="121" spans="1:23" ht="13.05" customHeight="1">
      <c r="A121" s="85">
        <v>107</v>
      </c>
      <c r="B121" s="19" t="s">
        <v>269</v>
      </c>
      <c r="C121" s="79" t="s">
        <v>26</v>
      </c>
      <c r="D121" s="17">
        <f>1996620*FX_RATE</f>
        <v>2768419850.184</v>
      </c>
      <c r="E121" s="17">
        <f>19051*FX_RATE</f>
        <v>26415225.0132</v>
      </c>
      <c r="F121" s="17">
        <f>735*FX_RATE</f>
        <v>1019116.6020000001</v>
      </c>
      <c r="G121" s="17">
        <f>9020*FX_RATE</f>
        <v>12506709.864</v>
      </c>
      <c r="H121" s="12">
        <f t="shared" si="46"/>
        <v>14927631.751200002</v>
      </c>
      <c r="I121" s="29">
        <v>4177023723.1593003</v>
      </c>
      <c r="J121" s="13">
        <f t="shared" si="47"/>
        <v>2.1321210991833068E-3</v>
      </c>
      <c r="K121" s="29">
        <f>3094965*FX_RATE</f>
        <v>4291333624.638</v>
      </c>
      <c r="L121" s="13">
        <f t="shared" si="54"/>
        <v>2.287543823144922E-3</v>
      </c>
      <c r="M121" s="13">
        <f t="shared" si="55"/>
        <v>2.7366351990033986E-2</v>
      </c>
      <c r="N121" s="20">
        <f t="shared" si="56"/>
        <v>2.9144109868770728E-3</v>
      </c>
      <c r="O121" s="21">
        <f t="shared" si="57"/>
        <v>3.4785530692592651E-3</v>
      </c>
      <c r="P121" s="24">
        <f t="shared" si="58"/>
        <v>1453.4187314337737</v>
      </c>
      <c r="Q121" s="24">
        <f t="shared" si="59"/>
        <v>5.0557941891478606</v>
      </c>
      <c r="R121" s="10">
        <f>1.0482*FX_RATE</f>
        <v>1453.38506424</v>
      </c>
      <c r="S121" s="10">
        <f>1.0482*FX_RATE</f>
        <v>1453.38506424</v>
      </c>
      <c r="T121" s="10">
        <v>107</v>
      </c>
      <c r="U121" s="10">
        <v>2785606</v>
      </c>
      <c r="V121" s="10">
        <v>2952579</v>
      </c>
    </row>
    <row r="122" spans="1:23" ht="13.05" customHeight="1">
      <c r="A122" s="85">
        <v>108</v>
      </c>
      <c r="B122" s="75" t="s">
        <v>234</v>
      </c>
      <c r="C122" s="75" t="s">
        <v>103</v>
      </c>
      <c r="D122" s="17">
        <f>35960648.62*FX_RATE</f>
        <v>49861352418.136581</v>
      </c>
      <c r="E122" s="17">
        <f>137434.58*FX_RATE</f>
        <v>190560356.68965599</v>
      </c>
      <c r="F122" s="17">
        <f>3515987.4*FX_RATE</f>
        <v>4875103580.6296797</v>
      </c>
      <c r="G122" s="17">
        <f>43474.05*FX_RATE</f>
        <v>60279083.144460008</v>
      </c>
      <c r="H122" s="12">
        <f t="shared" si="46"/>
        <v>5005384854.1748762</v>
      </c>
      <c r="I122" s="29">
        <v>48959668497.192657</v>
      </c>
      <c r="J122" s="13">
        <f t="shared" si="47"/>
        <v>2.4990986197447475E-2</v>
      </c>
      <c r="K122" s="29">
        <f>35898966.91*FX_RATE</f>
        <v>49775827445.754608</v>
      </c>
      <c r="L122" s="13">
        <f t="shared" si="54"/>
        <v>2.6533566619413931E-2</v>
      </c>
      <c r="M122" s="13">
        <f t="shared" si="55"/>
        <v>1.6670026035996325E-2</v>
      </c>
      <c r="N122" s="20">
        <f t="shared" si="56"/>
        <v>1.2110111722432296E-3</v>
      </c>
      <c r="O122" s="21">
        <f t="shared" si="57"/>
        <v>0.10055854640748492</v>
      </c>
      <c r="P122" s="24">
        <f t="shared" si="58"/>
        <v>1732.7336528618821</v>
      </c>
      <c r="Q122" s="24">
        <f t="shared" si="59"/>
        <v>174.24117744312244</v>
      </c>
      <c r="R122" s="10">
        <f>1.2497*FX_RATE</f>
        <v>1732.7755340400001</v>
      </c>
      <c r="S122" s="10">
        <f>1.2497*FX_RATE</f>
        <v>1732.7755340400001</v>
      </c>
      <c r="T122" s="10">
        <v>652</v>
      </c>
      <c r="U122" s="10">
        <v>27335400.969999999</v>
      </c>
      <c r="V122" s="10">
        <v>28726762.109999999</v>
      </c>
    </row>
    <row r="123" spans="1:23" ht="13.05" customHeight="1">
      <c r="A123" s="85">
        <v>109</v>
      </c>
      <c r="B123" s="74" t="s">
        <v>235</v>
      </c>
      <c r="C123" s="75" t="s">
        <v>213</v>
      </c>
      <c r="D123" s="17">
        <f>1088197.77*FX_RATE</f>
        <v>1508844100.2263641</v>
      </c>
      <c r="E123" s="17">
        <f>21471.33*FX_RATE</f>
        <v>29771141.319756005</v>
      </c>
      <c r="F123" s="17">
        <v>0</v>
      </c>
      <c r="G123" s="17">
        <f>1891.06*FX_RATE</f>
        <v>2622055.294392</v>
      </c>
      <c r="H123" s="12">
        <f t="shared" si="46"/>
        <v>27149086.025364004</v>
      </c>
      <c r="I123" s="29">
        <v>1451478080.299731</v>
      </c>
      <c r="J123" s="13">
        <f t="shared" si="47"/>
        <v>7.4089285700020772E-4</v>
      </c>
      <c r="K123" s="29">
        <f>1081551.46*FX_RATE</f>
        <v>1499628637.827672</v>
      </c>
      <c r="L123" s="13">
        <f t="shared" si="54"/>
        <v>7.9939397109058492E-4</v>
      </c>
      <c r="M123" s="13">
        <f t="shared" si="55"/>
        <v>3.3173465160423139E-2</v>
      </c>
      <c r="N123" s="20">
        <f t="shared" si="56"/>
        <v>1.7484697399419164E-3</v>
      </c>
      <c r="O123" s="21">
        <f t="shared" si="57"/>
        <v>1.8103872745916318E-2</v>
      </c>
      <c r="P123" s="24">
        <f t="shared" si="58"/>
        <v>1505.9990136554345</v>
      </c>
      <c r="Q123" s="24">
        <f t="shared" si="59"/>
        <v>27.264414498693476</v>
      </c>
      <c r="R123" s="10">
        <f>1.0861*FX_RATE</f>
        <v>1505.9354305200002</v>
      </c>
      <c r="S123" s="10">
        <f>1.0922*C242</f>
        <v>1514.3934050400001</v>
      </c>
      <c r="T123" s="10">
        <v>68</v>
      </c>
      <c r="U123" s="10">
        <v>888251.81</v>
      </c>
      <c r="V123" s="10">
        <v>995770</v>
      </c>
    </row>
    <row r="124" spans="1:23" ht="13.05" customHeight="1">
      <c r="A124" s="85">
        <v>110</v>
      </c>
      <c r="B124" s="74" t="s">
        <v>236</v>
      </c>
      <c r="C124" s="75" t="s">
        <v>48</v>
      </c>
      <c r="D124" s="17">
        <f>547511.09*FX_RATE</f>
        <v>759153253.87498796</v>
      </c>
      <c r="E124" s="17">
        <f>3737.43*FX_RATE</f>
        <v>5182145.5262759998</v>
      </c>
      <c r="F124" s="17">
        <v>0</v>
      </c>
      <c r="G124" s="17">
        <f>1166.48*FX_RATE</f>
        <v>1617386.5767360001</v>
      </c>
      <c r="H124" s="12">
        <f t="shared" si="46"/>
        <v>3564758.9495399995</v>
      </c>
      <c r="I124" s="29">
        <v>782135198.56223404</v>
      </c>
      <c r="J124" s="13">
        <f t="shared" si="47"/>
        <v>3.9923329858590473E-4</v>
      </c>
      <c r="K124" s="29">
        <f>566272.47*FX_RATE</f>
        <v>785166905.35040402</v>
      </c>
      <c r="L124" s="13">
        <f t="shared" si="54"/>
        <v>4.185420807555233E-4</v>
      </c>
      <c r="M124" s="13">
        <f t="shared" si="55"/>
        <v>3.8761927525356715E-3</v>
      </c>
      <c r="N124" s="20">
        <f t="shared" si="56"/>
        <v>2.0599270877498248E-3</v>
      </c>
      <c r="O124" s="21">
        <f t="shared" si="57"/>
        <v>4.5401288888368523E-3</v>
      </c>
      <c r="P124" s="24">
        <f t="shared" si="58"/>
        <v>1931.6617211477212</v>
      </c>
      <c r="Q124" s="24">
        <f t="shared" si="59"/>
        <v>8.7699931836430842</v>
      </c>
      <c r="R124" s="10">
        <f>1.39*FX_RATE</f>
        <v>1927.3089479999999</v>
      </c>
      <c r="S124" s="10">
        <f>1.39*FX_RATE</f>
        <v>1927.3089479999999</v>
      </c>
      <c r="T124" s="10">
        <v>63</v>
      </c>
      <c r="U124" s="10">
        <v>396972.94</v>
      </c>
      <c r="V124" s="10">
        <v>406472.26</v>
      </c>
    </row>
    <row r="125" spans="1:23" ht="13.05" customHeight="1">
      <c r="A125" s="85">
        <v>111</v>
      </c>
      <c r="B125" s="74" t="s">
        <v>237</v>
      </c>
      <c r="C125" s="75" t="s">
        <v>167</v>
      </c>
      <c r="D125" s="17">
        <f>500970.02*FX_RATE</f>
        <v>694621584.33506405</v>
      </c>
      <c r="E125" s="17">
        <f>7147.16*FX_RATE</f>
        <v>9909917.5689119995</v>
      </c>
      <c r="F125" s="17">
        <v>0</v>
      </c>
      <c r="G125" s="17">
        <f>2301.77*FX_RATE</f>
        <v>3191526.5591640002</v>
      </c>
      <c r="H125" s="12">
        <f t="shared" si="46"/>
        <v>6718391.0097479988</v>
      </c>
      <c r="I125" s="29">
        <v>2018429054.2813261</v>
      </c>
      <c r="J125" s="13">
        <f t="shared" si="47"/>
        <v>1.0302874628116394E-3</v>
      </c>
      <c r="K125" s="29">
        <f>1376677.51*FX_RATE</f>
        <v>1908836606.8585322</v>
      </c>
      <c r="L125" s="13">
        <f t="shared" si="54"/>
        <v>1.0175268975458629E-3</v>
      </c>
      <c r="M125" s="13">
        <f t="shared" si="55"/>
        <v>-5.4295912551563484E-2</v>
      </c>
      <c r="N125" s="20">
        <f t="shared" si="56"/>
        <v>1.6719747241312891E-3</v>
      </c>
      <c r="O125" s="21">
        <f t="shared" si="57"/>
        <v>3.5196260306453314E-3</v>
      </c>
      <c r="P125" s="24">
        <f t="shared" si="58"/>
        <v>147994.77491537697</v>
      </c>
      <c r="Q125" s="24">
        <f t="shared" si="59"/>
        <v>520.88626219165758</v>
      </c>
      <c r="R125" s="10">
        <f>109.54*FX_RATE</f>
        <v>151883.03752800002</v>
      </c>
      <c r="S125" s="10">
        <f>110.22*FX_RATE</f>
        <v>152825.89370400002</v>
      </c>
      <c r="T125" s="10">
        <v>113</v>
      </c>
      <c r="U125" s="10">
        <v>12968</v>
      </c>
      <c r="V125" s="10">
        <v>12898</v>
      </c>
    </row>
    <row r="126" spans="1:23" ht="15" customHeight="1">
      <c r="A126" s="85">
        <v>112</v>
      </c>
      <c r="B126" s="19" t="s">
        <v>133</v>
      </c>
      <c r="C126" s="79" t="s">
        <v>69</v>
      </c>
      <c r="D126" s="17">
        <f>3480575.65*FX_RATE</f>
        <v>4826003305.3495798</v>
      </c>
      <c r="E126" s="17">
        <f>24477.49*FX_RATE</f>
        <v>33939342.087468006</v>
      </c>
      <c r="F126" s="17">
        <v>0</v>
      </c>
      <c r="G126" s="17">
        <f>5842*FX_RATE</f>
        <v>8100243.7944</v>
      </c>
      <c r="H126" s="12">
        <f t="shared" si="46"/>
        <v>25839098.293068007</v>
      </c>
      <c r="I126" s="29">
        <v>4990208016.1057234</v>
      </c>
      <c r="J126" s="13">
        <f t="shared" si="47"/>
        <v>2.5472031057571548E-3</v>
      </c>
      <c r="K126" s="29">
        <f>3496565*FX_RATE</f>
        <v>4848173389.7580004</v>
      </c>
      <c r="L126" s="13">
        <f t="shared" si="54"/>
        <v>2.5843735447653605E-3</v>
      </c>
      <c r="M126" s="13">
        <f t="shared" si="55"/>
        <v>-2.8462666463865069E-2</v>
      </c>
      <c r="N126" s="20">
        <f t="shared" si="56"/>
        <v>1.6707826109338736E-3</v>
      </c>
      <c r="O126" s="21">
        <f t="shared" si="57"/>
        <v>5.3296563913440773E-3</v>
      </c>
      <c r="P126" s="24">
        <f t="shared" si="58"/>
        <v>161935.04758869702</v>
      </c>
      <c r="Q126" s="24">
        <f t="shared" si="59"/>
        <v>863.0581613637064</v>
      </c>
      <c r="R126" s="10">
        <f>117.56*FX_RATE</f>
        <v>163003.19419200002</v>
      </c>
      <c r="S126" s="10">
        <f>117.56*FX_RATE</f>
        <v>163003.19419200002</v>
      </c>
      <c r="T126" s="10">
        <v>63</v>
      </c>
      <c r="U126" s="10">
        <v>29922</v>
      </c>
      <c r="V126" s="10">
        <v>29939</v>
      </c>
    </row>
    <row r="127" spans="1:23" ht="15" customHeight="1">
      <c r="A127" s="85">
        <v>113</v>
      </c>
      <c r="B127" s="19" t="s">
        <v>315</v>
      </c>
      <c r="C127" s="19" t="s">
        <v>134</v>
      </c>
      <c r="D127" s="17">
        <v>53171170148.339996</v>
      </c>
      <c r="E127" s="17">
        <v>523968525.26999998</v>
      </c>
      <c r="F127" s="17">
        <v>0</v>
      </c>
      <c r="G127" s="17">
        <v>86714390.909999996</v>
      </c>
      <c r="H127" s="12">
        <f t="shared" si="46"/>
        <v>437254134.36000001</v>
      </c>
      <c r="I127" s="29">
        <v>57839014046.150002</v>
      </c>
      <c r="J127" s="13">
        <f t="shared" si="47"/>
        <v>2.9523361698909123E-2</v>
      </c>
      <c r="K127" s="29">
        <v>52528279490.459999</v>
      </c>
      <c r="L127" s="13">
        <f t="shared" si="54"/>
        <v>2.8000792247647288E-2</v>
      </c>
      <c r="M127" s="13">
        <f t="shared" si="55"/>
        <v>-9.1819244212090895E-2</v>
      </c>
      <c r="N127" s="20">
        <f t="shared" si="56"/>
        <v>1.6508134618372331E-3</v>
      </c>
      <c r="O127" s="21">
        <f t="shared" si="57"/>
        <v>8.3241663081581145E-3</v>
      </c>
      <c r="P127" s="24">
        <f t="shared" si="58"/>
        <v>177685.03117948433</v>
      </c>
      <c r="Q127" s="24">
        <f t="shared" si="59"/>
        <v>1479.0797500082876</v>
      </c>
      <c r="R127" s="10">
        <f>128.66*C242</f>
        <v>178393.93471200002</v>
      </c>
      <c r="S127" s="10">
        <f>128.16*C242</f>
        <v>177700.658112</v>
      </c>
      <c r="T127" s="10">
        <v>2876</v>
      </c>
      <c r="U127" s="10">
        <v>312864.26</v>
      </c>
      <c r="V127" s="10">
        <v>295625.8</v>
      </c>
    </row>
    <row r="128" spans="1:23">
      <c r="A128" s="85">
        <v>114</v>
      </c>
      <c r="B128" s="19" t="s">
        <v>135</v>
      </c>
      <c r="C128" s="19" t="s">
        <v>134</v>
      </c>
      <c r="D128" s="17">
        <v>155860984583.39001</v>
      </c>
      <c r="E128" s="17">
        <v>1576934495.48</v>
      </c>
      <c r="F128" s="17">
        <v>0</v>
      </c>
      <c r="G128" s="17">
        <v>250449627.40000001</v>
      </c>
      <c r="H128" s="12">
        <f t="shared" si="46"/>
        <v>1326484868.0799999</v>
      </c>
      <c r="I128" s="29">
        <v>162681181327.67999</v>
      </c>
      <c r="J128" s="13">
        <f t="shared" si="47"/>
        <v>8.3039025425133736E-2</v>
      </c>
      <c r="K128" s="29">
        <v>153293650166.70999</v>
      </c>
      <c r="L128" s="13">
        <f t="shared" si="54"/>
        <v>8.1714910384246053E-2</v>
      </c>
      <c r="M128" s="13">
        <f t="shared" si="55"/>
        <v>-5.7705083552726362E-2</v>
      </c>
      <c r="N128" s="20">
        <f t="shared" si="56"/>
        <v>1.633789965387548E-3</v>
      </c>
      <c r="O128" s="21">
        <f t="shared" si="57"/>
        <v>8.6532277536442003E-3</v>
      </c>
      <c r="P128" s="24">
        <f t="shared" si="58"/>
        <v>173201.8892721684</v>
      </c>
      <c r="Q128" s="24">
        <f t="shared" si="59"/>
        <v>1498.7553952335372</v>
      </c>
      <c r="R128" s="10">
        <f>125.42*C242</f>
        <v>173901.50234400001</v>
      </c>
      <c r="S128" s="10">
        <f>125.44*C242</f>
        <v>173929.233408</v>
      </c>
      <c r="T128" s="10">
        <v>1178</v>
      </c>
      <c r="U128" s="10">
        <v>906179.75</v>
      </c>
      <c r="V128" s="10">
        <v>885057.61</v>
      </c>
    </row>
    <row r="129" spans="1:24">
      <c r="A129" s="85">
        <v>115</v>
      </c>
      <c r="B129" s="74" t="s">
        <v>271</v>
      </c>
      <c r="C129" s="75" t="s">
        <v>272</v>
      </c>
      <c r="D129" s="17">
        <f>1744000*FX_RATE</f>
        <v>2418148780.8000002</v>
      </c>
      <c r="E129" s="17">
        <f>12662.59  *FX_RATE</f>
        <v>17557354.684788</v>
      </c>
      <c r="F129" s="17">
        <v>0</v>
      </c>
      <c r="G129" s="17">
        <f>1995.91*FX_RATE</f>
        <v>2767435.3974120002</v>
      </c>
      <c r="H129" s="12">
        <f>(E129+F129)-G129</f>
        <v>14789919.287376</v>
      </c>
      <c r="I129" s="45">
        <v>2330842333.3044062</v>
      </c>
      <c r="J129" s="13">
        <f t="shared" si="47"/>
        <v>1.1897557799717686E-3</v>
      </c>
      <c r="K129" s="29">
        <f>1633184.58*FX_RATE</f>
        <v>2264497305.5896564</v>
      </c>
      <c r="L129" s="13">
        <f t="shared" si="54"/>
        <v>1.2071158472016757E-3</v>
      </c>
      <c r="M129" s="13">
        <f t="shared" si="55"/>
        <v>-2.8463970628460868E-2</v>
      </c>
      <c r="N129" s="20">
        <f t="shared" si="56"/>
        <v>1.2220970149007897E-3</v>
      </c>
      <c r="O129" s="21">
        <f t="shared" si="57"/>
        <v>6.5312152285934505E-3</v>
      </c>
      <c r="P129" s="24">
        <f t="shared" si="58"/>
        <v>143871.78563171549</v>
      </c>
      <c r="Q129" s="24">
        <f t="shared" si="59"/>
        <v>939.65759728279272</v>
      </c>
      <c r="R129" s="10">
        <f>1*FX_RATE</f>
        <v>1386.5532000000001</v>
      </c>
      <c r="S129" s="10">
        <f>1*FX_RATE</f>
        <v>1386.5532000000001</v>
      </c>
      <c r="T129" s="10">
        <v>16</v>
      </c>
      <c r="U129" s="10">
        <v>15181.49</v>
      </c>
      <c r="V129" s="10">
        <v>15739.69</v>
      </c>
    </row>
    <row r="130" spans="1:24" s="3" customFormat="1">
      <c r="A130" s="85">
        <v>116</v>
      </c>
      <c r="B130" s="74" t="s">
        <v>136</v>
      </c>
      <c r="C130" s="75" t="s">
        <v>137</v>
      </c>
      <c r="D130" s="17">
        <f>194023.42*FX_RATE</f>
        <v>269023793.87594402</v>
      </c>
      <c r="E130" s="17">
        <v>0</v>
      </c>
      <c r="F130" s="17">
        <v>0</v>
      </c>
      <c r="G130" s="17">
        <f>4551.53*FX_RATE</f>
        <v>6310938.4863959998</v>
      </c>
      <c r="H130" s="12">
        <f t="shared" si="46"/>
        <v>-6310938.4863959998</v>
      </c>
      <c r="I130" s="29">
        <v>260393588.22414601</v>
      </c>
      <c r="J130" s="13">
        <f t="shared" si="47"/>
        <v>1.3291537236586056E-4</v>
      </c>
      <c r="K130" s="29">
        <f>182906.62*FX_RATE</f>
        <v>253609759.26218399</v>
      </c>
      <c r="L130" s="13">
        <f t="shared" si="54"/>
        <v>1.3518954456458003E-4</v>
      </c>
      <c r="M130" s="13">
        <f t="shared" si="55"/>
        <v>-2.6052211992725855E-2</v>
      </c>
      <c r="N130" s="20">
        <f t="shared" si="56"/>
        <v>2.4884446500624199E-2</v>
      </c>
      <c r="O130" s="21">
        <f t="shared" si="57"/>
        <v>-2.4884446500624199E-2</v>
      </c>
      <c r="P130" s="24">
        <f t="shared" si="58"/>
        <v>189167.84215400176</v>
      </c>
      <c r="Q130" s="24">
        <f t="shared" si="59"/>
        <v>-4707.3370477197795</v>
      </c>
      <c r="R130" s="10">
        <f>136.4306*FX_RATE</f>
        <v>189168.28500792</v>
      </c>
      <c r="S130" s="10">
        <f>136.4306*FX_RATE</f>
        <v>189168.28500792</v>
      </c>
      <c r="T130" s="10">
        <v>10</v>
      </c>
      <c r="U130" s="10">
        <v>1340.66</v>
      </c>
      <c r="V130" s="10">
        <v>1340.66</v>
      </c>
      <c r="W130" s="6"/>
      <c r="X130" s="6"/>
    </row>
    <row r="131" spans="1:24">
      <c r="A131" s="85">
        <v>117</v>
      </c>
      <c r="B131" s="19" t="s">
        <v>138</v>
      </c>
      <c r="C131" s="19" t="s">
        <v>139</v>
      </c>
      <c r="D131" s="17">
        <f>10470307.19*FX_RATE</f>
        <v>14517637939.277508</v>
      </c>
      <c r="E131" s="17">
        <f>112442.84*FX_RATE</f>
        <v>155907979.61908799</v>
      </c>
      <c r="F131" s="17">
        <v>0</v>
      </c>
      <c r="G131" s="17">
        <f>17179.5*FX_RATE</f>
        <v>23820290.6994</v>
      </c>
      <c r="H131" s="12">
        <f t="shared" si="46"/>
        <v>132087688.91968799</v>
      </c>
      <c r="I131" s="29">
        <v>14613288686.288721</v>
      </c>
      <c r="J131" s="13">
        <f t="shared" si="47"/>
        <v>7.4592109601252163E-3</v>
      </c>
      <c r="K131" s="29">
        <f>10428861.35*FX_RATE</f>
        <v>14460171077.19882</v>
      </c>
      <c r="L131" s="13">
        <f t="shared" si="54"/>
        <v>7.7081573987516213E-3</v>
      </c>
      <c r="M131" s="13">
        <f t="shared" si="55"/>
        <v>-1.0477970590806664E-2</v>
      </c>
      <c r="N131" s="20">
        <f t="shared" si="56"/>
        <v>1.6473035189023776E-3</v>
      </c>
      <c r="O131" s="21">
        <f t="shared" si="57"/>
        <v>9.1345868741461392E-3</v>
      </c>
      <c r="P131" s="24">
        <f t="shared" si="58"/>
        <v>2066.0152762160906</v>
      </c>
      <c r="Q131" s="24">
        <f t="shared" si="59"/>
        <v>18.872196023908913</v>
      </c>
      <c r="R131" s="10">
        <f>1.49*FX_RATE</f>
        <v>2065.9642680000002</v>
      </c>
      <c r="S131" s="10">
        <f>1.49*FX_RATE</f>
        <v>2065.9642680000002</v>
      </c>
      <c r="T131" s="10">
        <v>117</v>
      </c>
      <c r="U131" s="10">
        <v>6868805</v>
      </c>
      <c r="V131" s="10">
        <v>6999063</v>
      </c>
    </row>
    <row r="132" spans="1:24">
      <c r="A132" s="85">
        <v>118</v>
      </c>
      <c r="B132" s="19" t="s">
        <v>140</v>
      </c>
      <c r="C132" s="19" t="s">
        <v>50</v>
      </c>
      <c r="D132" s="17">
        <f>100881340*FX_RATE</f>
        <v>139877344797.28799</v>
      </c>
      <c r="E132" s="17">
        <f>692705*FX_RATE</f>
        <v>960472334.40600002</v>
      </c>
      <c r="F132" s="17">
        <v>0</v>
      </c>
      <c r="G132" s="17">
        <f>160317*FX_RATE</f>
        <v>222288049.3644</v>
      </c>
      <c r="H132" s="12">
        <f t="shared" si="46"/>
        <v>738184285.04159999</v>
      </c>
      <c r="I132" s="29">
        <v>159935184403.91492</v>
      </c>
      <c r="J132" s="13">
        <f t="shared" si="47"/>
        <v>8.1637358025690845E-2</v>
      </c>
      <c r="K132" s="29">
        <f>110799405*FX_RATE</f>
        <v>153629269560.84601</v>
      </c>
      <c r="L132" s="13">
        <f t="shared" si="54"/>
        <v>8.1893816090289423E-2</v>
      </c>
      <c r="M132" s="13">
        <f t="shared" si="55"/>
        <v>-3.9427939928110972E-2</v>
      </c>
      <c r="N132" s="20">
        <f t="shared" si="56"/>
        <v>1.4469121021001871E-3</v>
      </c>
      <c r="O132" s="21">
        <f t="shared" si="57"/>
        <v>4.8049716512466832E-3</v>
      </c>
      <c r="P132" s="24">
        <f t="shared" si="58"/>
        <v>173820.03638148389</v>
      </c>
      <c r="Q132" s="24">
        <f t="shared" si="59"/>
        <v>835.20034723169715</v>
      </c>
      <c r="R132" s="10">
        <f>125.36*FX_RATE</f>
        <v>173818.309152</v>
      </c>
      <c r="S132" s="10">
        <f>125.36*FX_RATE</f>
        <v>173818.309152</v>
      </c>
      <c r="T132" s="10">
        <v>932</v>
      </c>
      <c r="U132" s="10">
        <v>892771</v>
      </c>
      <c r="V132" s="10">
        <v>883840.97</v>
      </c>
    </row>
    <row r="133" spans="1:24" ht="13.95" customHeight="1">
      <c r="A133" s="85">
        <v>119</v>
      </c>
      <c r="B133" s="19" t="s">
        <v>141</v>
      </c>
      <c r="C133" s="19" t="s">
        <v>142</v>
      </c>
      <c r="D133" s="17">
        <v>37330756206.360001</v>
      </c>
      <c r="E133" s="17">
        <v>394334519.41000003</v>
      </c>
      <c r="F133" s="17">
        <v>-145684281.78999999</v>
      </c>
      <c r="G133" s="17">
        <v>82817107.709999993</v>
      </c>
      <c r="H133" s="12">
        <f t="shared" si="46"/>
        <v>165833129.91000003</v>
      </c>
      <c r="I133" s="29">
        <v>39121447841.470001</v>
      </c>
      <c r="J133" s="13">
        <f t="shared" si="47"/>
        <v>1.9969162231692771E-2</v>
      </c>
      <c r="K133" s="29">
        <v>38789739570.779999</v>
      </c>
      <c r="L133" s="13">
        <f t="shared" si="54"/>
        <v>2.0677308482167506E-2</v>
      </c>
      <c r="M133" s="13">
        <f t="shared" si="55"/>
        <v>-8.478936465597291E-3</v>
      </c>
      <c r="N133" s="20">
        <f t="shared" si="56"/>
        <v>2.1350261338796269E-3</v>
      </c>
      <c r="O133" s="21">
        <f t="shared" si="57"/>
        <v>4.275180285946565E-3</v>
      </c>
      <c r="P133" s="24">
        <f t="shared" si="58"/>
        <v>144787.53740381025</v>
      </c>
      <c r="Q133" s="24">
        <f t="shared" si="59"/>
        <v>618.9928255595205</v>
      </c>
      <c r="R133" s="10">
        <v>144787.54</v>
      </c>
      <c r="S133" s="10">
        <v>144787.54</v>
      </c>
      <c r="T133" s="10">
        <v>852</v>
      </c>
      <c r="U133" s="10">
        <v>234348</v>
      </c>
      <c r="V133" s="10">
        <v>267908</v>
      </c>
    </row>
    <row r="134" spans="1:24">
      <c r="A134" s="85">
        <v>120</v>
      </c>
      <c r="B134" s="19" t="s">
        <v>143</v>
      </c>
      <c r="C134" s="19" t="s">
        <v>42</v>
      </c>
      <c r="D134" s="17">
        <f>1844314.55*FX_RATE</f>
        <v>2557240241.1090603</v>
      </c>
      <c r="E134" s="17">
        <f>41719.76*FX_RATE</f>
        <v>57846666.731232002</v>
      </c>
      <c r="F134" s="17">
        <v>0</v>
      </c>
      <c r="G134" s="17">
        <f>2718.41*FX_RATE</f>
        <v>3769220.0844120001</v>
      </c>
      <c r="H134" s="12">
        <f t="shared" si="46"/>
        <v>54077446.646820001</v>
      </c>
      <c r="I134" s="29">
        <v>2764652277.8768129</v>
      </c>
      <c r="J134" s="13">
        <f t="shared" si="47"/>
        <v>1.4111898433528578E-3</v>
      </c>
      <c r="K134" s="29">
        <f>1845577.11*FX_RATE</f>
        <v>2558990847.7172523</v>
      </c>
      <c r="L134" s="13">
        <f t="shared" si="54"/>
        <v>1.364098953661239E-3</v>
      </c>
      <c r="M134" s="13">
        <f t="shared" si="55"/>
        <v>-7.4389619195620413E-2</v>
      </c>
      <c r="N134" s="20">
        <f t="shared" si="56"/>
        <v>1.4729322255194201E-3</v>
      </c>
      <c r="O134" s="21">
        <f t="shared" si="57"/>
        <v>2.1132332964402662E-2</v>
      </c>
      <c r="P134" s="24">
        <f t="shared" si="58"/>
        <v>204490.56556884799</v>
      </c>
      <c r="Q134" s="24">
        <f t="shared" si="59"/>
        <v>4321.3627196799107</v>
      </c>
      <c r="R134" s="10">
        <f>167.14*FX_RATE</f>
        <v>231748.50184799999</v>
      </c>
      <c r="S134" s="10">
        <f>173.55*FX_RATE</f>
        <v>240636.30786000003</v>
      </c>
      <c r="T134" s="10">
        <v>49</v>
      </c>
      <c r="U134" s="10">
        <v>12540.88</v>
      </c>
      <c r="V134" s="10">
        <v>12513.98</v>
      </c>
    </row>
    <row r="135" spans="1:24" ht="5.55" customHeight="1">
      <c r="A135" s="107"/>
      <c r="B135" s="107"/>
      <c r="C135" s="107"/>
      <c r="D135" s="107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</row>
    <row r="136" spans="1:24">
      <c r="A136" s="115" t="s">
        <v>144</v>
      </c>
      <c r="B136" s="115"/>
      <c r="C136" s="115"/>
      <c r="D136" s="115"/>
      <c r="E136" s="115"/>
      <c r="F136" s="115"/>
      <c r="G136" s="115"/>
      <c r="H136" s="115"/>
      <c r="I136" s="115"/>
      <c r="J136" s="115"/>
      <c r="K136" s="115"/>
      <c r="L136" s="115"/>
      <c r="M136" s="115"/>
      <c r="N136" s="115"/>
      <c r="O136" s="115"/>
      <c r="P136" s="115"/>
      <c r="Q136" s="115"/>
      <c r="R136" s="115"/>
      <c r="S136" s="115"/>
      <c r="T136" s="115"/>
      <c r="U136" s="115"/>
      <c r="V136" s="115"/>
    </row>
    <row r="137" spans="1:24">
      <c r="A137" s="84">
        <v>121</v>
      </c>
      <c r="B137" s="25" t="s">
        <v>145</v>
      </c>
      <c r="C137" s="10" t="s">
        <v>101</v>
      </c>
      <c r="D137" s="43">
        <f>915507.5*FX_RATE</f>
        <v>1269399853.7490001</v>
      </c>
      <c r="E137" s="10">
        <f>6955.35*FX_RATE</f>
        <v>9643962.7996200006</v>
      </c>
      <c r="F137" s="10">
        <v>0</v>
      </c>
      <c r="G137" s="10">
        <f>1808.65*FX_RATE</f>
        <v>2507789.4451800003</v>
      </c>
      <c r="H137" s="12">
        <f>(E137+F137)-G137</f>
        <v>7136173.3544399999</v>
      </c>
      <c r="I137" s="10">
        <v>1515177755.610162</v>
      </c>
      <c r="J137" s="13">
        <f t="shared" ref="J137:J155" si="60">(I137/$I$156)</f>
        <v>7.7340773619217259E-4</v>
      </c>
      <c r="K137" s="10">
        <f>1072370.61*FX_RATE</f>
        <v>1486898900.8814523</v>
      </c>
      <c r="L137" s="13">
        <f t="shared" ref="L137" si="61">(K137/$K$156)</f>
        <v>7.9260824113605566E-4</v>
      </c>
      <c r="M137" s="13">
        <f t="shared" ref="M137:M156" si="62">((K137-I137)/I137)</f>
        <v>-1.8663720889514911E-2</v>
      </c>
      <c r="N137" s="20">
        <f t="shared" ref="N137" si="63">(G137/K137)</f>
        <v>1.686590422316777E-3</v>
      </c>
      <c r="O137" s="21">
        <f t="shared" ref="O137" si="64">H137/K137</f>
        <v>4.799366890519313E-3</v>
      </c>
      <c r="P137" s="22">
        <f t="shared" ref="P137" si="65">K137/V137</f>
        <v>167123.62604040152</v>
      </c>
      <c r="Q137" s="22">
        <f t="shared" ref="Q137" si="66">H137/V137</f>
        <v>802.0875974418343</v>
      </c>
      <c r="R137" s="10">
        <f>120.53*FX_RATE</f>
        <v>167121.25719600002</v>
      </c>
      <c r="S137" s="10">
        <f>120.53*FX_RATE</f>
        <v>167121.25719600002</v>
      </c>
      <c r="T137" s="10">
        <v>27</v>
      </c>
      <c r="U137" s="17">
        <v>8896</v>
      </c>
      <c r="V137" s="17">
        <v>8897</v>
      </c>
    </row>
    <row r="138" spans="1:24">
      <c r="A138" s="84">
        <v>122</v>
      </c>
      <c r="B138" s="25" t="s">
        <v>146</v>
      </c>
      <c r="C138" s="10" t="s">
        <v>28</v>
      </c>
      <c r="D138" s="43">
        <f>9172870.13*FX_RATE</f>
        <v>12718672431.935917</v>
      </c>
      <c r="E138" s="10">
        <f>98145.18*FX_RATE</f>
        <v>136083513.393576</v>
      </c>
      <c r="F138" s="10">
        <v>0</v>
      </c>
      <c r="G138" s="10">
        <f>22289.07*FX_RATE</f>
        <v>30904981.333524</v>
      </c>
      <c r="H138" s="12">
        <f t="shared" ref="H138:H155" si="67">(E138+F138)-G138</f>
        <v>105178532.06005199</v>
      </c>
      <c r="I138" s="10">
        <v>26410758774.849224</v>
      </c>
      <c r="J138" s="13">
        <f t="shared" si="60"/>
        <v>1.3481114726996524E-2</v>
      </c>
      <c r="K138" s="10">
        <f>20361649.24*FX_RATE</f>
        <v>28232509910.999565</v>
      </c>
      <c r="L138" s="13">
        <f t="shared" ref="L138:L155" si="68">(K138/$K$156)</f>
        <v>1.5049658056878022E-2</v>
      </c>
      <c r="M138" s="13">
        <f t="shared" ref="M138:M155" si="69">((K138-I138)/I138)</f>
        <v>6.8977614451773403E-2</v>
      </c>
      <c r="N138" s="20">
        <f t="shared" ref="N138:N155" si="70">(G138/K138)</f>
        <v>1.0946593636537863E-3</v>
      </c>
      <c r="O138" s="21">
        <f t="shared" ref="O138:O155" si="71">H138/K138</f>
        <v>3.7254403661459009E-3</v>
      </c>
      <c r="P138" s="22">
        <f t="shared" ref="P138:P155" si="72">K138/V138</f>
        <v>188777.89390742633</v>
      </c>
      <c r="Q138" s="22">
        <f t="shared" ref="Q138:Q155" si="73">H138/V138</f>
        <v>703.2807861987344</v>
      </c>
      <c r="R138" s="10">
        <f>135.4683*FX_RATE</f>
        <v>187834.00486356</v>
      </c>
      <c r="S138" s="10">
        <f>136.8298*FX_RATE</f>
        <v>189721.79704536003</v>
      </c>
      <c r="T138" s="10">
        <v>658</v>
      </c>
      <c r="U138" s="17">
        <v>135912.51</v>
      </c>
      <c r="V138" s="17">
        <v>149554.10999999999</v>
      </c>
    </row>
    <row r="139" spans="1:24">
      <c r="A139" s="84">
        <v>123</v>
      </c>
      <c r="B139" s="25" t="s">
        <v>310</v>
      </c>
      <c r="C139" s="25" t="s">
        <v>307</v>
      </c>
      <c r="D139" s="43">
        <f>237545*FX_RATE</f>
        <v>329368779.89399999</v>
      </c>
      <c r="E139" s="10">
        <f xml:space="preserve"> 10777.71*FX_RATE</f>
        <v>14943868.289171999</v>
      </c>
      <c r="F139" s="10">
        <v>0</v>
      </c>
      <c r="G139" s="10">
        <f>1187.6*FX_RATE</f>
        <v>1646670.58032</v>
      </c>
      <c r="H139" s="12">
        <f t="shared" ref="H139" si="74">(E139+F139)-G139</f>
        <v>13297197.708851999</v>
      </c>
      <c r="I139" s="10">
        <v>393856686.66600597</v>
      </c>
      <c r="J139" s="13">
        <f t="shared" si="60"/>
        <v>2.0104031179882148E-4</v>
      </c>
      <c r="K139" s="10">
        <f>277409.92*FX_RATE</f>
        <v>384643612.28774399</v>
      </c>
      <c r="L139" s="13">
        <f t="shared" si="68"/>
        <v>2.0503861884548836E-4</v>
      </c>
      <c r="M139" s="13">
        <f t="shared" si="69"/>
        <v>-2.3391946081328698E-2</v>
      </c>
      <c r="N139" s="20">
        <f t="shared" si="70"/>
        <v>4.2810293157504965E-3</v>
      </c>
      <c r="O139" s="21">
        <f t="shared" si="71"/>
        <v>3.4570176870387333E-2</v>
      </c>
      <c r="P139" s="22">
        <f t="shared" si="72"/>
        <v>129075.037680451</v>
      </c>
      <c r="Q139" s="22">
        <f t="shared" si="73"/>
        <v>4462.1468821651006</v>
      </c>
      <c r="R139" s="10">
        <f>100*FX_RATE</f>
        <v>138655.32</v>
      </c>
      <c r="S139" s="10">
        <f>100*FX_RATE</f>
        <v>138655.32</v>
      </c>
      <c r="T139" s="10">
        <v>18</v>
      </c>
      <c r="U139" s="17">
        <v>2685</v>
      </c>
      <c r="V139" s="17">
        <v>2980</v>
      </c>
    </row>
    <row r="140" spans="1:24" ht="14.1" customHeight="1">
      <c r="A140" s="84">
        <v>124</v>
      </c>
      <c r="B140" s="25" t="s">
        <v>147</v>
      </c>
      <c r="C140" s="25" t="s">
        <v>62</v>
      </c>
      <c r="D140" s="43">
        <f>11848646.92*C242</f>
        <v>16428779302.596144</v>
      </c>
      <c r="E140" s="10">
        <f>85703.24*C242</f>
        <v>118832101.67236802</v>
      </c>
      <c r="F140" s="10">
        <v>0</v>
      </c>
      <c r="G140" s="10">
        <f>21618.67*C242</f>
        <v>29975436.068243999</v>
      </c>
      <c r="H140" s="12">
        <f t="shared" si="67"/>
        <v>88856665.604124025</v>
      </c>
      <c r="I140" s="10">
        <v>17570063512.618275</v>
      </c>
      <c r="J140" s="13">
        <f t="shared" si="60"/>
        <v>8.9684678881617914E-3</v>
      </c>
      <c r="K140" s="10">
        <f>12091259.26*C242</f>
        <v>16765174218.982632</v>
      </c>
      <c r="L140" s="13">
        <f t="shared" si="68"/>
        <v>8.9368653391094371E-3</v>
      </c>
      <c r="M140" s="13">
        <f t="shared" si="69"/>
        <v>-4.5810266596793832E-2</v>
      </c>
      <c r="N140" s="20">
        <f t="shared" si="70"/>
        <v>1.7879585190533744E-3</v>
      </c>
      <c r="O140" s="21">
        <f t="shared" si="71"/>
        <v>5.3000740966660919E-3</v>
      </c>
      <c r="P140" s="22">
        <f t="shared" si="72"/>
        <v>165621.22595956209</v>
      </c>
      <c r="Q140" s="22">
        <f t="shared" si="73"/>
        <v>877.80476956635675</v>
      </c>
      <c r="R140" s="10">
        <f>119.48*FX_RATE</f>
        <v>165665.37633600002</v>
      </c>
      <c r="S140" s="10">
        <f>119.48*FX_RATE</f>
        <v>165665.37633600002</v>
      </c>
      <c r="T140" s="10">
        <v>461</v>
      </c>
      <c r="U140" s="17">
        <v>102617</v>
      </c>
      <c r="V140" s="17">
        <v>101226</v>
      </c>
    </row>
    <row r="141" spans="1:24" ht="14.1" customHeight="1">
      <c r="A141" s="84">
        <v>125</v>
      </c>
      <c r="B141" s="25" t="s">
        <v>255</v>
      </c>
      <c r="C141" s="25" t="s">
        <v>64</v>
      </c>
      <c r="D141" s="43">
        <v>124188122.20999999</v>
      </c>
      <c r="E141" s="10">
        <v>9411849.0199999996</v>
      </c>
      <c r="F141" s="10">
        <v>0</v>
      </c>
      <c r="G141" s="10">
        <v>471606.41</v>
      </c>
      <c r="H141" s="12">
        <f t="shared" si="67"/>
        <v>8940242.6099999994</v>
      </c>
      <c r="I141" s="10">
        <v>214481987.22999999</v>
      </c>
      <c r="J141" s="13">
        <f t="shared" si="60"/>
        <v>1.0948024255461173E-4</v>
      </c>
      <c r="K141" s="10">
        <v>227984461.65000001</v>
      </c>
      <c r="L141" s="13">
        <f t="shared" si="68"/>
        <v>1.2152969045012705E-4</v>
      </c>
      <c r="M141" s="13">
        <f t="shared" si="69"/>
        <v>6.2953885286043273E-2</v>
      </c>
      <c r="N141" s="20">
        <f t="shared" si="70"/>
        <v>2.0685901424457886E-3</v>
      </c>
      <c r="O141" s="21">
        <f t="shared" si="71"/>
        <v>3.9214262872550462E-2</v>
      </c>
      <c r="P141" s="22">
        <f t="shared" si="72"/>
        <v>1451.3554715565231</v>
      </c>
      <c r="Q141" s="22">
        <f t="shared" si="73"/>
        <v>56.913834983131927</v>
      </c>
      <c r="R141" s="10">
        <f>1.047*FX_RATE</f>
        <v>1451.7212004</v>
      </c>
      <c r="S141" s="10">
        <f>1.047*FX_RATE</f>
        <v>1451.7212004</v>
      </c>
      <c r="T141" s="10">
        <v>5</v>
      </c>
      <c r="U141" s="17">
        <v>148618.54</v>
      </c>
      <c r="V141" s="17">
        <v>157083.82</v>
      </c>
    </row>
    <row r="142" spans="1:24" ht="15" customHeight="1">
      <c r="A142" s="84">
        <v>126</v>
      </c>
      <c r="B142" s="25" t="s">
        <v>148</v>
      </c>
      <c r="C142" s="10" t="s">
        <v>60</v>
      </c>
      <c r="D142" s="43">
        <f>7777961.86*FX_RATE</f>
        <v>10784557906.460953</v>
      </c>
      <c r="E142" s="10">
        <f>52532.28*FX_RATE</f>
        <v>72838800.937296003</v>
      </c>
      <c r="F142" s="10">
        <v>0</v>
      </c>
      <c r="G142" s="10">
        <f>9690.4*FX_RATE</f>
        <v>13436255.129280001</v>
      </c>
      <c r="H142" s="12">
        <f t="shared" si="67"/>
        <v>59402545.808016002</v>
      </c>
      <c r="I142" s="10">
        <v>10993198372.672895</v>
      </c>
      <c r="J142" s="13">
        <f t="shared" si="60"/>
        <v>5.6113710984996438E-3</v>
      </c>
      <c r="K142" s="10">
        <f>7810008.67*FX_RATE</f>
        <v>10828992513.416245</v>
      </c>
      <c r="L142" s="13">
        <f t="shared" si="68"/>
        <v>5.7725166816964936E-3</v>
      </c>
      <c r="M142" s="13">
        <f t="shared" si="69"/>
        <v>-1.4937041404150135E-2</v>
      </c>
      <c r="N142" s="20">
        <f t="shared" si="70"/>
        <v>1.2407668684444623E-3</v>
      </c>
      <c r="O142" s="21">
        <f t="shared" si="71"/>
        <v>5.4855099155734994E-3</v>
      </c>
      <c r="P142" s="22">
        <f t="shared" si="72"/>
        <v>1867.9256419593437</v>
      </c>
      <c r="Q142" s="22">
        <f t="shared" si="73"/>
        <v>10.246524630521975</v>
      </c>
      <c r="R142" s="10">
        <f>1.35*FX_RATE</f>
        <v>1871.8468200000002</v>
      </c>
      <c r="S142" s="10">
        <f>1.35*FX_RATE</f>
        <v>1871.8468200000002</v>
      </c>
      <c r="T142" s="10">
        <v>321</v>
      </c>
      <c r="U142" s="17">
        <v>5718254.4100000001</v>
      </c>
      <c r="V142" s="17">
        <v>5797335.9699999997</v>
      </c>
    </row>
    <row r="143" spans="1:24" ht="15" customHeight="1">
      <c r="A143" s="84">
        <v>127</v>
      </c>
      <c r="B143" s="25" t="s">
        <v>311</v>
      </c>
      <c r="C143" s="10" t="s">
        <v>77</v>
      </c>
      <c r="D143" s="43">
        <v>0</v>
      </c>
      <c r="E143" s="10">
        <f>582.73*FX_RATE</f>
        <v>807986.14623600012</v>
      </c>
      <c r="F143" s="10">
        <v>0</v>
      </c>
      <c r="G143" s="10">
        <f>487.99*FX_RATE</f>
        <v>676624.09606800007</v>
      </c>
      <c r="H143" s="12">
        <f t="shared" si="67"/>
        <v>131362.05016800005</v>
      </c>
      <c r="I143" s="10">
        <v>419320212.13135201</v>
      </c>
      <c r="J143" s="13">
        <f t="shared" si="60"/>
        <v>2.1403792050361293E-4</v>
      </c>
      <c r="K143" s="10">
        <f>303944.35*FX_RATE</f>
        <v>421435011.11442</v>
      </c>
      <c r="L143" s="13">
        <f t="shared" si="68"/>
        <v>2.2465068923955463E-4</v>
      </c>
      <c r="M143" s="13">
        <f t="shared" si="69"/>
        <v>5.0433986292211666E-3</v>
      </c>
      <c r="N143" s="20">
        <f t="shared" si="70"/>
        <v>1.6055241691447794E-3</v>
      </c>
      <c r="O143" s="21">
        <f t="shared" si="71"/>
        <v>3.1170179672693383E-4</v>
      </c>
      <c r="P143" s="22">
        <f t="shared" si="72"/>
        <v>1451.932457036223</v>
      </c>
      <c r="Q143" s="22">
        <f t="shared" si="73"/>
        <v>0.45256995558434238</v>
      </c>
      <c r="R143" s="10">
        <f>1.04*FX_RATE</f>
        <v>1442.0153280000002</v>
      </c>
      <c r="S143" s="10">
        <f>1.04*FX_RATE</f>
        <v>1442.0153280000002</v>
      </c>
      <c r="T143" s="10">
        <v>12</v>
      </c>
      <c r="U143" s="17">
        <v>281582</v>
      </c>
      <c r="V143" s="17">
        <v>290258</v>
      </c>
    </row>
    <row r="144" spans="1:24" ht="15" customHeight="1">
      <c r="A144" s="84">
        <v>128</v>
      </c>
      <c r="B144" s="10" t="s">
        <v>267</v>
      </c>
      <c r="C144" s="10" t="s">
        <v>36</v>
      </c>
      <c r="D144" s="43">
        <f>89556963.57*C242</f>
        <v>124175494420.26692</v>
      </c>
      <c r="E144" s="10">
        <f>468044.63*C242</f>
        <v>648968779.46931601</v>
      </c>
      <c r="F144" s="10">
        <v>0</v>
      </c>
      <c r="G144" s="10">
        <f>74119.8*C242</f>
        <v>102771045.87336001</v>
      </c>
      <c r="H144" s="12">
        <f t="shared" ref="H144" si="75">(E144+F144)-G144</f>
        <v>546197733.59595597</v>
      </c>
      <c r="I144" s="10">
        <v>117925379614.1301</v>
      </c>
      <c r="J144" s="13">
        <f t="shared" si="60"/>
        <v>6.0193862105795581E-2</v>
      </c>
      <c r="K144" s="10">
        <f>87818453*C242</f>
        <v>121764957026.1996</v>
      </c>
      <c r="L144" s="13">
        <f t="shared" si="68"/>
        <v>6.4908184654202117E-2</v>
      </c>
      <c r="M144" s="13">
        <f t="shared" si="69"/>
        <v>3.2559381404013189E-2</v>
      </c>
      <c r="N144" s="20">
        <f t="shared" si="70"/>
        <v>8.4401167941320948E-4</v>
      </c>
      <c r="O144" s="21">
        <f t="shared" si="71"/>
        <v>4.485672618259399E-3</v>
      </c>
      <c r="P144" s="22">
        <f t="shared" si="72"/>
        <v>138655.32</v>
      </c>
      <c r="Q144" s="22">
        <f t="shared" si="73"/>
        <v>621.96237229999485</v>
      </c>
      <c r="R144" s="10">
        <f>100*C242</f>
        <v>138655.32</v>
      </c>
      <c r="S144" s="10">
        <f>100*C242</f>
        <v>138655.32</v>
      </c>
      <c r="T144" s="10">
        <v>2415</v>
      </c>
      <c r="U144" s="17">
        <v>821346.31</v>
      </c>
      <c r="V144" s="17">
        <v>878184.53</v>
      </c>
    </row>
    <row r="145" spans="1:22" ht="15" customHeight="1">
      <c r="A145" s="84">
        <v>129</v>
      </c>
      <c r="B145" s="25" t="s">
        <v>231</v>
      </c>
      <c r="C145" s="25" t="s">
        <v>232</v>
      </c>
      <c r="D145" s="43">
        <f>1132328.34*FX_RATE</f>
        <v>1570033483.2776883</v>
      </c>
      <c r="E145" s="10">
        <f>6916.81*FX_RATE</f>
        <v>9590525.0392920002</v>
      </c>
      <c r="F145" s="10">
        <v>0</v>
      </c>
      <c r="G145" s="10">
        <f>1929.03*FX_RATE</f>
        <v>2674702.7193960003</v>
      </c>
      <c r="H145" s="12">
        <f t="shared" si="67"/>
        <v>6915822.3198959995</v>
      </c>
      <c r="I145" s="10">
        <v>1506932001.5788682</v>
      </c>
      <c r="J145" s="13">
        <f t="shared" si="60"/>
        <v>7.691987713133473E-4</v>
      </c>
      <c r="K145" s="10">
        <f>1104983.69*FX_RATE</f>
        <v>1532118671.3173079</v>
      </c>
      <c r="L145" s="13">
        <f t="shared" si="68"/>
        <v>8.1671315014398649E-4</v>
      </c>
      <c r="M145" s="13">
        <f t="shared" si="69"/>
        <v>1.6713872764033678E-2</v>
      </c>
      <c r="N145" s="20">
        <f t="shared" si="70"/>
        <v>1.7457542744363948E-3</v>
      </c>
      <c r="O145" s="21">
        <f t="shared" si="71"/>
        <v>4.5138946802011169E-3</v>
      </c>
      <c r="P145" s="22">
        <f t="shared" si="72"/>
        <v>1583.202603151102</v>
      </c>
      <c r="Q145" s="22">
        <f t="shared" si="73"/>
        <v>7.1464098080443188</v>
      </c>
      <c r="R145" s="10">
        <f>1.14*FX_RATE</f>
        <v>1580.670648</v>
      </c>
      <c r="S145" s="10">
        <f>1.14*FX_RATE</f>
        <v>1580.670648</v>
      </c>
      <c r="T145" s="10">
        <v>62</v>
      </c>
      <c r="U145" s="17">
        <v>913166.51</v>
      </c>
      <c r="V145" s="17">
        <v>967733.8</v>
      </c>
    </row>
    <row r="146" spans="1:22" ht="15" customHeight="1">
      <c r="A146" s="84">
        <v>130</v>
      </c>
      <c r="B146" s="25" t="s">
        <v>233</v>
      </c>
      <c r="C146" s="25" t="s">
        <v>40</v>
      </c>
      <c r="D146" s="43">
        <f>4968584.18*FX_RATE</f>
        <v>6889206294.2483759</v>
      </c>
      <c r="E146" s="10">
        <f>63813.65*FX_RATE</f>
        <v>88481020.611180007</v>
      </c>
      <c r="F146" s="10">
        <f>3878.5*FX_RATE</f>
        <v>5377746.5861999998</v>
      </c>
      <c r="G146" s="10">
        <f>12369.5*FX_RATE</f>
        <v>17150969.807399999</v>
      </c>
      <c r="H146" s="12">
        <f t="shared" si="67"/>
        <v>76707797.389980003</v>
      </c>
      <c r="I146" s="10">
        <v>8918174300.4420662</v>
      </c>
      <c r="J146" s="13">
        <f t="shared" si="60"/>
        <v>4.5521952596872268E-3</v>
      </c>
      <c r="K146" s="10">
        <f>6844585.44*FX_RATE</f>
        <v>9490381844.5054092</v>
      </c>
      <c r="L146" s="13">
        <f t="shared" si="68"/>
        <v>5.0589551562811438E-3</v>
      </c>
      <c r="M146" s="13">
        <f t="shared" si="69"/>
        <v>6.416196014861239E-2</v>
      </c>
      <c r="N146" s="20">
        <f t="shared" si="70"/>
        <v>1.8071949146419009E-3</v>
      </c>
      <c r="O146" s="21">
        <f t="shared" si="71"/>
        <v>8.0826882044151959E-3</v>
      </c>
      <c r="P146" s="22">
        <f t="shared" si="72"/>
        <v>14904.003617311193</v>
      </c>
      <c r="Q146" s="22">
        <f t="shared" si="73"/>
        <v>120.46441423620259</v>
      </c>
      <c r="R146" s="10">
        <f>10.69*FX_RATE</f>
        <v>14822.253708</v>
      </c>
      <c r="S146" s="10">
        <f>10.69*FX_RATE</f>
        <v>14822.253708</v>
      </c>
      <c r="T146" s="10">
        <v>178</v>
      </c>
      <c r="U146" s="17">
        <v>567941.35</v>
      </c>
      <c r="V146" s="17">
        <v>636767.28</v>
      </c>
    </row>
    <row r="147" spans="1:22">
      <c r="A147" s="84">
        <v>131</v>
      </c>
      <c r="B147" s="10" t="s">
        <v>149</v>
      </c>
      <c r="C147" s="10" t="s">
        <v>44</v>
      </c>
      <c r="D147" s="43">
        <f>20655276.87*FX_RATE</f>
        <v>28639640240.984486</v>
      </c>
      <c r="E147" s="10">
        <f>169349.47*FX_RATE</f>
        <v>234812049.54680401</v>
      </c>
      <c r="F147" s="10">
        <f>282970.58*FX_RATE</f>
        <v>392353763.20485604</v>
      </c>
      <c r="G147" s="10">
        <f>34248.53*FX_RATE</f>
        <v>47487408.866796002</v>
      </c>
      <c r="H147" s="12">
        <f t="shared" si="67"/>
        <v>579678403.88486409</v>
      </c>
      <c r="I147" s="10">
        <v>28148487969.30183</v>
      </c>
      <c r="J147" s="13">
        <f t="shared" si="60"/>
        <v>1.4368121678768608E-2</v>
      </c>
      <c r="K147" s="10">
        <f>20678504.04
*FX_RATE</f>
        <v>28671845947.874928</v>
      </c>
      <c r="L147" s="13">
        <f t="shared" si="68"/>
        <v>1.5283851089941021E-2</v>
      </c>
      <c r="M147" s="13">
        <f t="shared" si="69"/>
        <v>1.8592756354936749E-2</v>
      </c>
      <c r="N147" s="20">
        <f t="shared" si="70"/>
        <v>1.6562382817321055E-3</v>
      </c>
      <c r="O147" s="21">
        <f t="shared" si="71"/>
        <v>2.0217686888340306E-2</v>
      </c>
      <c r="P147" s="22">
        <f t="shared" si="72"/>
        <v>1506.2512994521069</v>
      </c>
      <c r="Q147" s="22">
        <f t="shared" si="73"/>
        <v>30.452917147478413</v>
      </c>
      <c r="R147" s="10">
        <f>1.09*FX_RATE</f>
        <v>1511.3429880000001</v>
      </c>
      <c r="S147" s="10">
        <f>1.09*FX_RATE</f>
        <v>1511.3429880000001</v>
      </c>
      <c r="T147" s="10">
        <v>723</v>
      </c>
      <c r="U147" s="17">
        <v>17329993</v>
      </c>
      <c r="V147" s="17">
        <v>19035234</v>
      </c>
    </row>
    <row r="148" spans="1:22">
      <c r="A148" s="84">
        <v>132</v>
      </c>
      <c r="B148" s="25" t="s">
        <v>150</v>
      </c>
      <c r="C148" s="10" t="s">
        <v>83</v>
      </c>
      <c r="D148" s="43">
        <f>6344.04*FX_RATE</f>
        <v>8796348.9629280008</v>
      </c>
      <c r="E148" s="10">
        <f>1767.23*FX_RATE</f>
        <v>2450358.411636</v>
      </c>
      <c r="F148" s="10">
        <f>13784.83*FX_RATE</f>
        <v>19113400.147956003</v>
      </c>
      <c r="G148" s="10">
        <f>113.51*FX_RATE</f>
        <v>157387.65373200001</v>
      </c>
      <c r="H148" s="12">
        <f t="shared" si="67"/>
        <v>21406370.905859999</v>
      </c>
      <c r="I148" s="10">
        <v>461726015.95840198</v>
      </c>
      <c r="J148" s="13">
        <f t="shared" si="60"/>
        <v>2.3568355027731613E-4</v>
      </c>
      <c r="K148" s="10">
        <f>322214.38*FX_RATE</f>
        <v>446767379.67501605</v>
      </c>
      <c r="L148" s="13">
        <f t="shared" si="68"/>
        <v>2.3815439421688797E-4</v>
      </c>
      <c r="M148" s="13">
        <f t="shared" si="69"/>
        <v>-3.2397213426097249E-2</v>
      </c>
      <c r="N148" s="20">
        <f t="shared" si="70"/>
        <v>3.5228098758348397E-4</v>
      </c>
      <c r="O148" s="21">
        <f t="shared" si="71"/>
        <v>4.7913907504686777E-2</v>
      </c>
      <c r="P148" s="22">
        <f t="shared" si="72"/>
        <v>1861.4144102452599</v>
      </c>
      <c r="Q148" s="22">
        <f t="shared" si="73"/>
        <v>89.187637880382468</v>
      </c>
      <c r="R148" s="10">
        <f>1.33*FX_RATE</f>
        <v>1844.1157560000001</v>
      </c>
      <c r="S148" s="10">
        <f>1.33*FX_RATE</f>
        <v>1844.1157560000001</v>
      </c>
      <c r="T148" s="10">
        <v>2</v>
      </c>
      <c r="U148" s="17">
        <v>240015</v>
      </c>
      <c r="V148" s="17">
        <v>240015</v>
      </c>
    </row>
    <row r="149" spans="1:22">
      <c r="A149" s="84">
        <v>133</v>
      </c>
      <c r="B149" s="25" t="s">
        <v>300</v>
      </c>
      <c r="C149" s="10" t="s">
        <v>295</v>
      </c>
      <c r="D149" s="43">
        <f>544273.76*FX_RATE</f>
        <v>754664523.60403204</v>
      </c>
      <c r="E149" s="10">
        <f>3428.87*FX_RATE</f>
        <v>4754310.6708840001</v>
      </c>
      <c r="F149" s="10">
        <v>0</v>
      </c>
      <c r="G149" s="10">
        <v>0</v>
      </c>
      <c r="H149" s="12">
        <f t="shared" si="67"/>
        <v>4754310.6708840001</v>
      </c>
      <c r="I149" s="10">
        <v>926072820.57230949</v>
      </c>
      <c r="J149" s="13">
        <f t="shared" si="60"/>
        <v>4.7270485661235392E-4</v>
      </c>
      <c r="K149" s="10">
        <f>650257.36*FX_RATE</f>
        <v>901616423.33155203</v>
      </c>
      <c r="L149" s="13">
        <f t="shared" si="68"/>
        <v>4.8061681063356896E-4</v>
      </c>
      <c r="M149" s="13">
        <f t="shared" si="69"/>
        <v>-2.640871937656426E-2</v>
      </c>
      <c r="N149" s="20">
        <f t="shared" si="70"/>
        <v>0</v>
      </c>
      <c r="O149" s="21">
        <f t="shared" si="71"/>
        <v>5.273096793552633E-3</v>
      </c>
      <c r="P149" s="22">
        <f t="shared" si="72"/>
        <v>1489.1560839460569</v>
      </c>
      <c r="Q149" s="22">
        <f t="shared" si="73"/>
        <v>7.852464171355348</v>
      </c>
      <c r="R149" s="10">
        <f>1.074*FX_RATE</f>
        <v>1489.1581368000002</v>
      </c>
      <c r="S149" s="10">
        <f>1.074*FX_RATE</f>
        <v>1489.1581368000002</v>
      </c>
      <c r="T149" s="10">
        <v>11</v>
      </c>
      <c r="U149" s="17">
        <v>603741.52</v>
      </c>
      <c r="V149" s="17">
        <v>605454.61490000004</v>
      </c>
    </row>
    <row r="150" spans="1:22">
      <c r="A150" s="84">
        <v>134</v>
      </c>
      <c r="B150" s="25" t="s">
        <v>151</v>
      </c>
      <c r="C150" s="25" t="s">
        <v>46</v>
      </c>
      <c r="D150" s="43">
        <f>675501140.26*FX_RATE</f>
        <v>936618267631.15186</v>
      </c>
      <c r="E150" s="10">
        <f>3281203.89*FX_RATE</f>
        <v>4549563753.5319481</v>
      </c>
      <c r="F150" s="10">
        <v>0</v>
      </c>
      <c r="G150" s="10">
        <f>1144772.24*FX_RATE</f>
        <v>1587287612.643168</v>
      </c>
      <c r="H150" s="12">
        <f t="shared" si="67"/>
        <v>2962276140.8887801</v>
      </c>
      <c r="I150" s="10">
        <v>1010343542991.8513</v>
      </c>
      <c r="J150" s="13">
        <f t="shared" si="60"/>
        <v>0.51572002655690652</v>
      </c>
      <c r="K150" s="10">
        <f>680870986.36*FX_RATE</f>
        <v>944063844924.61438</v>
      </c>
      <c r="L150" s="13">
        <f t="shared" si="68"/>
        <v>0.50324388780047868</v>
      </c>
      <c r="M150" s="13">
        <f t="shared" si="69"/>
        <v>-6.5601149754437038E-2</v>
      </c>
      <c r="N150" s="20">
        <f t="shared" si="70"/>
        <v>1.6813350295921104E-3</v>
      </c>
      <c r="O150" s="21">
        <f t="shared" si="71"/>
        <v>3.1377921703222567E-3</v>
      </c>
      <c r="P150" s="22">
        <f t="shared" si="72"/>
        <v>2326.5673701101027</v>
      </c>
      <c r="Q150" s="22">
        <f t="shared" si="73"/>
        <v>7.3002848776587248</v>
      </c>
      <c r="R150" s="10">
        <f>1.678*FX_RATE</f>
        <v>2326.6362696000001</v>
      </c>
      <c r="S150" s="10">
        <f>1.678*FX_RATE</f>
        <v>2326.6362696000001</v>
      </c>
      <c r="T150" s="10">
        <v>13082</v>
      </c>
      <c r="U150" s="17">
        <v>420672631.55000001</v>
      </c>
      <c r="V150" s="17">
        <v>405775417.06</v>
      </c>
    </row>
    <row r="151" spans="1:22">
      <c r="A151" s="84">
        <v>135</v>
      </c>
      <c r="B151" s="25" t="s">
        <v>298</v>
      </c>
      <c r="C151" s="25" t="s">
        <v>297</v>
      </c>
      <c r="D151" s="43">
        <v>418775045.16000003</v>
      </c>
      <c r="E151" s="10">
        <v>13783178.41</v>
      </c>
      <c r="F151" s="10">
        <v>11342816.65</v>
      </c>
      <c r="G151" s="10">
        <v>7791076.4900000002</v>
      </c>
      <c r="H151" s="12">
        <f t="shared" si="67"/>
        <v>17334918.57</v>
      </c>
      <c r="I151" s="10">
        <v>575221941.33000004</v>
      </c>
      <c r="J151" s="13">
        <f t="shared" si="60"/>
        <v>2.9361644058254301E-4</v>
      </c>
      <c r="K151" s="10">
        <v>558545716.24000001</v>
      </c>
      <c r="L151" s="13">
        <f t="shared" si="68"/>
        <v>2.9773909811932879E-4</v>
      </c>
      <c r="M151" s="13">
        <f t="shared" si="69"/>
        <v>-2.8990940525394564E-2</v>
      </c>
      <c r="N151" s="20">
        <f t="shared" si="70"/>
        <v>1.394886087829608E-2</v>
      </c>
      <c r="O151" s="21">
        <f t="shared" si="71"/>
        <v>3.103580972152941E-2</v>
      </c>
      <c r="P151" s="22">
        <f t="shared" si="72"/>
        <v>158402.78745668315</v>
      </c>
      <c r="Q151" s="22">
        <f t="shared" si="73"/>
        <v>4916.1587708654843</v>
      </c>
      <c r="R151" s="10">
        <v>158402.82</v>
      </c>
      <c r="S151" s="10">
        <v>158402.82</v>
      </c>
      <c r="T151" s="10">
        <v>2</v>
      </c>
      <c r="U151" s="17">
        <v>3526.1104</v>
      </c>
      <c r="V151" s="17">
        <v>3526.1104</v>
      </c>
    </row>
    <row r="152" spans="1:22">
      <c r="A152" s="84">
        <v>136</v>
      </c>
      <c r="B152" s="25" t="s">
        <v>152</v>
      </c>
      <c r="C152" s="25" t="s">
        <v>50</v>
      </c>
      <c r="D152" s="43">
        <f>70940532*FX_RATE</f>
        <v>98362821654.302399</v>
      </c>
      <c r="E152" s="10">
        <f>895891*FX_RATE</f>
        <v>1242200532.9012001</v>
      </c>
      <c r="F152" s="10">
        <v>0</v>
      </c>
      <c r="G152" s="10">
        <f>268131*FX_RATE</f>
        <v>371777896.06920004</v>
      </c>
      <c r="H152" s="12">
        <f t="shared" si="67"/>
        <v>870422636.83200002</v>
      </c>
      <c r="I152" s="10">
        <v>194763484369.75232</v>
      </c>
      <c r="J152" s="13">
        <f t="shared" si="60"/>
        <v>9.9415124714954908E-2</v>
      </c>
      <c r="K152" s="10">
        <f>139414325*FX_RATE</f>
        <v>193305378454.59</v>
      </c>
      <c r="L152" s="13">
        <f t="shared" si="68"/>
        <v>0.10304361374415176</v>
      </c>
      <c r="M152" s="13">
        <f t="shared" si="69"/>
        <v>-7.4865466690570964E-3</v>
      </c>
      <c r="N152" s="20">
        <f t="shared" si="70"/>
        <v>1.9232672108838173E-3</v>
      </c>
      <c r="O152" s="21">
        <f t="shared" si="71"/>
        <v>4.5028371367146092E-3</v>
      </c>
      <c r="P152" s="22">
        <f t="shared" si="72"/>
        <v>1737.829494294496</v>
      </c>
      <c r="Q152" s="22">
        <f t="shared" si="73"/>
        <v>7.8251631841872262</v>
      </c>
      <c r="R152" s="10">
        <f>1.25*FX_RATE</f>
        <v>1733.1915000000001</v>
      </c>
      <c r="S152" s="10">
        <f>1.25*FX_RATE</f>
        <v>1733.1915000000001</v>
      </c>
      <c r="T152" s="10">
        <v>445</v>
      </c>
      <c r="U152" s="17">
        <v>108690383.43000001</v>
      </c>
      <c r="V152" s="17">
        <v>111233800.03</v>
      </c>
    </row>
    <row r="153" spans="1:22">
      <c r="A153" s="84">
        <v>137</v>
      </c>
      <c r="B153" s="25" t="s">
        <v>230</v>
      </c>
      <c r="C153" s="10" t="s">
        <v>210</v>
      </c>
      <c r="D153" s="43">
        <f>1339010.01*FX_RATE</f>
        <v>1856608614.1975322</v>
      </c>
      <c r="E153" s="10">
        <f>20572.63*FX_RATE</f>
        <v>28525045.958916001</v>
      </c>
      <c r="F153" s="10">
        <v>0</v>
      </c>
      <c r="G153" s="10">
        <f>2345.76*FX_RATE</f>
        <v>3252521.0344320005</v>
      </c>
      <c r="H153" s="12">
        <f t="shared" ref="H153:H154" si="76">(E153+F153)-G153</f>
        <v>25272524.924484</v>
      </c>
      <c r="I153" s="10">
        <v>1905104071.5724893</v>
      </c>
      <c r="J153" s="13">
        <f t="shared" si="60"/>
        <v>9.7244182852461599E-4</v>
      </c>
      <c r="K153" s="10">
        <f>1338309.41*FX_RATE</f>
        <v>1855637195.0256119</v>
      </c>
      <c r="L153" s="13">
        <f t="shared" si="68"/>
        <v>9.8916835062827025E-4</v>
      </c>
      <c r="M153" s="13">
        <f t="shared" si="69"/>
        <v>-2.596544581737574E-2</v>
      </c>
      <c r="N153" s="20">
        <f t="shared" si="70"/>
        <v>1.7527785297422368E-3</v>
      </c>
      <c r="O153" s="21">
        <f t="shared" si="71"/>
        <v>1.3619324398234637E-2</v>
      </c>
      <c r="P153" s="22">
        <f t="shared" si="72"/>
        <v>158935.23365097574</v>
      </c>
      <c r="Q153" s="22">
        <f t="shared" si="73"/>
        <v>2164.5905054018567</v>
      </c>
      <c r="R153" s="10">
        <f>113.4*FX_RATE</f>
        <v>157235.13288000002</v>
      </c>
      <c r="S153" s="10">
        <f>113.4*FX_RATE</f>
        <v>157235.13288000002</v>
      </c>
      <c r="T153" s="10">
        <v>32</v>
      </c>
      <c r="U153" s="17">
        <v>11865.33</v>
      </c>
      <c r="V153" s="17">
        <v>11675.43</v>
      </c>
    </row>
    <row r="154" spans="1:22">
      <c r="A154" s="84">
        <v>138</v>
      </c>
      <c r="B154" s="25" t="s">
        <v>312</v>
      </c>
      <c r="C154" s="25" t="s">
        <v>92</v>
      </c>
      <c r="D154" s="43">
        <f>4212097.14*FX_RATE</f>
        <v>5840296768.1778479</v>
      </c>
      <c r="E154" s="10">
        <f>26408.08*FX_RATE</f>
        <v>36616207.829856001</v>
      </c>
      <c r="F154" s="10">
        <f>18720.07*FX_RATE</f>
        <v>25956372.962724</v>
      </c>
      <c r="G154" s="10">
        <f>6981.45*FX_RATE</f>
        <v>9680151.8381399997</v>
      </c>
      <c r="H154" s="12">
        <f t="shared" si="76"/>
        <v>52892428.954439998</v>
      </c>
      <c r="I154" s="10">
        <v>4997620428.0010357</v>
      </c>
      <c r="J154" s="13">
        <f t="shared" si="60"/>
        <v>2.550986699254651E-3</v>
      </c>
      <c r="K154" s="10">
        <f>4193012.22*FX_RATE</f>
        <v>5813834511.2801046</v>
      </c>
      <c r="L154" s="13">
        <f t="shared" si="68"/>
        <v>3.0991301046157799E-3</v>
      </c>
      <c r="M154" s="13">
        <f t="shared" si="69"/>
        <v>0.16332054325413042</v>
      </c>
      <c r="N154" s="20">
        <f t="shared" si="70"/>
        <v>1.6650201892328372E-3</v>
      </c>
      <c r="O154" s="21">
        <f t="shared" si="71"/>
        <v>9.0976839557123917E-3</v>
      </c>
      <c r="P154" s="22">
        <f t="shared" si="72"/>
        <v>1612.8314148466714</v>
      </c>
      <c r="Q154" s="22">
        <f t="shared" si="73"/>
        <v>14.673030486119476</v>
      </c>
      <c r="R154" s="10">
        <f>1.16*FX_RATE</f>
        <v>1608.4017119999999</v>
      </c>
      <c r="S154" s="10">
        <f>1.16*FX_RATE</f>
        <v>1608.4017119999999</v>
      </c>
      <c r="T154" s="10">
        <v>55</v>
      </c>
      <c r="U154" s="17">
        <v>2992548.93</v>
      </c>
      <c r="V154" s="17">
        <v>3604737.89</v>
      </c>
    </row>
    <row r="155" spans="1:22">
      <c r="A155" s="84">
        <v>139</v>
      </c>
      <c r="B155" s="25" t="s">
        <v>289</v>
      </c>
      <c r="C155" s="10" t="s">
        <v>290</v>
      </c>
      <c r="D155" s="43">
        <f>1007387.72*FX_RATE</f>
        <v>1396796666.806704</v>
      </c>
      <c r="E155" s="10">
        <f>8129.18*FX_RATE</f>
        <v>11271540.542376</v>
      </c>
      <c r="F155" s="10">
        <v>0</v>
      </c>
      <c r="G155" s="10">
        <f>2000.46*FX_RATE</f>
        <v>2773744.214472</v>
      </c>
      <c r="H155" s="12">
        <f t="shared" si="67"/>
        <v>8497796.3279040009</v>
      </c>
      <c r="I155" s="10">
        <v>1752962433.707895</v>
      </c>
      <c r="J155" s="13">
        <f t="shared" si="60"/>
        <v>8.9478261046538538E-4</v>
      </c>
      <c r="K155" s="10">
        <f>1247860.73*FX_RATE</f>
        <v>1730225288.3358359</v>
      </c>
      <c r="L155" s="13">
        <f t="shared" si="68"/>
        <v>9.2231611829426605E-4</v>
      </c>
      <c r="M155" s="13">
        <f t="shared" si="69"/>
        <v>-1.2970697451835931E-2</v>
      </c>
      <c r="N155" s="20">
        <f t="shared" si="70"/>
        <v>1.6031115908263257E-3</v>
      </c>
      <c r="O155" s="21">
        <f t="shared" si="71"/>
        <v>4.9113814167387098E-3</v>
      </c>
      <c r="P155" s="22">
        <f t="shared" si="72"/>
        <v>2109.0234720884428</v>
      </c>
      <c r="Q155" s="22">
        <f t="shared" si="73"/>
        <v>10.358218688280928</v>
      </c>
      <c r="R155" s="10">
        <f>1.496*FX_RATE</f>
        <v>2074.2835872000001</v>
      </c>
      <c r="S155" s="10">
        <f>1.496*FX_RATE</f>
        <v>2074.2835872000001</v>
      </c>
      <c r="T155" s="10">
        <v>6</v>
      </c>
      <c r="U155" s="17">
        <v>820391.67</v>
      </c>
      <c r="V155" s="17">
        <v>820391.67</v>
      </c>
    </row>
    <row r="156" spans="1:22" ht="15" customHeight="1">
      <c r="A156" s="105" t="s">
        <v>51</v>
      </c>
      <c r="B156" s="105"/>
      <c r="C156" s="105"/>
      <c r="D156" s="105"/>
      <c r="E156" s="105"/>
      <c r="F156" s="105"/>
      <c r="G156" s="105"/>
      <c r="H156" s="105"/>
      <c r="I156" s="36">
        <f>SUM(I118:I155)</f>
        <v>1959093095021.3279</v>
      </c>
      <c r="J156" s="34">
        <f>(I156/$I$240)</f>
        <v>0.25117221958925295</v>
      </c>
      <c r="K156" s="36">
        <f>SUM(K118:K155)</f>
        <v>1875956902429.2012</v>
      </c>
      <c r="L156" s="34">
        <f>(K156/$K$240)</f>
        <v>0.23074625492072875</v>
      </c>
      <c r="M156" s="34">
        <f t="shared" si="62"/>
        <v>-4.2436060237975387E-2</v>
      </c>
      <c r="N156" s="20"/>
      <c r="O156" s="20"/>
      <c r="P156" s="35"/>
      <c r="Q156" s="35"/>
      <c r="R156" s="36"/>
      <c r="S156" s="36"/>
      <c r="T156" s="38">
        <f>SUM(T118:T155)</f>
        <v>26229</v>
      </c>
      <c r="U156" s="38"/>
      <c r="V156" s="36"/>
    </row>
    <row r="157" spans="1:22" ht="4.2" customHeight="1">
      <c r="A157" s="111"/>
      <c r="B157" s="111"/>
      <c r="C157" s="111"/>
      <c r="D157" s="111"/>
      <c r="E157" s="111"/>
      <c r="F157" s="111"/>
      <c r="G157" s="111"/>
      <c r="H157" s="111"/>
      <c r="I157" s="111"/>
      <c r="J157" s="111"/>
      <c r="K157" s="111"/>
      <c r="L157" s="111"/>
      <c r="M157" s="111"/>
      <c r="N157" s="111"/>
      <c r="O157" s="111"/>
      <c r="P157" s="111"/>
      <c r="Q157" s="111"/>
      <c r="R157" s="111"/>
      <c r="S157" s="111"/>
      <c r="T157" s="111"/>
      <c r="U157" s="111"/>
      <c r="V157" s="111"/>
    </row>
    <row r="158" spans="1:22">
      <c r="A158" s="104" t="s">
        <v>153</v>
      </c>
      <c r="B158" s="104"/>
      <c r="C158" s="104"/>
      <c r="D158" s="104"/>
      <c r="E158" s="104"/>
      <c r="F158" s="104"/>
      <c r="G158" s="104"/>
      <c r="H158" s="104"/>
      <c r="I158" s="104"/>
      <c r="J158" s="104"/>
      <c r="K158" s="104"/>
      <c r="L158" s="104"/>
      <c r="M158" s="104"/>
      <c r="N158" s="104"/>
      <c r="O158" s="104"/>
      <c r="P158" s="104"/>
      <c r="Q158" s="104"/>
      <c r="R158" s="104"/>
      <c r="S158" s="104"/>
      <c r="T158" s="104"/>
      <c r="U158" s="104"/>
      <c r="V158" s="104"/>
    </row>
    <row r="159" spans="1:22">
      <c r="A159" s="84">
        <v>140</v>
      </c>
      <c r="B159" s="82" t="s">
        <v>226</v>
      </c>
      <c r="C159" s="82" t="s">
        <v>227</v>
      </c>
      <c r="D159" s="27">
        <v>2018713984.4100001</v>
      </c>
      <c r="E159" s="27">
        <v>39696627.619999997</v>
      </c>
      <c r="F159" s="27">
        <v>0</v>
      </c>
      <c r="G159" s="27">
        <v>4217753.6399999997</v>
      </c>
      <c r="H159" s="12">
        <f t="shared" ref="H159:H164" si="77">(E159+F159)-G159</f>
        <v>35478873.979999997</v>
      </c>
      <c r="I159" s="28">
        <v>2306150505</v>
      </c>
      <c r="J159" s="13">
        <f>(I159/$I$165)</f>
        <v>4.6008550782135399E-3</v>
      </c>
      <c r="K159" s="28">
        <v>2346854300.8000002</v>
      </c>
      <c r="L159" s="13">
        <f>(K159/$K$165)</f>
        <v>4.5714934380643515E-3</v>
      </c>
      <c r="M159" s="13">
        <f t="shared" ref="M159:M165" si="78">((K159-I159)/I159)</f>
        <v>1.7650103803611112E-2</v>
      </c>
      <c r="N159" s="20">
        <f>(G159/K159)</f>
        <v>1.7971944992760068E-3</v>
      </c>
      <c r="O159" s="21">
        <f>H159/K159</f>
        <v>1.5117629572447633E-2</v>
      </c>
      <c r="P159" s="22">
        <f>K159/V159</f>
        <v>110.59633839773799</v>
      </c>
      <c r="Q159" s="22">
        <f>H159/V159</f>
        <v>1.6719544759660696</v>
      </c>
      <c r="R159" s="27">
        <v>110.6</v>
      </c>
      <c r="S159" s="27">
        <v>110.6</v>
      </c>
      <c r="T159" s="27">
        <v>8</v>
      </c>
      <c r="U159" s="27">
        <v>21220000</v>
      </c>
      <c r="V159" s="27">
        <v>21220000</v>
      </c>
    </row>
    <row r="160" spans="1:22">
      <c r="A160" s="84">
        <v>141</v>
      </c>
      <c r="B160" s="82" t="s">
        <v>280</v>
      </c>
      <c r="C160" s="82" t="s">
        <v>58</v>
      </c>
      <c r="D160" s="27">
        <v>117939123160.2</v>
      </c>
      <c r="E160" s="27">
        <v>3005111172.2800002</v>
      </c>
      <c r="F160" s="27">
        <v>395550691.79000002</v>
      </c>
      <c r="G160" s="27">
        <v>846642759.25</v>
      </c>
      <c r="H160" s="12">
        <f t="shared" si="77"/>
        <v>2554019104.8200002</v>
      </c>
      <c r="I160" s="28">
        <v>270252509796</v>
      </c>
      <c r="J160" s="13">
        <f t="shared" ref="J160:J164" si="79">(I160/$I$165)</f>
        <v>0.53916369699161548</v>
      </c>
      <c r="K160" s="28">
        <v>270428816236</v>
      </c>
      <c r="L160" s="13">
        <f t="shared" ref="L160:L164" si="80">(K160/$K$165)</f>
        <v>0.5267747377691766</v>
      </c>
      <c r="M160" s="13">
        <f t="shared" ref="M160:M164" si="81">((K160-I160)/I160)</f>
        <v>6.523766981223777E-4</v>
      </c>
      <c r="N160" s="20">
        <f t="shared" ref="N160:N164" si="82">(G160/K160)</f>
        <v>3.1307416533271548E-3</v>
      </c>
      <c r="O160" s="21">
        <f t="shared" ref="O160:O164" si="83">H160/K160</f>
        <v>9.4443304540117439E-3</v>
      </c>
      <c r="P160" s="22">
        <f t="shared" ref="P160:P164" si="84">K160/V160</f>
        <v>108.1715264944</v>
      </c>
      <c r="Q160" s="22">
        <f t="shared" ref="Q160:Q164" si="85">H160/V160</f>
        <v>1.021607641928</v>
      </c>
      <c r="R160" s="27">
        <v>108.17149999999999</v>
      </c>
      <c r="S160" s="27">
        <v>108.17149999999999</v>
      </c>
      <c r="T160" s="27">
        <v>45</v>
      </c>
      <c r="U160" s="27">
        <v>2500000000</v>
      </c>
      <c r="V160" s="27">
        <v>2500000000</v>
      </c>
    </row>
    <row r="161" spans="1:22">
      <c r="A161" s="84">
        <v>142</v>
      </c>
      <c r="B161" s="25" t="s">
        <v>154</v>
      </c>
      <c r="C161" s="25" t="s">
        <v>44</v>
      </c>
      <c r="D161" s="27">
        <v>175644448706</v>
      </c>
      <c r="E161" s="27">
        <v>1257218726</v>
      </c>
      <c r="F161" s="27">
        <v>0</v>
      </c>
      <c r="G161" s="27">
        <v>389586633</v>
      </c>
      <c r="H161" s="12">
        <f t="shared" si="77"/>
        <v>867632093</v>
      </c>
      <c r="I161" s="28">
        <v>164739044122</v>
      </c>
      <c r="J161" s="13">
        <f t="shared" si="79"/>
        <v>0.32866045216279072</v>
      </c>
      <c r="K161" s="28">
        <v>172576360793</v>
      </c>
      <c r="L161" s="13">
        <f t="shared" si="80"/>
        <v>0.33616560715392213</v>
      </c>
      <c r="M161" s="13">
        <f t="shared" si="81"/>
        <v>4.7574129817069696E-2</v>
      </c>
      <c r="N161" s="20">
        <f t="shared" si="82"/>
        <v>2.2574739159513112E-3</v>
      </c>
      <c r="O161" s="21">
        <f t="shared" si="83"/>
        <v>5.0275257226028644E-3</v>
      </c>
      <c r="P161" s="22">
        <f t="shared" si="84"/>
        <v>104.16401603632868</v>
      </c>
      <c r="Q161" s="22">
        <f t="shared" si="85"/>
        <v>0.52368726999225967</v>
      </c>
      <c r="R161" s="27">
        <v>104.16</v>
      </c>
      <c r="S161" s="27">
        <v>104.16</v>
      </c>
      <c r="T161" s="27">
        <v>864</v>
      </c>
      <c r="U161" s="27">
        <v>1588617222</v>
      </c>
      <c r="V161" s="27">
        <v>1656775222</v>
      </c>
    </row>
    <row r="162" spans="1:22">
      <c r="A162" s="84">
        <v>143</v>
      </c>
      <c r="B162" s="25" t="s">
        <v>155</v>
      </c>
      <c r="C162" s="25" t="s">
        <v>122</v>
      </c>
      <c r="D162" s="27">
        <v>6667375522.0299997</v>
      </c>
      <c r="E162" s="27">
        <v>37154804.609999999</v>
      </c>
      <c r="F162" s="27">
        <v>0</v>
      </c>
      <c r="G162" s="27">
        <v>12074831.470000001</v>
      </c>
      <c r="H162" s="12">
        <f t="shared" si="77"/>
        <v>25079973.140000001</v>
      </c>
      <c r="I162" s="28">
        <v>2989526862.4400001</v>
      </c>
      <c r="J162" s="13">
        <f t="shared" si="79"/>
        <v>5.9642160460437361E-3</v>
      </c>
      <c r="K162" s="28">
        <v>6491838003.4200001</v>
      </c>
      <c r="L162" s="13">
        <f t="shared" si="80"/>
        <v>1.2645606002679766E-2</v>
      </c>
      <c r="M162" s="13">
        <f t="shared" si="81"/>
        <v>1.1715269011235692</v>
      </c>
      <c r="N162" s="20">
        <f t="shared" si="82"/>
        <v>1.8600019691863527E-3</v>
      </c>
      <c r="O162" s="21">
        <f t="shared" si="83"/>
        <v>3.8633085309256769E-3</v>
      </c>
      <c r="P162" s="22">
        <f t="shared" si="84"/>
        <v>324.59190017100002</v>
      </c>
      <c r="Q162" s="22">
        <f t="shared" si="85"/>
        <v>1.2539986570000001</v>
      </c>
      <c r="R162" s="27">
        <v>418.75</v>
      </c>
      <c r="S162" s="27">
        <v>418.75</v>
      </c>
      <c r="T162" s="27">
        <v>4897</v>
      </c>
      <c r="U162" s="27">
        <v>20000000</v>
      </c>
      <c r="V162" s="27">
        <v>20000000</v>
      </c>
    </row>
    <row r="163" spans="1:22">
      <c r="A163" s="84">
        <v>144</v>
      </c>
      <c r="B163" s="25" t="s">
        <v>156</v>
      </c>
      <c r="C163" s="25" t="s">
        <v>122</v>
      </c>
      <c r="D163" s="27">
        <v>28787887453.939999</v>
      </c>
      <c r="E163" s="27">
        <v>99321366.030000001</v>
      </c>
      <c r="F163" s="27">
        <v>0</v>
      </c>
      <c r="G163" s="27">
        <v>41629414.939999998</v>
      </c>
      <c r="H163" s="12">
        <f t="shared" si="77"/>
        <v>57691951.090000004</v>
      </c>
      <c r="I163" s="28">
        <v>27857521565.130001</v>
      </c>
      <c r="J163" s="13">
        <f t="shared" si="79"/>
        <v>5.5576780128394773E-2</v>
      </c>
      <c r="K163" s="28">
        <v>27912333327.880001</v>
      </c>
      <c r="L163" s="13">
        <f t="shared" si="80"/>
        <v>5.4371099478127564E-2</v>
      </c>
      <c r="M163" s="13">
        <f t="shared" si="81"/>
        <v>1.9675749912587107E-3</v>
      </c>
      <c r="N163" s="20">
        <f t="shared" si="82"/>
        <v>1.4914344297550647E-3</v>
      </c>
      <c r="O163" s="21">
        <f t="shared" si="83"/>
        <v>2.066898184838416E-3</v>
      </c>
      <c r="P163" s="22">
        <f t="shared" si="84"/>
        <v>148.36957765492394</v>
      </c>
      <c r="Q163" s="22">
        <f t="shared" si="85"/>
        <v>0.30666481074020474</v>
      </c>
      <c r="R163" s="27">
        <v>94.85</v>
      </c>
      <c r="S163" s="27">
        <v>94.85</v>
      </c>
      <c r="T163" s="27">
        <v>6424</v>
      </c>
      <c r="U163" s="27">
        <v>188127066</v>
      </c>
      <c r="V163" s="27">
        <v>188127066</v>
      </c>
    </row>
    <row r="164" spans="1:22" ht="16.05" customHeight="1">
      <c r="A164" s="84">
        <v>145</v>
      </c>
      <c r="B164" s="25" t="s">
        <v>157</v>
      </c>
      <c r="C164" s="10" t="s">
        <v>158</v>
      </c>
      <c r="D164" s="27">
        <v>34019240796.240002</v>
      </c>
      <c r="E164" s="27">
        <v>356571984.43000001</v>
      </c>
      <c r="F164" s="27">
        <v>0</v>
      </c>
      <c r="G164" s="27">
        <v>89242289.290000007</v>
      </c>
      <c r="H164" s="12">
        <f t="shared" si="77"/>
        <v>267329695.13999999</v>
      </c>
      <c r="I164" s="28">
        <v>33099138946.919998</v>
      </c>
      <c r="J164" s="13">
        <f t="shared" si="79"/>
        <v>6.6033999592941761E-2</v>
      </c>
      <c r="K164" s="28">
        <v>33610891177.209999</v>
      </c>
      <c r="L164" s="13">
        <f t="shared" si="80"/>
        <v>6.5471456158029642E-2</v>
      </c>
      <c r="M164" s="13">
        <f t="shared" si="81"/>
        <v>1.5461194658588586E-2</v>
      </c>
      <c r="N164" s="20">
        <f t="shared" si="82"/>
        <v>2.6551598652793562E-3</v>
      </c>
      <c r="O164" s="21">
        <f t="shared" si="83"/>
        <v>7.953662809192753E-3</v>
      </c>
      <c r="P164" s="22">
        <f t="shared" si="84"/>
        <v>1.8109345701048984</v>
      </c>
      <c r="Q164" s="22">
        <f t="shared" si="85"/>
        <v>1.4403562940124796E-2</v>
      </c>
      <c r="R164" s="27">
        <v>8.9499999999999993</v>
      </c>
      <c r="S164" s="27">
        <v>8.9499999999999993</v>
      </c>
      <c r="T164" s="27">
        <v>211092</v>
      </c>
      <c r="U164" s="27">
        <v>18559969936</v>
      </c>
      <c r="V164" s="27">
        <v>18559969936</v>
      </c>
    </row>
    <row r="165" spans="1:22" ht="15" customHeight="1">
      <c r="A165" s="105" t="s">
        <v>51</v>
      </c>
      <c r="B165" s="105"/>
      <c r="C165" s="105"/>
      <c r="D165" s="105"/>
      <c r="E165" s="105"/>
      <c r="F165" s="105"/>
      <c r="G165" s="105"/>
      <c r="H165" s="105"/>
      <c r="I165" s="36">
        <f>SUM(I159:I164)</f>
        <v>501243891797.48999</v>
      </c>
      <c r="J165" s="34">
        <f>(I165/$I$240)</f>
        <v>6.4263684649942726E-2</v>
      </c>
      <c r="K165" s="36">
        <f>SUM(K159:K164)</f>
        <v>513367093838.31</v>
      </c>
      <c r="L165" s="34">
        <f>(K165/$K$240)</f>
        <v>6.314512564192501E-2</v>
      </c>
      <c r="M165" s="34">
        <f t="shared" si="78"/>
        <v>2.4186233965556157E-2</v>
      </c>
      <c r="N165" s="20"/>
      <c r="O165" s="20"/>
      <c r="P165" s="37"/>
      <c r="Q165" s="37"/>
      <c r="R165" s="36"/>
      <c r="S165" s="36"/>
      <c r="T165" s="36">
        <f>SUM(T159:T164)</f>
        <v>223330</v>
      </c>
      <c r="U165" s="36"/>
      <c r="V165" s="36"/>
    </row>
    <row r="166" spans="1:22" ht="4.95" customHeight="1">
      <c r="A166" s="111"/>
      <c r="B166" s="111"/>
      <c r="C166" s="111"/>
      <c r="D166" s="111"/>
      <c r="E166" s="111"/>
      <c r="F166" s="111"/>
      <c r="G166" s="111"/>
      <c r="H166" s="111"/>
      <c r="I166" s="111"/>
      <c r="J166" s="111"/>
      <c r="K166" s="111"/>
      <c r="L166" s="111"/>
      <c r="M166" s="111"/>
      <c r="N166" s="111"/>
      <c r="O166" s="111"/>
      <c r="P166" s="111"/>
      <c r="Q166" s="111"/>
      <c r="R166" s="111"/>
      <c r="S166" s="111"/>
      <c r="T166" s="111"/>
      <c r="U166" s="111"/>
      <c r="V166" s="111"/>
    </row>
    <row r="167" spans="1:22" ht="13.95" customHeight="1">
      <c r="A167" s="112" t="s">
        <v>301</v>
      </c>
      <c r="B167" s="113"/>
      <c r="C167" s="113"/>
      <c r="D167" s="113"/>
      <c r="E167" s="113"/>
      <c r="F167" s="113"/>
      <c r="G167" s="113"/>
      <c r="H167" s="113"/>
      <c r="I167" s="113"/>
      <c r="J167" s="113"/>
      <c r="K167" s="113"/>
      <c r="L167" s="113"/>
      <c r="M167" s="113"/>
      <c r="N167" s="113"/>
      <c r="O167" s="113"/>
      <c r="P167" s="113"/>
      <c r="Q167" s="113"/>
      <c r="R167" s="113"/>
      <c r="S167" s="113"/>
      <c r="T167" s="113"/>
      <c r="U167" s="113"/>
      <c r="V167" s="114"/>
    </row>
    <row r="168" spans="1:22">
      <c r="A168" s="84">
        <v>146</v>
      </c>
      <c r="B168" s="25" t="s">
        <v>160</v>
      </c>
      <c r="C168" s="25" t="s">
        <v>55</v>
      </c>
      <c r="D168" s="29">
        <v>646977689.98000002</v>
      </c>
      <c r="E168" s="29">
        <v>9920337.7699999996</v>
      </c>
      <c r="F168" s="29">
        <v>17711741.440000001</v>
      </c>
      <c r="G168" s="10">
        <v>1312559.68</v>
      </c>
      <c r="H168" s="12">
        <f>(E168+F168)-G168</f>
        <v>26319519.530000001</v>
      </c>
      <c r="I168" s="10">
        <v>606071358.77999997</v>
      </c>
      <c r="J168" s="13">
        <f t="shared" ref="J168:J196" si="86">(I168/$I$197)</f>
        <v>7.2247371626004732E-3</v>
      </c>
      <c r="K168" s="10">
        <v>645879862.61000001</v>
      </c>
      <c r="L168" s="13">
        <f t="shared" ref="L168" si="87">(K168/$K$197)</f>
        <v>6.8325283320931404E-3</v>
      </c>
      <c r="M168" s="13">
        <f t="shared" ref="M168:M197" si="88">((K168-I168)/I168)</f>
        <v>6.5682865974945825E-2</v>
      </c>
      <c r="N168" s="20">
        <f t="shared" ref="N168" si="89">(G168/K168)</f>
        <v>2.0322040614425526E-3</v>
      </c>
      <c r="O168" s="21">
        <f t="shared" ref="O168" si="90">H168/K168</f>
        <v>4.0749868595752227E-2</v>
      </c>
      <c r="P168" s="22">
        <f t="shared" ref="P168" si="91">K168/V168</f>
        <v>8.2157447684087828</v>
      </c>
      <c r="Q168" s="22">
        <f t="shared" ref="Q168" si="92">H168/V168</f>
        <v>0.33479051972889673</v>
      </c>
      <c r="R168" s="10">
        <v>8.3582999999999998</v>
      </c>
      <c r="S168" s="10">
        <v>8.4783000000000008</v>
      </c>
      <c r="T168" s="10">
        <v>11907</v>
      </c>
      <c r="U168" s="10">
        <v>76689442.180000007</v>
      </c>
      <c r="V168" s="10">
        <v>78614888.950000003</v>
      </c>
    </row>
    <row r="169" spans="1:22">
      <c r="A169" s="84">
        <v>147</v>
      </c>
      <c r="B169" s="25" t="s">
        <v>220</v>
      </c>
      <c r="C169" s="25" t="s">
        <v>221</v>
      </c>
      <c r="D169" s="29">
        <v>1156386424.5</v>
      </c>
      <c r="E169" s="29">
        <v>8931394.4299999997</v>
      </c>
      <c r="F169" s="29">
        <v>616801327.24000001</v>
      </c>
      <c r="G169" s="10">
        <v>4201050.2</v>
      </c>
      <c r="H169" s="12">
        <f>(E169+F169)-G169</f>
        <v>621531671.46999991</v>
      </c>
      <c r="I169" s="10">
        <v>2118542019.76</v>
      </c>
      <c r="J169" s="13">
        <f t="shared" si="86"/>
        <v>2.5254302218638062E-2</v>
      </c>
      <c r="K169" s="10">
        <v>2384930909.0100002</v>
      </c>
      <c r="L169" s="13">
        <f t="shared" ref="L169:L196" si="93">(K169/$K$197)</f>
        <v>2.5229317322337557E-2</v>
      </c>
      <c r="M169" s="13">
        <f t="shared" ref="M169:M196" si="94">((K169-I169)/I169)</f>
        <v>0.12574161228115657</v>
      </c>
      <c r="N169" s="20">
        <f t="shared" ref="N169:N196" si="95">(G169/K169)</f>
        <v>1.761497653508077E-3</v>
      </c>
      <c r="O169" s="21">
        <f t="shared" ref="O169:O196" si="96">H169/K169</f>
        <v>0.26060783107884733</v>
      </c>
      <c r="P169" s="22">
        <f t="shared" ref="P169:P196" si="97">K169/V169</f>
        <v>2429.8094902957628</v>
      </c>
      <c r="Q169" s="22">
        <f t="shared" ref="Q169:Q196" si="98">H169/V169</f>
        <v>633.22738120077827</v>
      </c>
      <c r="R169" s="10">
        <v>2327.66</v>
      </c>
      <c r="S169" s="10">
        <v>2310.87</v>
      </c>
      <c r="T169" s="10">
        <v>204</v>
      </c>
      <c r="U169" s="10">
        <v>960494</v>
      </c>
      <c r="V169" s="10">
        <v>981530</v>
      </c>
    </row>
    <row r="170" spans="1:22">
      <c r="A170" s="84">
        <v>148</v>
      </c>
      <c r="B170" s="25" t="s">
        <v>161</v>
      </c>
      <c r="C170" s="10" t="s">
        <v>58</v>
      </c>
      <c r="D170" s="29">
        <v>8051183514</v>
      </c>
      <c r="E170" s="29">
        <v>33037273</v>
      </c>
      <c r="F170" s="29">
        <v>348242527</v>
      </c>
      <c r="G170" s="10">
        <v>38137186</v>
      </c>
      <c r="H170" s="12">
        <f t="shared" ref="H170:H196" si="99">(E170+F170)-G170</f>
        <v>343142614</v>
      </c>
      <c r="I170" s="10">
        <v>10012186809</v>
      </c>
      <c r="J170" s="13">
        <f t="shared" si="86"/>
        <v>0.11935132236489308</v>
      </c>
      <c r="K170" s="10">
        <v>10740929533</v>
      </c>
      <c r="L170" s="13">
        <f t="shared" si="93"/>
        <v>0.11362438991467977</v>
      </c>
      <c r="M170" s="13">
        <f t="shared" si="94"/>
        <v>7.2785570016025855E-2</v>
      </c>
      <c r="N170" s="20">
        <f t="shared" si="95"/>
        <v>3.5506411137722154E-3</v>
      </c>
      <c r="O170" s="21">
        <f t="shared" si="96"/>
        <v>3.1947199071155098E-2</v>
      </c>
      <c r="P170" s="22">
        <f t="shared" si="97"/>
        <v>1097.5405909775257</v>
      </c>
      <c r="Q170" s="22">
        <f t="shared" si="98"/>
        <v>35.063347748632232</v>
      </c>
      <c r="R170" s="10">
        <v>1092.0528999999999</v>
      </c>
      <c r="S170" s="10">
        <v>1124.9791</v>
      </c>
      <c r="T170" s="10">
        <v>22485</v>
      </c>
      <c r="U170" s="10">
        <v>9441934</v>
      </c>
      <c r="V170" s="10">
        <v>9786362</v>
      </c>
    </row>
    <row r="171" spans="1:22">
      <c r="A171" s="84">
        <v>149</v>
      </c>
      <c r="B171" s="25" t="s">
        <v>162</v>
      </c>
      <c r="C171" s="25" t="s">
        <v>105</v>
      </c>
      <c r="D171" s="29">
        <v>2886004517.23</v>
      </c>
      <c r="E171" s="29">
        <v>19388608.52</v>
      </c>
      <c r="F171" s="29">
        <v>139171678.15000001</v>
      </c>
      <c r="G171" s="10">
        <v>4140026.05</v>
      </c>
      <c r="H171" s="12">
        <f t="shared" si="99"/>
        <v>154420260.62</v>
      </c>
      <c r="I171" s="10">
        <v>2605884475.6300001</v>
      </c>
      <c r="J171" s="13">
        <f t="shared" si="86"/>
        <v>3.1063719048571192E-2</v>
      </c>
      <c r="K171" s="10">
        <v>2759579826.25</v>
      </c>
      <c r="L171" s="13">
        <f t="shared" si="93"/>
        <v>2.9192592057806423E-2</v>
      </c>
      <c r="M171" s="13">
        <f t="shared" si="94"/>
        <v>5.8980109079026774E-2</v>
      </c>
      <c r="N171" s="20">
        <f t="shared" si="95"/>
        <v>1.5002378299111903E-3</v>
      </c>
      <c r="O171" s="21">
        <f t="shared" si="96"/>
        <v>5.5957888643446883E-2</v>
      </c>
      <c r="P171" s="22">
        <f t="shared" si="97"/>
        <v>6.6622558891098391</v>
      </c>
      <c r="Q171" s="22">
        <f t="shared" si="98"/>
        <v>0.37280577315695662</v>
      </c>
      <c r="R171" s="10">
        <v>6.3746</v>
      </c>
      <c r="S171" s="10">
        <v>6.5247000000000002</v>
      </c>
      <c r="T171" s="10">
        <v>2734</v>
      </c>
      <c r="U171" s="10">
        <v>414330090.83999997</v>
      </c>
      <c r="V171" s="10">
        <v>414211022.83999997</v>
      </c>
    </row>
    <row r="172" spans="1:22">
      <c r="A172" s="84">
        <v>150</v>
      </c>
      <c r="B172" s="25" t="s">
        <v>276</v>
      </c>
      <c r="C172" s="10" t="s">
        <v>103</v>
      </c>
      <c r="D172" s="29">
        <v>1260873239.4300001</v>
      </c>
      <c r="E172" s="29">
        <v>11301630.9</v>
      </c>
      <c r="F172" s="29">
        <v>58589489.869999997</v>
      </c>
      <c r="G172" s="10">
        <v>1962375.53</v>
      </c>
      <c r="H172" s="12">
        <f t="shared" ref="H172" si="100">(E172+F172)-G172</f>
        <v>67928745.239999995</v>
      </c>
      <c r="I172" s="10">
        <v>1146950027.5599999</v>
      </c>
      <c r="J172" s="13">
        <f t="shared" si="86"/>
        <v>1.3672338030357715E-2</v>
      </c>
      <c r="K172" s="10">
        <v>1279327442.8399999</v>
      </c>
      <c r="L172" s="13">
        <f t="shared" si="93"/>
        <v>1.3533540067197678E-2</v>
      </c>
      <c r="M172" s="13">
        <f t="shared" si="94"/>
        <v>0.11541689881783011</v>
      </c>
      <c r="N172" s="20">
        <f t="shared" si="95"/>
        <v>1.5339118542190345E-3</v>
      </c>
      <c r="O172" s="21">
        <f t="shared" si="96"/>
        <v>5.3097231377452404E-2</v>
      </c>
      <c r="P172" s="22">
        <f t="shared" si="97"/>
        <v>1.3221959379911903</v>
      </c>
      <c r="Q172" s="22">
        <f t="shared" si="98"/>
        <v>7.0204943645845952E-2</v>
      </c>
      <c r="R172" s="10">
        <v>1.3141</v>
      </c>
      <c r="S172" s="10">
        <v>1.325</v>
      </c>
      <c r="T172" s="10">
        <v>257</v>
      </c>
      <c r="U172" s="10">
        <v>918030269.32000005</v>
      </c>
      <c r="V172" s="10">
        <v>967577804.52999997</v>
      </c>
    </row>
    <row r="173" spans="1:22">
      <c r="A173" s="84">
        <v>151</v>
      </c>
      <c r="B173" s="25" t="s">
        <v>163</v>
      </c>
      <c r="C173" s="25" t="s">
        <v>60</v>
      </c>
      <c r="D173" s="29">
        <v>6977157841.3500004</v>
      </c>
      <c r="E173" s="29">
        <v>51226058.420000002</v>
      </c>
      <c r="F173" s="29">
        <v>2068555228.1300001</v>
      </c>
      <c r="G173" s="10">
        <v>17537315.670000002</v>
      </c>
      <c r="H173" s="12">
        <f t="shared" si="99"/>
        <v>2102243970.8800001</v>
      </c>
      <c r="I173" s="10">
        <v>6280641754.6300001</v>
      </c>
      <c r="J173" s="13">
        <f t="shared" si="86"/>
        <v>7.4869048392248477E-2</v>
      </c>
      <c r="K173" s="10">
        <v>6963815878.8400002</v>
      </c>
      <c r="L173" s="13">
        <f t="shared" si="93"/>
        <v>7.3667677297418369E-2</v>
      </c>
      <c r="M173" s="13">
        <f t="shared" si="94"/>
        <v>0.10877457287010102</v>
      </c>
      <c r="N173" s="20">
        <f t="shared" si="95"/>
        <v>2.5183485570444584E-3</v>
      </c>
      <c r="O173" s="21">
        <f t="shared" si="96"/>
        <v>0.30188103870864863</v>
      </c>
      <c r="P173" s="22">
        <f t="shared" si="97"/>
        <v>11802.887314157237</v>
      </c>
      <c r="Q173" s="22">
        <f t="shared" si="98"/>
        <v>3563.0678821589186</v>
      </c>
      <c r="R173" s="10">
        <v>11802.89</v>
      </c>
      <c r="S173" s="10">
        <v>11891.34</v>
      </c>
      <c r="T173" s="10">
        <v>1431</v>
      </c>
      <c r="U173" s="10">
        <v>562369.25</v>
      </c>
      <c r="V173" s="10">
        <v>590009.52</v>
      </c>
    </row>
    <row r="174" spans="1:22" ht="14.1" customHeight="1">
      <c r="A174" s="84">
        <v>152</v>
      </c>
      <c r="B174" s="25" t="s">
        <v>164</v>
      </c>
      <c r="C174" s="10" t="s">
        <v>62</v>
      </c>
      <c r="D174" s="29">
        <v>1124684542.2</v>
      </c>
      <c r="E174" s="29">
        <v>9596468.3599999994</v>
      </c>
      <c r="F174" s="29">
        <v>67037173.200000003</v>
      </c>
      <c r="G174" s="10">
        <v>2544273.84</v>
      </c>
      <c r="H174" s="12">
        <f t="shared" si="99"/>
        <v>74089367.719999999</v>
      </c>
      <c r="I174" s="10">
        <v>1277811186.6700001</v>
      </c>
      <c r="J174" s="13">
        <f t="shared" si="86"/>
        <v>1.5232282194797565E-2</v>
      </c>
      <c r="K174" s="10">
        <v>1388864688.4300001</v>
      </c>
      <c r="L174" s="13">
        <f t="shared" si="93"/>
        <v>1.4692294778776347E-2</v>
      </c>
      <c r="M174" s="13">
        <f t="shared" si="94"/>
        <v>8.6909163825218572E-2</v>
      </c>
      <c r="N174" s="20">
        <f t="shared" si="95"/>
        <v>1.8319090845891524E-3</v>
      </c>
      <c r="O174" s="21">
        <f t="shared" si="96"/>
        <v>5.3345274264084051E-2</v>
      </c>
      <c r="P174" s="22">
        <f t="shared" si="97"/>
        <v>245.77299837055563</v>
      </c>
      <c r="Q174" s="22">
        <f t="shared" si="98"/>
        <v>13.110828004783572</v>
      </c>
      <c r="R174" s="10">
        <v>244.56</v>
      </c>
      <c r="S174" s="10">
        <v>246.4</v>
      </c>
      <c r="T174" s="10">
        <v>536</v>
      </c>
      <c r="U174" s="10">
        <v>532676</v>
      </c>
      <c r="V174" s="10">
        <v>5651006</v>
      </c>
    </row>
    <row r="175" spans="1:22">
      <c r="A175" s="84">
        <v>153</v>
      </c>
      <c r="B175" s="25" t="s">
        <v>165</v>
      </c>
      <c r="C175" s="10" t="s">
        <v>64</v>
      </c>
      <c r="D175" s="29">
        <v>1425341046.74</v>
      </c>
      <c r="E175" s="29">
        <v>10081994.859999999</v>
      </c>
      <c r="F175" s="29">
        <v>155279006.84999999</v>
      </c>
      <c r="G175" s="10">
        <v>3172791.23</v>
      </c>
      <c r="H175" s="12">
        <f t="shared" si="99"/>
        <v>162188210.47999999</v>
      </c>
      <c r="I175" s="10">
        <v>1270557478.5999999</v>
      </c>
      <c r="J175" s="13">
        <f t="shared" si="86"/>
        <v>1.5145813607393144E-2</v>
      </c>
      <c r="K175" s="10">
        <v>1490792980.6300001</v>
      </c>
      <c r="L175" s="13">
        <f t="shared" si="93"/>
        <v>1.5770557137791696E-2</v>
      </c>
      <c r="M175" s="13">
        <f t="shared" si="94"/>
        <v>0.17333769289420342</v>
      </c>
      <c r="N175" s="20">
        <f t="shared" si="95"/>
        <v>2.1282574248902069E-3</v>
      </c>
      <c r="O175" s="21">
        <f t="shared" si="96"/>
        <v>0.10879324801452998</v>
      </c>
      <c r="P175" s="22">
        <f t="shared" si="97"/>
        <v>2.2577115514964925</v>
      </c>
      <c r="Q175" s="22">
        <f t="shared" si="98"/>
        <v>0.24562377276722719</v>
      </c>
      <c r="R175" s="10">
        <v>2.2336</v>
      </c>
      <c r="S175" s="10">
        <v>2.2732000000000001</v>
      </c>
      <c r="T175" s="10">
        <v>3973</v>
      </c>
      <c r="U175" s="10">
        <v>591959146.16999996</v>
      </c>
      <c r="V175" s="10">
        <v>660311535.21000004</v>
      </c>
    </row>
    <row r="176" spans="1:22">
      <c r="A176" s="84">
        <v>154</v>
      </c>
      <c r="B176" s="25" t="s">
        <v>222</v>
      </c>
      <c r="C176" s="25" t="s">
        <v>48</v>
      </c>
      <c r="D176" s="29">
        <v>201959433.46000001</v>
      </c>
      <c r="E176" s="29">
        <v>398013.69</v>
      </c>
      <c r="F176" s="29">
        <v>0</v>
      </c>
      <c r="G176" s="10">
        <v>517797.52</v>
      </c>
      <c r="H176" s="12">
        <f>(E176+F176)-G176</f>
        <v>-119783.83000000002</v>
      </c>
      <c r="I176" s="10">
        <v>204571527</v>
      </c>
      <c r="J176" s="13">
        <f t="shared" si="86"/>
        <v>2.4386163314200132E-3</v>
      </c>
      <c r="K176" s="10">
        <v>237153299.63999999</v>
      </c>
      <c r="L176" s="13">
        <f t="shared" si="93"/>
        <v>2.5087585674088272E-3</v>
      </c>
      <c r="M176" s="13">
        <f t="shared" si="94"/>
        <v>0.15926836504476005</v>
      </c>
      <c r="N176" s="20">
        <f t="shared" si="95"/>
        <v>2.1833873734247826E-3</v>
      </c>
      <c r="O176" s="21">
        <f t="shared" si="96"/>
        <v>-5.0509029468210026E-4</v>
      </c>
      <c r="P176" s="22">
        <f t="shared" si="97"/>
        <v>221.87978111646612</v>
      </c>
      <c r="Q176" s="22">
        <f t="shared" si="98"/>
        <v>-0.11206932402811579</v>
      </c>
      <c r="R176" s="10">
        <v>221.88</v>
      </c>
      <c r="S176" s="10">
        <v>221.88</v>
      </c>
      <c r="T176" s="10">
        <v>146</v>
      </c>
      <c r="U176" s="10">
        <v>963914.23</v>
      </c>
      <c r="V176" s="10">
        <v>1068836.9099999999</v>
      </c>
    </row>
    <row r="177" spans="1:22">
      <c r="A177" s="84">
        <v>155</v>
      </c>
      <c r="B177" s="25" t="s">
        <v>166</v>
      </c>
      <c r="C177" s="25" t="s">
        <v>167</v>
      </c>
      <c r="D177" s="29">
        <v>379949624.12</v>
      </c>
      <c r="E177" s="29">
        <v>4489539.3600000003</v>
      </c>
      <c r="F177" s="29">
        <v>0</v>
      </c>
      <c r="G177" s="10">
        <v>1313461.6599999999</v>
      </c>
      <c r="H177" s="12">
        <f>(E177+F177)-G177</f>
        <v>3176077.7</v>
      </c>
      <c r="I177" s="10">
        <v>502174620.52999997</v>
      </c>
      <c r="J177" s="13">
        <f t="shared" si="86"/>
        <v>5.9862252035157645E-3</v>
      </c>
      <c r="K177" s="10">
        <v>842902918.60000002</v>
      </c>
      <c r="L177" s="13">
        <f t="shared" si="93"/>
        <v>8.9167636366084321E-3</v>
      </c>
      <c r="M177" s="13">
        <f t="shared" si="94"/>
        <v>0.67850561167426604</v>
      </c>
      <c r="N177" s="20">
        <f t="shared" si="95"/>
        <v>1.5582597129709355E-3</v>
      </c>
      <c r="O177" s="21">
        <f t="shared" si="96"/>
        <v>3.7680231375580389E-3</v>
      </c>
      <c r="P177" s="22">
        <f t="shared" si="97"/>
        <v>176.17830851016245</v>
      </c>
      <c r="Q177" s="22">
        <f t="shared" si="98"/>
        <v>0.66384394280213044</v>
      </c>
      <c r="R177" s="10">
        <v>175.05</v>
      </c>
      <c r="S177" s="10">
        <v>176.13</v>
      </c>
      <c r="T177" s="10">
        <v>128</v>
      </c>
      <c r="U177" s="10">
        <v>2871366</v>
      </c>
      <c r="V177" s="10">
        <v>4784374</v>
      </c>
    </row>
    <row r="178" spans="1:22">
      <c r="A178" s="84">
        <v>156</v>
      </c>
      <c r="B178" s="25" t="s">
        <v>168</v>
      </c>
      <c r="C178" s="10" t="s">
        <v>69</v>
      </c>
      <c r="D178" s="29">
        <v>600788366.32000005</v>
      </c>
      <c r="E178" s="29">
        <v>4778431</v>
      </c>
      <c r="F178" s="29">
        <v>30238914</v>
      </c>
      <c r="G178" s="10">
        <v>1198230</v>
      </c>
      <c r="H178" s="12">
        <f t="shared" si="99"/>
        <v>33819115</v>
      </c>
      <c r="I178" s="10">
        <v>553211334.33000004</v>
      </c>
      <c r="J178" s="13">
        <f t="shared" si="86"/>
        <v>6.5946137001939428E-3</v>
      </c>
      <c r="K178" s="10">
        <v>596509105</v>
      </c>
      <c r="L178" s="13">
        <f t="shared" si="93"/>
        <v>6.3102530303302245E-3</v>
      </c>
      <c r="M178" s="13">
        <f t="shared" si="94"/>
        <v>7.8266239288893702E-2</v>
      </c>
      <c r="N178" s="20">
        <f t="shared" si="95"/>
        <v>2.0087371507933648E-3</v>
      </c>
      <c r="O178" s="21">
        <f t="shared" si="96"/>
        <v>5.6695052458587365E-2</v>
      </c>
      <c r="P178" s="22">
        <f t="shared" si="97"/>
        <v>1.9569004151757994</v>
      </c>
      <c r="Q178" s="22">
        <f t="shared" si="98"/>
        <v>0.11094657169462334</v>
      </c>
      <c r="R178" s="10">
        <v>1.9328000000000001</v>
      </c>
      <c r="S178" s="10">
        <v>1.954</v>
      </c>
      <c r="T178" s="10">
        <v>126</v>
      </c>
      <c r="U178" s="10">
        <v>298225093.35000002</v>
      </c>
      <c r="V178" s="10">
        <v>304823434.23000002</v>
      </c>
    </row>
    <row r="179" spans="1:22">
      <c r="A179" s="84">
        <v>157</v>
      </c>
      <c r="B179" s="10" t="s">
        <v>169</v>
      </c>
      <c r="C179" s="10" t="s">
        <v>73</v>
      </c>
      <c r="D179" s="29">
        <v>15679083983.360001</v>
      </c>
      <c r="E179" s="29">
        <v>80817695.560000002</v>
      </c>
      <c r="F179" s="29">
        <v>754866246.70000005</v>
      </c>
      <c r="G179" s="10">
        <v>24220199.399999999</v>
      </c>
      <c r="H179" s="12">
        <f>(E179+F179)-G179</f>
        <v>811463742.86000001</v>
      </c>
      <c r="I179" s="10">
        <v>13914103761.620001</v>
      </c>
      <c r="J179" s="13">
        <f t="shared" si="86"/>
        <v>0.16586453240953308</v>
      </c>
      <c r="K179" s="10">
        <v>14834026341.25</v>
      </c>
      <c r="L179" s="13">
        <f t="shared" si="93"/>
        <v>0.15692377348015701</v>
      </c>
      <c r="M179" s="13">
        <f t="shared" si="94"/>
        <v>6.6114396973772013E-2</v>
      </c>
      <c r="N179" s="20">
        <f t="shared" si="95"/>
        <v>1.6327461501567662E-3</v>
      </c>
      <c r="O179" s="21">
        <f t="shared" si="96"/>
        <v>5.4702865169081356E-2</v>
      </c>
      <c r="P179" s="22">
        <f t="shared" si="97"/>
        <v>452.73356836280004</v>
      </c>
      <c r="Q179" s="22">
        <f t="shared" si="98"/>
        <v>24.765823347667329</v>
      </c>
      <c r="R179" s="10">
        <v>452.73</v>
      </c>
      <c r="S179" s="10">
        <v>457.19</v>
      </c>
      <c r="T179" s="10">
        <v>5570</v>
      </c>
      <c r="U179" s="10">
        <v>32485898</v>
      </c>
      <c r="V179" s="10">
        <v>32765466</v>
      </c>
    </row>
    <row r="180" spans="1:22" ht="15.6" customHeight="1">
      <c r="A180" s="84">
        <v>158</v>
      </c>
      <c r="B180" s="10" t="s">
        <v>170</v>
      </c>
      <c r="C180" s="25" t="s">
        <v>249</v>
      </c>
      <c r="D180" s="29">
        <v>5916734204.6499996</v>
      </c>
      <c r="E180" s="29">
        <v>31129001.620000001</v>
      </c>
      <c r="F180" s="29">
        <v>103369085.95</v>
      </c>
      <c r="G180" s="10">
        <v>15108334.32</v>
      </c>
      <c r="H180" s="12">
        <f>(E180+F180)-G180</f>
        <v>119389753.25</v>
      </c>
      <c r="I180" s="10">
        <v>4434157712.5699997</v>
      </c>
      <c r="J180" s="13">
        <f t="shared" si="86"/>
        <v>5.2857841814737051E-2</v>
      </c>
      <c r="K180" s="10">
        <v>5671821214.7399998</v>
      </c>
      <c r="L180" s="13">
        <f t="shared" si="93"/>
        <v>6.0000135300205253E-2</v>
      </c>
      <c r="M180" s="13">
        <f t="shared" si="94"/>
        <v>0.2791203160549427</v>
      </c>
      <c r="N180" s="20">
        <f t="shared" si="95"/>
        <v>2.6637536248033124E-3</v>
      </c>
      <c r="O180" s="21">
        <f t="shared" si="96"/>
        <v>2.1049632689360592E-2</v>
      </c>
      <c r="P180" s="22">
        <f t="shared" si="97"/>
        <v>3.2629627513803121</v>
      </c>
      <c r="Q180" s="22">
        <f t="shared" si="98"/>
        <v>6.8684167395620999E-2</v>
      </c>
      <c r="R180" s="10">
        <v>3.2366999999999999</v>
      </c>
      <c r="S180" s="10">
        <v>3.2850000000000001</v>
      </c>
      <c r="T180" s="10">
        <v>10293</v>
      </c>
      <c r="U180" s="10">
        <v>1433543302.46</v>
      </c>
      <c r="V180" s="10">
        <v>1738242709.74</v>
      </c>
    </row>
    <row r="181" spans="1:22">
      <c r="A181" s="84">
        <v>159</v>
      </c>
      <c r="B181" s="25" t="s">
        <v>171</v>
      </c>
      <c r="C181" s="10" t="s">
        <v>77</v>
      </c>
      <c r="D181" s="29">
        <v>241128886.31</v>
      </c>
      <c r="E181" s="29">
        <v>4355859.29</v>
      </c>
      <c r="F181" s="29">
        <v>0</v>
      </c>
      <c r="G181" s="10">
        <v>585557.32999999996</v>
      </c>
      <c r="H181" s="12">
        <f t="shared" si="99"/>
        <v>3770301.96</v>
      </c>
      <c r="I181" s="10">
        <v>304938244.20999998</v>
      </c>
      <c r="J181" s="13">
        <f t="shared" si="86"/>
        <v>3.6350483046697414E-3</v>
      </c>
      <c r="K181" s="10">
        <v>313928033.69</v>
      </c>
      <c r="L181" s="13">
        <f t="shared" si="93"/>
        <v>3.3209305764040791E-3</v>
      </c>
      <c r="M181" s="13">
        <f t="shared" si="94"/>
        <v>2.9480688797463774E-2</v>
      </c>
      <c r="N181" s="20">
        <f t="shared" si="95"/>
        <v>1.8652597638929898E-3</v>
      </c>
      <c r="O181" s="21">
        <f t="shared" si="96"/>
        <v>1.2010083698747101E-2</v>
      </c>
      <c r="P181" s="22">
        <f t="shared" si="97"/>
        <v>357.85375146115319</v>
      </c>
      <c r="Q181" s="22">
        <f t="shared" si="98"/>
        <v>4.2978535069590924</v>
      </c>
      <c r="R181" s="10">
        <v>358.23</v>
      </c>
      <c r="S181" s="10">
        <v>360.77</v>
      </c>
      <c r="T181" s="10">
        <v>65</v>
      </c>
      <c r="U181" s="10">
        <v>877252.32</v>
      </c>
      <c r="V181" s="10">
        <v>877252.32</v>
      </c>
    </row>
    <row r="182" spans="1:22">
      <c r="A182" s="84">
        <v>160</v>
      </c>
      <c r="B182" s="25" t="s">
        <v>225</v>
      </c>
      <c r="C182" s="25" t="s">
        <v>224</v>
      </c>
      <c r="D182" s="29">
        <v>72048861.590000004</v>
      </c>
      <c r="E182" s="29">
        <v>3522734.91</v>
      </c>
      <c r="F182" s="29">
        <v>0</v>
      </c>
      <c r="G182" s="10">
        <v>113057.79</v>
      </c>
      <c r="H182" s="12">
        <f>(E182+F182)-G182</f>
        <v>3409677.12</v>
      </c>
      <c r="I182" s="10">
        <v>69633779.780000001</v>
      </c>
      <c r="J182" s="13">
        <f t="shared" si="86"/>
        <v>8.3007677109440893E-4</v>
      </c>
      <c r="K182" s="10">
        <v>72452500.170000002</v>
      </c>
      <c r="L182" s="13">
        <f t="shared" si="93"/>
        <v>7.6644866762384735E-4</v>
      </c>
      <c r="M182" s="13">
        <f t="shared" si="94"/>
        <v>4.0479209930947689E-2</v>
      </c>
      <c r="N182" s="20">
        <f t="shared" si="95"/>
        <v>1.5604401467820318E-3</v>
      </c>
      <c r="O182" s="21">
        <f t="shared" si="96"/>
        <v>4.7060862109653268E-2</v>
      </c>
      <c r="P182" s="22">
        <f t="shared" si="97"/>
        <v>1.4326320402190893</v>
      </c>
      <c r="Q182" s="22">
        <f t="shared" si="98"/>
        <v>6.7420898898621795E-2</v>
      </c>
      <c r="R182" s="10">
        <v>1.498</v>
      </c>
      <c r="S182" s="10">
        <v>1.498</v>
      </c>
      <c r="T182" s="10">
        <v>25</v>
      </c>
      <c r="U182" s="10">
        <v>50573000</v>
      </c>
      <c r="V182" s="10">
        <v>50573000</v>
      </c>
    </row>
    <row r="183" spans="1:22">
      <c r="A183" s="84">
        <v>161</v>
      </c>
      <c r="B183" s="10" t="s">
        <v>172</v>
      </c>
      <c r="C183" s="10" t="s">
        <v>36</v>
      </c>
      <c r="D183" s="29">
        <v>8625946528.5300007</v>
      </c>
      <c r="E183" s="29">
        <v>51875162.259999998</v>
      </c>
      <c r="F183" s="29">
        <v>252382027.75999999</v>
      </c>
      <c r="G183" s="10">
        <v>15974317.48</v>
      </c>
      <c r="H183" s="12">
        <f t="shared" si="99"/>
        <v>288282872.53999996</v>
      </c>
      <c r="I183" s="10">
        <v>5971247802.6499996</v>
      </c>
      <c r="J183" s="13">
        <f t="shared" si="86"/>
        <v>7.1180885356045456E-2</v>
      </c>
      <c r="K183" s="10">
        <v>8470939353.3800001</v>
      </c>
      <c r="L183" s="13">
        <f t="shared" si="93"/>
        <v>8.9610988795233396E-2</v>
      </c>
      <c r="M183" s="13">
        <f t="shared" si="94"/>
        <v>0.41862130552020538</v>
      </c>
      <c r="N183" s="20">
        <f t="shared" si="95"/>
        <v>1.8857787564759353E-3</v>
      </c>
      <c r="O183" s="21">
        <f t="shared" si="96"/>
        <v>3.4031984000094613E-2</v>
      </c>
      <c r="P183" s="22">
        <f t="shared" si="97"/>
        <v>6.675296290223093</v>
      </c>
      <c r="Q183" s="22">
        <f t="shared" si="98"/>
        <v>0.22717357654476322</v>
      </c>
      <c r="R183" s="10">
        <v>6.66</v>
      </c>
      <c r="S183" s="10">
        <v>6.77</v>
      </c>
      <c r="T183" s="10">
        <v>4617</v>
      </c>
      <c r="U183" s="10">
        <v>952386309.00999999</v>
      </c>
      <c r="V183" s="10">
        <v>1268998256.4200001</v>
      </c>
    </row>
    <row r="184" spans="1:22">
      <c r="A184" s="84">
        <v>162</v>
      </c>
      <c r="B184" s="25" t="s">
        <v>253</v>
      </c>
      <c r="C184" s="25" t="s">
        <v>254</v>
      </c>
      <c r="D184" s="17">
        <v>106295524.33</v>
      </c>
      <c r="E184" s="17">
        <v>1009970.8</v>
      </c>
      <c r="F184" s="17">
        <v>2081073.26</v>
      </c>
      <c r="G184" s="17">
        <v>358199.31</v>
      </c>
      <c r="H184" s="12">
        <f t="shared" si="99"/>
        <v>2732844.75</v>
      </c>
      <c r="I184" s="17">
        <v>100777649.59999999</v>
      </c>
      <c r="J184" s="13">
        <f t="shared" si="86"/>
        <v>1.2013305358799201E-3</v>
      </c>
      <c r="K184" s="17">
        <v>104713815.45999999</v>
      </c>
      <c r="L184" s="13">
        <f t="shared" si="93"/>
        <v>1.1077293972300806E-3</v>
      </c>
      <c r="M184" s="13">
        <f t="shared" si="94"/>
        <v>3.9057924803993442E-2</v>
      </c>
      <c r="N184" s="20">
        <f t="shared" si="95"/>
        <v>3.4207454711344164E-3</v>
      </c>
      <c r="O184" s="21">
        <f t="shared" si="96"/>
        <v>2.6098225320076596E-2</v>
      </c>
      <c r="P184" s="22">
        <f t="shared" si="97"/>
        <v>2.8832857151904325</v>
      </c>
      <c r="Q184" s="22">
        <f t="shared" si="98"/>
        <v>7.5248640257198102E-2</v>
      </c>
      <c r="R184" s="17">
        <v>2.8731</v>
      </c>
      <c r="S184" s="17">
        <v>2.8891</v>
      </c>
      <c r="T184" s="17">
        <v>112</v>
      </c>
      <c r="U184" s="17">
        <v>36024365</v>
      </c>
      <c r="V184" s="17">
        <v>36317530</v>
      </c>
    </row>
    <row r="185" spans="1:22">
      <c r="A185" s="84">
        <v>163</v>
      </c>
      <c r="B185" s="10" t="s">
        <v>173</v>
      </c>
      <c r="C185" s="10" t="s">
        <v>115</v>
      </c>
      <c r="D185" s="29">
        <v>1076774063.3800001</v>
      </c>
      <c r="E185" s="29">
        <v>9420481.9700000007</v>
      </c>
      <c r="F185" s="29">
        <v>166476987.16999999</v>
      </c>
      <c r="G185" s="10">
        <v>1710020.79</v>
      </c>
      <c r="H185" s="12">
        <f t="shared" si="99"/>
        <v>174187448.34999999</v>
      </c>
      <c r="I185" s="10">
        <v>1055725029.35</v>
      </c>
      <c r="J185" s="13">
        <f t="shared" si="86"/>
        <v>1.2584880876710584E-2</v>
      </c>
      <c r="K185" s="10">
        <v>1067316731.17</v>
      </c>
      <c r="L185" s="13">
        <f t="shared" si="93"/>
        <v>1.129075580026166E-2</v>
      </c>
      <c r="M185" s="13">
        <f t="shared" si="94"/>
        <v>1.0979849390458077E-2</v>
      </c>
      <c r="N185" s="20">
        <f t="shared" si="95"/>
        <v>1.6021680725696705E-3</v>
      </c>
      <c r="O185" s="21">
        <f t="shared" si="96"/>
        <v>0.16320127218380107</v>
      </c>
      <c r="P185" s="22">
        <f t="shared" si="97"/>
        <v>375.65996263817016</v>
      </c>
      <c r="Q185" s="22">
        <f t="shared" si="98"/>
        <v>61.308183811068552</v>
      </c>
      <c r="R185" s="10">
        <v>368.57</v>
      </c>
      <c r="S185" s="10">
        <v>373.57</v>
      </c>
      <c r="T185" s="10">
        <v>253</v>
      </c>
      <c r="U185" s="10">
        <v>2824120.66</v>
      </c>
      <c r="V185" s="10">
        <v>2841177.76</v>
      </c>
    </row>
    <row r="186" spans="1:22">
      <c r="A186" s="84">
        <v>164</v>
      </c>
      <c r="B186" s="25" t="s">
        <v>174</v>
      </c>
      <c r="C186" s="10" t="s">
        <v>32</v>
      </c>
      <c r="D186" s="29">
        <v>2405847609.0799999</v>
      </c>
      <c r="E186" s="29">
        <v>15606005.710000001</v>
      </c>
      <c r="F186" s="29">
        <v>0</v>
      </c>
      <c r="G186" s="10">
        <v>6196482.1600000001</v>
      </c>
      <c r="H186" s="12">
        <f t="shared" si="99"/>
        <v>9409523.5500000007</v>
      </c>
      <c r="I186" s="10">
        <v>2154344352.79</v>
      </c>
      <c r="J186" s="13">
        <f t="shared" si="86"/>
        <v>2.5681087682432817E-2</v>
      </c>
      <c r="K186" s="10">
        <v>2302583037.21</v>
      </c>
      <c r="L186" s="13">
        <f t="shared" si="93"/>
        <v>2.4358189114550691E-2</v>
      </c>
      <c r="M186" s="13">
        <f t="shared" si="94"/>
        <v>6.8809187457902196E-2</v>
      </c>
      <c r="N186" s="20">
        <f t="shared" si="95"/>
        <v>2.6911004119565523E-3</v>
      </c>
      <c r="O186" s="21">
        <f t="shared" si="96"/>
        <v>4.0865078036018878E-3</v>
      </c>
      <c r="P186" s="22">
        <f t="shared" si="97"/>
        <v>3086.7793246330184</v>
      </c>
      <c r="Q186" s="22">
        <f t="shared" si="98"/>
        <v>12.614147798109794</v>
      </c>
      <c r="R186" s="10">
        <v>552.22</v>
      </c>
      <c r="S186" s="10">
        <v>552.22</v>
      </c>
      <c r="T186" s="10">
        <v>823</v>
      </c>
      <c r="U186" s="10">
        <v>745950</v>
      </c>
      <c r="V186" s="10">
        <v>745950</v>
      </c>
    </row>
    <row r="187" spans="1:22">
      <c r="A187" s="84">
        <v>165</v>
      </c>
      <c r="B187" s="25" t="s">
        <v>175</v>
      </c>
      <c r="C187" s="10" t="s">
        <v>83</v>
      </c>
      <c r="D187" s="29">
        <v>34121703.5</v>
      </c>
      <c r="E187" s="29">
        <v>25831.5</v>
      </c>
      <c r="F187" s="29">
        <v>2588548</v>
      </c>
      <c r="G187" s="10">
        <v>19247.04</v>
      </c>
      <c r="H187" s="12">
        <f t="shared" si="99"/>
        <v>2595132.46</v>
      </c>
      <c r="I187" s="10">
        <v>48346088.539999999</v>
      </c>
      <c r="J187" s="13">
        <f t="shared" si="86"/>
        <v>5.76314616226734E-4</v>
      </c>
      <c r="K187" s="10">
        <v>50029495.329999998</v>
      </c>
      <c r="L187" s="13">
        <f t="shared" si="93"/>
        <v>5.2924384869535953E-4</v>
      </c>
      <c r="M187" s="13">
        <f t="shared" si="94"/>
        <v>3.4819916995088497E-2</v>
      </c>
      <c r="N187" s="20">
        <f t="shared" si="95"/>
        <v>3.8471385475796684E-4</v>
      </c>
      <c r="O187" s="21">
        <f t="shared" si="96"/>
        <v>5.187204953562341E-2</v>
      </c>
      <c r="P187" s="22">
        <f t="shared" si="97"/>
        <v>2.8797369473347061</v>
      </c>
      <c r="Q187" s="22">
        <f t="shared" si="98"/>
        <v>0.14937785758171082</v>
      </c>
      <c r="R187" s="10">
        <v>2.78</v>
      </c>
      <c r="S187" s="10">
        <v>2.78</v>
      </c>
      <c r="T187" s="10">
        <v>8</v>
      </c>
      <c r="U187" s="10">
        <v>17729679.600000001</v>
      </c>
      <c r="V187" s="10">
        <v>17372939.350000001</v>
      </c>
    </row>
    <row r="188" spans="1:22">
      <c r="A188" s="84">
        <v>166</v>
      </c>
      <c r="B188" s="10" t="s">
        <v>176</v>
      </c>
      <c r="C188" s="10" t="s">
        <v>42</v>
      </c>
      <c r="D188" s="29">
        <v>432170892.13</v>
      </c>
      <c r="E188" s="29">
        <v>11870636.130000001</v>
      </c>
      <c r="F188" s="29">
        <v>141770294.93000001</v>
      </c>
      <c r="G188" s="10">
        <v>658024.04</v>
      </c>
      <c r="H188" s="12">
        <f t="shared" si="99"/>
        <v>152982907.02000001</v>
      </c>
      <c r="I188" s="10">
        <v>403518274.29000002</v>
      </c>
      <c r="J188" s="13">
        <f t="shared" si="86"/>
        <v>4.8101818867002663E-3</v>
      </c>
      <c r="K188" s="10">
        <v>457101246.30000001</v>
      </c>
      <c r="L188" s="13">
        <f t="shared" si="93"/>
        <v>4.8355079586459918E-3</v>
      </c>
      <c r="M188" s="13">
        <f t="shared" si="94"/>
        <v>0.13278945570502476</v>
      </c>
      <c r="N188" s="20">
        <f t="shared" si="95"/>
        <v>1.4395586214790857E-3</v>
      </c>
      <c r="O188" s="21">
        <f t="shared" si="96"/>
        <v>0.3346805729765957</v>
      </c>
      <c r="P188" s="22">
        <f t="shared" si="97"/>
        <v>3.6985016797232388</v>
      </c>
      <c r="Q188" s="22">
        <f t="shared" si="98"/>
        <v>1.2378166613246753</v>
      </c>
      <c r="R188" s="10">
        <v>3.71</v>
      </c>
      <c r="S188" s="10">
        <v>3.77</v>
      </c>
      <c r="T188" s="10">
        <v>138</v>
      </c>
      <c r="U188" s="10">
        <v>118933459.52</v>
      </c>
      <c r="V188" s="10">
        <v>123590925.7</v>
      </c>
    </row>
    <row r="189" spans="1:22">
      <c r="A189" s="84">
        <v>167</v>
      </c>
      <c r="B189" s="10" t="s">
        <v>320</v>
      </c>
      <c r="C189" s="10" t="s">
        <v>305</v>
      </c>
      <c r="D189" s="29">
        <v>198137648.33000001</v>
      </c>
      <c r="E189" s="29">
        <v>1946434.85</v>
      </c>
      <c r="F189" s="29">
        <v>3733592.1</v>
      </c>
      <c r="G189" s="10">
        <v>329108.68</v>
      </c>
      <c r="H189" s="12">
        <f t="shared" ref="H189" si="101">(E189+F189)-G189</f>
        <v>5350918.2700000005</v>
      </c>
      <c r="I189" s="10">
        <v>206875863.08000001</v>
      </c>
      <c r="J189" s="13">
        <f t="shared" si="86"/>
        <v>2.466085411209247E-3</v>
      </c>
      <c r="K189" s="10">
        <v>208463836.06999999</v>
      </c>
      <c r="L189" s="13">
        <f t="shared" si="93"/>
        <v>2.2052631590174648E-3</v>
      </c>
      <c r="M189" s="13">
        <f t="shared" si="94"/>
        <v>7.6759703445244453E-3</v>
      </c>
      <c r="N189" s="20">
        <f t="shared" si="95"/>
        <v>1.5787327250827751E-3</v>
      </c>
      <c r="O189" s="21">
        <f t="shared" si="96"/>
        <v>2.5668328717712064E-2</v>
      </c>
      <c r="P189" s="22">
        <f t="shared" si="97"/>
        <v>118.28844103288432</v>
      </c>
      <c r="Q189" s="22">
        <f t="shared" si="98"/>
        <v>3.0362665879377744</v>
      </c>
      <c r="R189" s="10">
        <v>117.9</v>
      </c>
      <c r="S189" s="10">
        <v>118.55</v>
      </c>
      <c r="T189" s="10">
        <v>107</v>
      </c>
      <c r="U189" s="10">
        <v>1789178.65</v>
      </c>
      <c r="V189" s="10">
        <v>1762334.8</v>
      </c>
    </row>
    <row r="190" spans="1:22">
      <c r="A190" s="84">
        <v>168</v>
      </c>
      <c r="B190" s="25" t="s">
        <v>177</v>
      </c>
      <c r="C190" s="25" t="s">
        <v>46</v>
      </c>
      <c r="D190" s="29">
        <v>5904226915.71</v>
      </c>
      <c r="E190" s="29">
        <v>30740547.07</v>
      </c>
      <c r="F190" s="29">
        <v>262904962.78999999</v>
      </c>
      <c r="G190" s="10">
        <v>10830290.029999999</v>
      </c>
      <c r="H190" s="12">
        <f t="shared" si="99"/>
        <v>282815219.83000004</v>
      </c>
      <c r="I190" s="10">
        <v>4982420408.8699999</v>
      </c>
      <c r="J190" s="13">
        <f t="shared" si="86"/>
        <v>5.939346475656293E-2</v>
      </c>
      <c r="K190" s="10">
        <v>6188657629.3699999</v>
      </c>
      <c r="L190" s="13">
        <f t="shared" si="93"/>
        <v>6.5467559894845706E-2</v>
      </c>
      <c r="M190" s="13">
        <f t="shared" si="94"/>
        <v>0.24209864313187723</v>
      </c>
      <c r="N190" s="20">
        <f t="shared" si="95"/>
        <v>1.7500224893039549E-3</v>
      </c>
      <c r="O190" s="21">
        <f t="shared" si="96"/>
        <v>4.5698960383237487E-2</v>
      </c>
      <c r="P190" s="22">
        <f t="shared" si="97"/>
        <v>10247.103012147669</v>
      </c>
      <c r="Q190" s="22">
        <f t="shared" si="98"/>
        <v>468.28195459508981</v>
      </c>
      <c r="R190" s="10">
        <v>10194.56</v>
      </c>
      <c r="S190" s="10">
        <v>10283.11</v>
      </c>
      <c r="T190" s="10">
        <v>4402</v>
      </c>
      <c r="U190" s="10">
        <v>513784.88</v>
      </c>
      <c r="V190" s="10">
        <v>603942.17000000004</v>
      </c>
    </row>
    <row r="191" spans="1:22">
      <c r="A191" s="84">
        <v>169</v>
      </c>
      <c r="B191" s="25" t="s">
        <v>299</v>
      </c>
      <c r="C191" s="25" t="s">
        <v>297</v>
      </c>
      <c r="D191" s="29">
        <v>151820565.41999999</v>
      </c>
      <c r="E191" s="29">
        <v>8735391.5600000005</v>
      </c>
      <c r="F191" s="29">
        <v>4906899.4000000004</v>
      </c>
      <c r="G191" s="10">
        <v>1378995.04</v>
      </c>
      <c r="H191" s="12">
        <f t="shared" si="99"/>
        <v>12263295.920000002</v>
      </c>
      <c r="I191" s="10">
        <v>166494047.27000001</v>
      </c>
      <c r="J191" s="13">
        <f t="shared" si="86"/>
        <v>1.9847097429000356E-3</v>
      </c>
      <c r="K191" s="10">
        <v>167441108.22999999</v>
      </c>
      <c r="L191" s="13">
        <f t="shared" si="93"/>
        <v>1.7712986302366811E-3</v>
      </c>
      <c r="M191" s="13">
        <f t="shared" si="94"/>
        <v>5.6882571811360258E-3</v>
      </c>
      <c r="N191" s="20">
        <f t="shared" si="95"/>
        <v>8.235701821238478E-3</v>
      </c>
      <c r="O191" s="21">
        <f t="shared" si="96"/>
        <v>7.3239457440492609E-2</v>
      </c>
      <c r="P191" s="22">
        <f t="shared" si="97"/>
        <v>1511.8132333064461</v>
      </c>
      <c r="Q191" s="22">
        <f t="shared" si="98"/>
        <v>110.72438095872099</v>
      </c>
      <c r="R191" s="10">
        <v>1497.3810000000001</v>
      </c>
      <c r="S191" s="10">
        <v>1497.3810000000001</v>
      </c>
      <c r="T191" s="10">
        <v>46</v>
      </c>
      <c r="U191" s="10">
        <v>114419.1057</v>
      </c>
      <c r="V191" s="10">
        <v>110755.1545</v>
      </c>
    </row>
    <row r="192" spans="1:22">
      <c r="A192" s="84">
        <v>170</v>
      </c>
      <c r="B192" s="25" t="s">
        <v>223</v>
      </c>
      <c r="C192" s="25" t="s">
        <v>224</v>
      </c>
      <c r="D192" s="29">
        <v>751117264.79999995</v>
      </c>
      <c r="E192" s="29">
        <v>12189648.359999999</v>
      </c>
      <c r="F192" s="29">
        <v>0</v>
      </c>
      <c r="G192" s="10">
        <v>1233619.75</v>
      </c>
      <c r="H192" s="12">
        <f t="shared" si="99"/>
        <v>10956028.609999999</v>
      </c>
      <c r="I192" s="10">
        <v>724699409.74000001</v>
      </c>
      <c r="J192" s="13">
        <f t="shared" si="86"/>
        <v>8.6388552790262335E-3</v>
      </c>
      <c r="K192" s="10">
        <v>749020365.91999996</v>
      </c>
      <c r="L192" s="13">
        <f t="shared" si="93"/>
        <v>7.9236142318829042E-3</v>
      </c>
      <c r="M192" s="13">
        <f t="shared" si="94"/>
        <v>3.3560060699822515E-2</v>
      </c>
      <c r="N192" s="20">
        <f t="shared" si="95"/>
        <v>1.6469775804891242E-3</v>
      </c>
      <c r="O192" s="21">
        <f t="shared" si="96"/>
        <v>1.4627143811427648E-2</v>
      </c>
      <c r="P192" s="22">
        <f t="shared" si="97"/>
        <v>1.4269772640883978</v>
      </c>
      <c r="Q192" s="22">
        <f t="shared" si="98"/>
        <v>2.0872601657458561E-2</v>
      </c>
      <c r="R192" s="10">
        <v>1.5469999999999999</v>
      </c>
      <c r="S192" s="10">
        <v>1.5469999999999999</v>
      </c>
      <c r="T192" s="10">
        <v>43</v>
      </c>
      <c r="U192" s="10">
        <v>525000000</v>
      </c>
      <c r="V192" s="10">
        <v>524900000</v>
      </c>
    </row>
    <row r="193" spans="1:22">
      <c r="A193" s="84">
        <v>171</v>
      </c>
      <c r="B193" s="25" t="s">
        <v>178</v>
      </c>
      <c r="C193" s="25" t="s">
        <v>50</v>
      </c>
      <c r="D193" s="29">
        <v>3568397837</v>
      </c>
      <c r="E193" s="29">
        <v>24864281</v>
      </c>
      <c r="F193" s="29">
        <v>186789177</v>
      </c>
      <c r="G193" s="10">
        <v>6830486</v>
      </c>
      <c r="H193" s="12">
        <f t="shared" si="99"/>
        <v>204822972</v>
      </c>
      <c r="I193" s="10">
        <v>3746169423.0999999</v>
      </c>
      <c r="J193" s="13">
        <f t="shared" si="86"/>
        <v>4.4656605293061868E-2</v>
      </c>
      <c r="K193" s="10">
        <v>4260273966.6900001</v>
      </c>
      <c r="L193" s="13">
        <f t="shared" si="93"/>
        <v>4.5067889966813733E-2</v>
      </c>
      <c r="M193" s="13">
        <f t="shared" si="94"/>
        <v>0.13723472847220361</v>
      </c>
      <c r="N193" s="20">
        <f t="shared" si="95"/>
        <v>1.6032973591383641E-3</v>
      </c>
      <c r="O193" s="21">
        <f t="shared" si="96"/>
        <v>4.8077417931677351E-2</v>
      </c>
      <c r="P193" s="22">
        <f t="shared" si="97"/>
        <v>2.3773303567429291</v>
      </c>
      <c r="Q193" s="22">
        <f t="shared" si="98"/>
        <v>0.11429590512279342</v>
      </c>
      <c r="R193" s="10">
        <v>2.38</v>
      </c>
      <c r="S193" s="10">
        <v>2.39</v>
      </c>
      <c r="T193" s="10">
        <v>1617</v>
      </c>
      <c r="U193" s="10">
        <v>1651332828</v>
      </c>
      <c r="V193" s="10">
        <v>1792041209</v>
      </c>
    </row>
    <row r="194" spans="1:22">
      <c r="A194" s="84">
        <v>172</v>
      </c>
      <c r="B194" s="90" t="s">
        <v>179</v>
      </c>
      <c r="C194" s="25" t="s">
        <v>90</v>
      </c>
      <c r="D194" s="29">
        <v>8969684260.0400009</v>
      </c>
      <c r="E194" s="29">
        <v>24570309.300000001</v>
      </c>
      <c r="F194" s="29">
        <v>404015520.73000002</v>
      </c>
      <c r="G194" s="10">
        <v>17073656.719999999</v>
      </c>
      <c r="H194" s="12">
        <f t="shared" si="99"/>
        <v>411512173.31000006</v>
      </c>
      <c r="I194" s="10">
        <v>10760392964.66</v>
      </c>
      <c r="J194" s="13">
        <f t="shared" si="86"/>
        <v>0.12827039227270806</v>
      </c>
      <c r="K194" s="10">
        <v>11242811302.35</v>
      </c>
      <c r="L194" s="13">
        <f t="shared" si="93"/>
        <v>0.11893361475192402</v>
      </c>
      <c r="M194" s="13">
        <f t="shared" si="94"/>
        <v>4.4832780668363229E-2</v>
      </c>
      <c r="N194" s="20">
        <f t="shared" si="95"/>
        <v>1.5186287718296243E-3</v>
      </c>
      <c r="O194" s="21">
        <f t="shared" si="96"/>
        <v>3.6602248516257208E-2</v>
      </c>
      <c r="P194" s="22">
        <f t="shared" si="97"/>
        <v>719.2241915253278</v>
      </c>
      <c r="Q194" s="22">
        <f t="shared" si="98"/>
        <v>26.32522259711422</v>
      </c>
      <c r="R194" s="10">
        <v>713.88</v>
      </c>
      <c r="S194" s="10">
        <v>721.96</v>
      </c>
      <c r="T194" s="10">
        <v>38</v>
      </c>
      <c r="U194" s="10">
        <v>15534411.109999999</v>
      </c>
      <c r="V194" s="10">
        <v>15631859.210000001</v>
      </c>
    </row>
    <row r="195" spans="1:22">
      <c r="A195" s="84">
        <v>173</v>
      </c>
      <c r="B195" s="25" t="s">
        <v>180</v>
      </c>
      <c r="C195" s="25" t="s">
        <v>50</v>
      </c>
      <c r="D195" s="29">
        <v>1989981001.0999999</v>
      </c>
      <c r="E195" s="29">
        <v>20403272</v>
      </c>
      <c r="F195" s="29">
        <v>116007165.12</v>
      </c>
      <c r="G195" s="10">
        <v>441008</v>
      </c>
      <c r="H195" s="12">
        <f t="shared" si="99"/>
        <v>135969429.12</v>
      </c>
      <c r="I195" s="10">
        <v>2473158305</v>
      </c>
      <c r="J195" s="13">
        <f t="shared" si="86"/>
        <v>2.9481542818810939E-2</v>
      </c>
      <c r="K195" s="10">
        <v>2811969653</v>
      </c>
      <c r="L195" s="13">
        <f t="shared" si="93"/>
        <v>2.9746804994770164E-2</v>
      </c>
      <c r="M195" s="13">
        <f t="shared" si="94"/>
        <v>0.13699541485679381</v>
      </c>
      <c r="N195" s="20">
        <f t="shared" si="95"/>
        <v>1.5683241799195903E-4</v>
      </c>
      <c r="O195" s="21">
        <f t="shared" si="96"/>
        <v>4.8353803880827301E-2</v>
      </c>
      <c r="P195" s="22">
        <f t="shared" si="97"/>
        <v>1.9017404503891009</v>
      </c>
      <c r="Q195" s="22">
        <f t="shared" si="98"/>
        <v>9.1956384770350771E-2</v>
      </c>
      <c r="R195" s="10">
        <v>1.9</v>
      </c>
      <c r="S195" s="10">
        <v>1.91</v>
      </c>
      <c r="T195" s="10">
        <v>422</v>
      </c>
      <c r="U195" s="10">
        <v>1378615311</v>
      </c>
      <c r="V195" s="10">
        <v>1478629564</v>
      </c>
    </row>
    <row r="196" spans="1:22">
      <c r="A196" s="84">
        <v>174</v>
      </c>
      <c r="B196" s="25" t="s">
        <v>181</v>
      </c>
      <c r="C196" s="25" t="s">
        <v>94</v>
      </c>
      <c r="D196" s="29">
        <v>6159588090.0600004</v>
      </c>
      <c r="E196" s="29">
        <v>29283247.370000001</v>
      </c>
      <c r="F196" s="29">
        <v>336013961.85000002</v>
      </c>
      <c r="G196" s="10">
        <v>28482292.699999999</v>
      </c>
      <c r="H196" s="12">
        <f t="shared" si="99"/>
        <v>336814916.52000004</v>
      </c>
      <c r="I196" s="10">
        <v>5792755228.6099997</v>
      </c>
      <c r="J196" s="13">
        <f t="shared" si="86"/>
        <v>6.9053145917061159E-2</v>
      </c>
      <c r="K196" s="10">
        <v>6225904338.0299997</v>
      </c>
      <c r="L196" s="13">
        <f t="shared" si="93"/>
        <v>6.5861579289053604E-2</v>
      </c>
      <c r="M196" s="13">
        <f t="shared" si="94"/>
        <v>7.4774281378351348E-2</v>
      </c>
      <c r="N196" s="20">
        <f t="shared" si="95"/>
        <v>4.5748041013126718E-3</v>
      </c>
      <c r="O196" s="21">
        <f t="shared" si="96"/>
        <v>5.409895466311887E-2</v>
      </c>
      <c r="P196" s="22">
        <f t="shared" si="97"/>
        <v>36.67397536816754</v>
      </c>
      <c r="Q196" s="22">
        <f t="shared" si="98"/>
        <v>1.9840237307588335</v>
      </c>
      <c r="R196" s="10">
        <v>36.459099999999999</v>
      </c>
      <c r="S196" s="10">
        <v>36.905500000000004</v>
      </c>
      <c r="T196" s="10">
        <v>6217</v>
      </c>
      <c r="U196" s="10">
        <v>169706811.28999999</v>
      </c>
      <c r="V196" s="10">
        <v>169763552.37</v>
      </c>
    </row>
    <row r="197" spans="1:22" ht="15" customHeight="1">
      <c r="A197" s="105" t="s">
        <v>51</v>
      </c>
      <c r="B197" s="105"/>
      <c r="C197" s="105"/>
      <c r="D197" s="105"/>
      <c r="E197" s="105"/>
      <c r="F197" s="105"/>
      <c r="G197" s="105"/>
      <c r="H197" s="105"/>
      <c r="I197" s="36">
        <f>SUM(I168:I196)</f>
        <v>83888360938.220001</v>
      </c>
      <c r="J197" s="34">
        <f>(I197/$I$240)</f>
        <v>1.0755193751692396E-2</v>
      </c>
      <c r="K197" s="36">
        <f>SUM(K168:K196)</f>
        <v>94530140413.209991</v>
      </c>
      <c r="L197" s="34">
        <f>(K197/$K$240)</f>
        <v>1.1627386455005218E-2</v>
      </c>
      <c r="M197" s="34">
        <f t="shared" si="88"/>
        <v>0.12685644773566598</v>
      </c>
      <c r="N197" s="20"/>
      <c r="O197" s="20"/>
      <c r="P197" s="35"/>
      <c r="Q197" s="35"/>
      <c r="R197" s="36"/>
      <c r="S197" s="36"/>
      <c r="T197" s="36">
        <f>SUM(T168:T196)</f>
        <v>78723</v>
      </c>
      <c r="U197" s="36"/>
      <c r="V197" s="39"/>
    </row>
    <row r="198" spans="1:22" ht="6" customHeight="1">
      <c r="A198" s="111"/>
      <c r="B198" s="111"/>
      <c r="C198" s="111"/>
      <c r="D198" s="111"/>
      <c r="E198" s="111"/>
      <c r="F198" s="111"/>
      <c r="G198" s="111"/>
      <c r="H198" s="111"/>
      <c r="I198" s="111"/>
      <c r="J198" s="111"/>
      <c r="K198" s="111"/>
      <c r="L198" s="111"/>
      <c r="M198" s="111"/>
      <c r="N198" s="111"/>
      <c r="O198" s="111"/>
      <c r="P198" s="111"/>
      <c r="Q198" s="111"/>
      <c r="R198" s="111"/>
      <c r="S198" s="111"/>
      <c r="T198" s="111"/>
      <c r="U198" s="111"/>
      <c r="V198" s="111"/>
    </row>
    <row r="199" spans="1:22">
      <c r="A199" s="104" t="s">
        <v>182</v>
      </c>
      <c r="B199" s="104"/>
      <c r="C199" s="104"/>
      <c r="D199" s="104"/>
      <c r="E199" s="104"/>
      <c r="F199" s="104"/>
      <c r="G199" s="104"/>
      <c r="H199" s="104"/>
      <c r="I199" s="104"/>
      <c r="J199" s="104"/>
      <c r="K199" s="104"/>
      <c r="L199" s="104"/>
      <c r="M199" s="104"/>
      <c r="N199" s="104"/>
      <c r="O199" s="104"/>
      <c r="P199" s="104"/>
      <c r="Q199" s="104"/>
      <c r="R199" s="104"/>
      <c r="S199" s="104"/>
      <c r="T199" s="104"/>
      <c r="U199" s="104"/>
      <c r="V199" s="104"/>
    </row>
    <row r="200" spans="1:22">
      <c r="A200" s="84">
        <v>175</v>
      </c>
      <c r="B200" s="10" t="s">
        <v>183</v>
      </c>
      <c r="C200" s="25" t="s">
        <v>46</v>
      </c>
      <c r="D200" s="10">
        <v>7897969173.5500002</v>
      </c>
      <c r="E200" s="10">
        <v>20581708.890000001</v>
      </c>
      <c r="F200" s="25">
        <v>588348602.79999995</v>
      </c>
      <c r="G200" s="10">
        <v>22262959.530000001</v>
      </c>
      <c r="H200" s="12">
        <f>(E200+F200)-G200</f>
        <v>586667352.15999997</v>
      </c>
      <c r="I200" s="10">
        <v>6914641009.3199997</v>
      </c>
      <c r="J200" s="13">
        <f t="shared" ref="J200:J201" si="102">(I200/$I$202)</f>
        <v>0.82800755810333038</v>
      </c>
      <c r="K200" s="10">
        <v>8051626083.6300001</v>
      </c>
      <c r="L200" s="13">
        <f t="shared" ref="L200" si="103">(K200/$K$202)</f>
        <v>0.83318431064338794</v>
      </c>
      <c r="M200" s="13">
        <f t="shared" ref="M200" si="104">((K200-I200)/I200)</f>
        <v>0.16443154066530691</v>
      </c>
      <c r="N200" s="20">
        <f t="shared" ref="N200" si="105">(G200/K200)</f>
        <v>2.7650265050513816E-3</v>
      </c>
      <c r="O200" s="21">
        <f t="shared" ref="O200" si="106">H200/K200</f>
        <v>7.2863213724339584E-2</v>
      </c>
      <c r="P200" s="22">
        <f t="shared" ref="P200" si="107">K200/V200</f>
        <v>4.8873002750366634</v>
      </c>
      <c r="Q200" s="22">
        <f t="shared" ref="Q200" si="108">H200/V200</f>
        <v>0.35610440447502006</v>
      </c>
      <c r="R200" s="10">
        <v>4.8499999999999996</v>
      </c>
      <c r="S200" s="10">
        <v>4.91</v>
      </c>
      <c r="T200" s="10">
        <v>12293</v>
      </c>
      <c r="U200" s="10">
        <v>1534724558.98</v>
      </c>
      <c r="V200" s="10">
        <v>1647458848.55</v>
      </c>
    </row>
    <row r="201" spans="1:22">
      <c r="A201" s="84">
        <v>176</v>
      </c>
      <c r="B201" s="10" t="s">
        <v>184</v>
      </c>
      <c r="C201" s="25" t="s">
        <v>94</v>
      </c>
      <c r="D201" s="10">
        <v>1471562863.3499999</v>
      </c>
      <c r="E201" s="10">
        <v>5959938.5099999998</v>
      </c>
      <c r="F201" s="10">
        <v>66573105.899999999</v>
      </c>
      <c r="G201" s="10">
        <v>12604415.949999999</v>
      </c>
      <c r="H201" s="12">
        <f>(E201+F201)-G201</f>
        <v>59928628.459999993</v>
      </c>
      <c r="I201" s="10">
        <v>1436298473.8399999</v>
      </c>
      <c r="J201" s="13">
        <f t="shared" si="102"/>
        <v>0.17199244189666954</v>
      </c>
      <c r="K201" s="10">
        <v>1612053345.73</v>
      </c>
      <c r="L201" s="13">
        <f t="shared" ref="L201" si="109">(K201/$K$202)</f>
        <v>0.16681568935661206</v>
      </c>
      <c r="M201" s="13">
        <f t="shared" ref="M201" si="110">((K201-I201)/I201)</f>
        <v>0.12236653807764107</v>
      </c>
      <c r="N201" s="20">
        <f t="shared" ref="N201" si="111">(G201/K201)</f>
        <v>7.81885784573229E-3</v>
      </c>
      <c r="O201" s="21">
        <f t="shared" ref="O201" si="112">H201/K201</f>
        <v>3.717533828439281E-2</v>
      </c>
      <c r="P201" s="22">
        <f t="shared" ref="P201" si="113">K201/V201</f>
        <v>44.961295048314149</v>
      </c>
      <c r="Q201" s="22">
        <f t="shared" ref="Q201" si="114">H201/V201</f>
        <v>1.671451353125474</v>
      </c>
      <c r="R201" s="10">
        <v>44.96</v>
      </c>
      <c r="S201" s="10">
        <v>45.374899999999997</v>
      </c>
      <c r="T201" s="10">
        <v>1508</v>
      </c>
      <c r="U201" s="10">
        <v>35746442.039999999</v>
      </c>
      <c r="V201" s="10">
        <v>35854246.280000001</v>
      </c>
    </row>
    <row r="202" spans="1:22" ht="15" customHeight="1">
      <c r="A202" s="105" t="s">
        <v>51</v>
      </c>
      <c r="B202" s="105"/>
      <c r="C202" s="105"/>
      <c r="D202" s="105"/>
      <c r="E202" s="105"/>
      <c r="F202" s="105"/>
      <c r="G202" s="105"/>
      <c r="H202" s="105"/>
      <c r="I202" s="36">
        <f>SUM(I200:I201)</f>
        <v>8350939483.1599998</v>
      </c>
      <c r="J202" s="34">
        <f>(I202/$I$240)</f>
        <v>1.0706607108009797E-3</v>
      </c>
      <c r="K202" s="36">
        <f>SUM(K200:K201)</f>
        <v>9663679429.3600006</v>
      </c>
      <c r="L202" s="34">
        <f>(K202/$K$240)</f>
        <v>1.1886508875506858E-3</v>
      </c>
      <c r="M202" s="34">
        <f t="shared" ref="M202" si="115">((K202-I202)/I202)</f>
        <v>0.15719667815186458</v>
      </c>
      <c r="N202" s="20"/>
      <c r="O202" s="40"/>
      <c r="P202" s="35"/>
      <c r="Q202" s="35"/>
      <c r="R202" s="36"/>
      <c r="S202" s="36"/>
      <c r="T202" s="36">
        <f>SUM(T200:T201)</f>
        <v>13801</v>
      </c>
      <c r="U202" s="36"/>
      <c r="V202" s="39"/>
    </row>
    <row r="203" spans="1:22" ht="4.95" customHeight="1">
      <c r="A203" s="107"/>
      <c r="B203" s="107"/>
      <c r="C203" s="107"/>
      <c r="D203" s="107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</row>
    <row r="204" spans="1:22">
      <c r="A204" s="104" t="s">
        <v>185</v>
      </c>
      <c r="B204" s="104"/>
      <c r="C204" s="104"/>
      <c r="D204" s="104"/>
      <c r="E204" s="104"/>
      <c r="F204" s="104"/>
      <c r="G204" s="104"/>
      <c r="H204" s="104"/>
      <c r="I204" s="104"/>
      <c r="J204" s="104"/>
      <c r="K204" s="104"/>
      <c r="L204" s="104"/>
      <c r="M204" s="104"/>
      <c r="N204" s="104"/>
      <c r="O204" s="104"/>
      <c r="P204" s="104"/>
      <c r="Q204" s="104"/>
      <c r="R204" s="104"/>
      <c r="S204" s="104"/>
      <c r="T204" s="104"/>
      <c r="U204" s="104"/>
      <c r="V204" s="104"/>
    </row>
    <row r="205" spans="1:22" ht="13.05" customHeight="1">
      <c r="A205" s="108" t="s">
        <v>186</v>
      </c>
      <c r="B205" s="108"/>
      <c r="C205" s="108"/>
      <c r="D205" s="108"/>
      <c r="E205" s="108"/>
      <c r="F205" s="108"/>
      <c r="G205" s="108"/>
      <c r="H205" s="108"/>
      <c r="I205" s="108"/>
      <c r="J205" s="108"/>
      <c r="K205" s="108"/>
      <c r="L205" s="108"/>
      <c r="M205" s="108"/>
      <c r="N205" s="108"/>
      <c r="O205" s="108"/>
      <c r="P205" s="108"/>
      <c r="Q205" s="108"/>
      <c r="R205" s="108"/>
      <c r="S205" s="108"/>
      <c r="T205" s="108"/>
      <c r="U205" s="108"/>
      <c r="V205" s="108"/>
    </row>
    <row r="206" spans="1:22" ht="15" customHeight="1">
      <c r="A206" s="62">
        <v>177</v>
      </c>
      <c r="B206" s="79" t="s">
        <v>187</v>
      </c>
      <c r="C206" s="19" t="s">
        <v>118</v>
      </c>
      <c r="D206" s="71">
        <v>7033441496.1999998</v>
      </c>
      <c r="E206" s="29">
        <v>72847895.609999999</v>
      </c>
      <c r="F206" s="29">
        <v>357800345.75999999</v>
      </c>
      <c r="G206" s="17">
        <v>18694103.879999999</v>
      </c>
      <c r="H206" s="12">
        <f>(E206+F206)-G206</f>
        <v>411954137.49000001</v>
      </c>
      <c r="I206" s="29">
        <v>8562643264.6400003</v>
      </c>
      <c r="J206" s="13">
        <f>(I206/$I$230)</f>
        <v>0.1080090270945309</v>
      </c>
      <c r="K206" s="29">
        <v>9845629107.25</v>
      </c>
      <c r="L206" s="13">
        <f>(K206/$K$230)</f>
        <v>0.11516115563909946</v>
      </c>
      <c r="M206" s="13">
        <f>((K206-I206)/I206)</f>
        <v>0.14983525565150824</v>
      </c>
      <c r="N206" s="20">
        <f>(G206/K206)</f>
        <v>1.898721115366236E-3</v>
      </c>
      <c r="O206" s="21">
        <f>H206/K206</f>
        <v>4.1841321971660544E-2</v>
      </c>
      <c r="P206" s="22">
        <f>K206/V206</f>
        <v>3.1185343625273365</v>
      </c>
      <c r="Q206" s="22">
        <f>H206/V206</f>
        <v>0.13048360034219345</v>
      </c>
      <c r="R206" s="29">
        <v>3.09</v>
      </c>
      <c r="S206" s="29">
        <v>3.15</v>
      </c>
      <c r="T206" s="29">
        <v>15692</v>
      </c>
      <c r="U206" s="10">
        <v>2877232798.0799999</v>
      </c>
      <c r="V206" s="10">
        <v>3157133436</v>
      </c>
    </row>
    <row r="207" spans="1:22">
      <c r="A207" s="62">
        <v>178</v>
      </c>
      <c r="B207" s="19" t="s">
        <v>188</v>
      </c>
      <c r="C207" s="19" t="s">
        <v>46</v>
      </c>
      <c r="D207" s="17">
        <v>7106491471.6300001</v>
      </c>
      <c r="E207" s="17">
        <v>17436627.859999999</v>
      </c>
      <c r="F207" s="17">
        <v>365547899.31999999</v>
      </c>
      <c r="G207" s="17">
        <v>18048713.359999999</v>
      </c>
      <c r="H207" s="12">
        <f>(E207+F207)-G207</f>
        <v>364935813.81999999</v>
      </c>
      <c r="I207" s="17">
        <v>4777511054.4399996</v>
      </c>
      <c r="J207" s="13">
        <f>(I207/$I$230)</f>
        <v>6.026343793327768E-2</v>
      </c>
      <c r="K207" s="17">
        <v>7281687890.1800003</v>
      </c>
      <c r="L207" s="13">
        <f>(K207/$K$230)</f>
        <v>8.5171560222481971E-2</v>
      </c>
      <c r="M207" s="13">
        <f>((K207-I207)/I207)</f>
        <v>0.52415929700732633</v>
      </c>
      <c r="N207" s="20">
        <f>(G207/K207)</f>
        <v>2.478644186925436E-3</v>
      </c>
      <c r="O207" s="21">
        <f>H207/K207</f>
        <v>5.0116926092389678E-2</v>
      </c>
      <c r="P207" s="22">
        <f>K207/V207</f>
        <v>1015.1286654170169</v>
      </c>
      <c r="Q207" s="22">
        <f>H207/V207</f>
        <v>50.875128298970807</v>
      </c>
      <c r="R207" s="17">
        <v>1007.85</v>
      </c>
      <c r="S207" s="17">
        <v>1020.12</v>
      </c>
      <c r="T207" s="17">
        <v>3367</v>
      </c>
      <c r="U207" s="17">
        <v>5115417.74</v>
      </c>
      <c r="V207" s="17">
        <v>7173167.4400000004</v>
      </c>
    </row>
    <row r="208" spans="1:22" ht="7.05" customHeight="1">
      <c r="A208" s="107"/>
      <c r="B208" s="107"/>
      <c r="C208" s="107"/>
      <c r="D208" s="107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</row>
    <row r="209" spans="1:22">
      <c r="A209" s="109" t="s">
        <v>144</v>
      </c>
      <c r="B209" s="109"/>
      <c r="C209" s="109"/>
      <c r="D209" s="109"/>
      <c r="E209" s="109"/>
      <c r="F209" s="109"/>
      <c r="G209" s="109"/>
      <c r="H209" s="109"/>
      <c r="I209" s="109"/>
      <c r="J209" s="109"/>
      <c r="K209" s="109"/>
      <c r="L209" s="109"/>
      <c r="M209" s="109"/>
      <c r="N209" s="109"/>
      <c r="O209" s="109"/>
      <c r="P209" s="109"/>
      <c r="Q209" s="109"/>
      <c r="R209" s="109"/>
      <c r="S209" s="109"/>
      <c r="T209" s="109"/>
      <c r="U209" s="109"/>
      <c r="V209" s="109"/>
    </row>
    <row r="210" spans="1:22">
      <c r="A210" s="87">
        <v>179</v>
      </c>
      <c r="B210" s="77" t="s">
        <v>270</v>
      </c>
      <c r="C210" s="78" t="s">
        <v>58</v>
      </c>
      <c r="D210" s="51">
        <v>861632286</v>
      </c>
      <c r="E210" s="51">
        <v>18061596</v>
      </c>
      <c r="F210" s="10">
        <v>0</v>
      </c>
      <c r="G210" s="51">
        <v>2247253</v>
      </c>
      <c r="H210" s="51">
        <f>(E210+F210)-G210</f>
        <v>15814343</v>
      </c>
      <c r="I210" s="51">
        <v>1272124864</v>
      </c>
      <c r="J210" s="13">
        <f t="shared" ref="J210:J223" si="116">(I210/$I$230)</f>
        <v>1.6046559999855277E-2</v>
      </c>
      <c r="K210" s="51">
        <v>1371871330</v>
      </c>
      <c r="L210" s="13">
        <f t="shared" ref="L210" si="117">(K210/$K$230)</f>
        <v>1.6046337519926727E-2</v>
      </c>
      <c r="M210" s="13">
        <f t="shared" ref="M210:M230" si="118">((K210-I210)/I210)</f>
        <v>7.8409336082279416E-2</v>
      </c>
      <c r="N210" s="20">
        <f>(G210/K210)</f>
        <v>1.6380931293315971E-3</v>
      </c>
      <c r="O210" s="21">
        <f>H210/K210</f>
        <v>1.1527570154848269E-2</v>
      </c>
      <c r="P210" s="22">
        <f>K210/V210</f>
        <v>1.1482533211720116</v>
      </c>
      <c r="Q210" s="22">
        <f>H210/V210</f>
        <v>1.3236570715347885E-2</v>
      </c>
      <c r="R210" s="51">
        <v>1.1483000000000001</v>
      </c>
      <c r="S210" s="51">
        <v>1.1483000000000001</v>
      </c>
      <c r="T210" s="51">
        <v>858</v>
      </c>
      <c r="U210" s="51">
        <v>1121141948</v>
      </c>
      <c r="V210" s="51">
        <v>1194746233</v>
      </c>
    </row>
    <row r="211" spans="1:22">
      <c r="A211" s="87">
        <v>180</v>
      </c>
      <c r="B211" s="77" t="s">
        <v>189</v>
      </c>
      <c r="C211" s="78" t="s">
        <v>190</v>
      </c>
      <c r="D211" s="51">
        <v>252120939</v>
      </c>
      <c r="E211" s="51">
        <v>293691</v>
      </c>
      <c r="F211" s="10">
        <v>0</v>
      </c>
      <c r="G211" s="51">
        <v>921663</v>
      </c>
      <c r="H211" s="51">
        <f>(E211+F211)-G211</f>
        <v>-627972</v>
      </c>
      <c r="I211" s="51">
        <v>369363206</v>
      </c>
      <c r="J211" s="13">
        <f t="shared" si="116"/>
        <v>4.6591407923443472E-3</v>
      </c>
      <c r="K211" s="51">
        <v>371533532</v>
      </c>
      <c r="L211" s="13">
        <f t="shared" ref="L211:L223" si="119">(K211/$K$230)</f>
        <v>4.3457081754471084E-3</v>
      </c>
      <c r="M211" s="13">
        <f t="shared" ref="M211:M223" si="120">((K211-I211)/I211)</f>
        <v>5.8758586798707832E-3</v>
      </c>
      <c r="N211" s="20">
        <f t="shared" ref="N211:N223" si="121">(G211/K211)</f>
        <v>2.4806993733206295E-3</v>
      </c>
      <c r="O211" s="21">
        <f t="shared" ref="O211:O223" si="122">H211/K211</f>
        <v>-1.6902162144546351E-3</v>
      </c>
      <c r="P211" s="22">
        <f t="shared" ref="P211:P223" si="123">K211/V211</f>
        <v>1126.285811292156</v>
      </c>
      <c r="Q211" s="22">
        <f t="shared" ref="Q211:Q223" si="124">H211/V211</f>
        <v>-1.9036665403561954</v>
      </c>
      <c r="R211" s="51">
        <v>1126.29</v>
      </c>
      <c r="S211" s="51">
        <v>1126.29</v>
      </c>
      <c r="T211" s="51">
        <v>19</v>
      </c>
      <c r="U211" s="51">
        <v>330804</v>
      </c>
      <c r="V211" s="51">
        <v>329875</v>
      </c>
    </row>
    <row r="212" spans="1:22" ht="15" customHeight="1">
      <c r="A212" s="87">
        <v>181</v>
      </c>
      <c r="B212" s="77" t="s">
        <v>191</v>
      </c>
      <c r="C212" s="78" t="s">
        <v>62</v>
      </c>
      <c r="D212" s="51">
        <v>119655692.62</v>
      </c>
      <c r="E212" s="51">
        <v>3978202.07</v>
      </c>
      <c r="F212" s="10">
        <v>0</v>
      </c>
      <c r="G212" s="51">
        <v>541638.22</v>
      </c>
      <c r="H212" s="51">
        <f t="shared" ref="H212:H222" si="125">(E212+F212)-G212</f>
        <v>3436563.8499999996</v>
      </c>
      <c r="I212" s="51">
        <v>319695217.26999998</v>
      </c>
      <c r="J212" s="13">
        <f t="shared" si="116"/>
        <v>4.0326296818531671E-3</v>
      </c>
      <c r="K212" s="51">
        <v>315747786.31999999</v>
      </c>
      <c r="L212" s="13">
        <f t="shared" si="119"/>
        <v>3.6932002584093826E-3</v>
      </c>
      <c r="M212" s="13">
        <f t="shared" si="120"/>
        <v>-1.234748202900442E-2</v>
      </c>
      <c r="N212" s="20">
        <f t="shared" si="121"/>
        <v>1.7154141484655334E-3</v>
      </c>
      <c r="O212" s="21">
        <f t="shared" si="122"/>
        <v>1.0883888973704965E-2</v>
      </c>
      <c r="P212" s="22">
        <f t="shared" si="123"/>
        <v>124.16965461914353</v>
      </c>
      <c r="Q212" s="22">
        <f t="shared" si="124"/>
        <v>1.3514487347780502</v>
      </c>
      <c r="R212" s="51">
        <v>123.89</v>
      </c>
      <c r="S212" s="51">
        <v>123.89</v>
      </c>
      <c r="T212" s="51">
        <v>80</v>
      </c>
      <c r="U212" s="51">
        <v>2566523</v>
      </c>
      <c r="V212" s="51">
        <v>2542874</v>
      </c>
    </row>
    <row r="213" spans="1:22" ht="15" customHeight="1">
      <c r="A213" s="87">
        <v>182</v>
      </c>
      <c r="B213" s="77" t="s">
        <v>313</v>
      </c>
      <c r="C213" s="78" t="s">
        <v>314</v>
      </c>
      <c r="D213" s="51">
        <v>49995000</v>
      </c>
      <c r="E213" s="51">
        <v>812288.48</v>
      </c>
      <c r="F213" s="10">
        <v>3083116.31</v>
      </c>
      <c r="G213" s="51">
        <v>116521.23</v>
      </c>
      <c r="H213" s="51">
        <f t="shared" ref="H213" si="126">(E213+F213)-G213</f>
        <v>3778883.56</v>
      </c>
      <c r="I213" s="51">
        <v>55068657.909999996</v>
      </c>
      <c r="J213" s="13">
        <f t="shared" si="116"/>
        <v>6.9463505373661171E-4</v>
      </c>
      <c r="K213" s="51">
        <v>55835949.539999999</v>
      </c>
      <c r="L213" s="13">
        <f t="shared" si="119"/>
        <v>6.53095135434048E-4</v>
      </c>
      <c r="M213" s="13">
        <f t="shared" si="120"/>
        <v>1.3933363534190455E-2</v>
      </c>
      <c r="N213" s="20">
        <f t="shared" si="121"/>
        <v>2.086849618569234E-3</v>
      </c>
      <c r="O213" s="21">
        <f t="shared" si="122"/>
        <v>6.767832536442972E-2</v>
      </c>
      <c r="P213" s="22">
        <f t="shared" si="123"/>
        <v>107.19953450063356</v>
      </c>
      <c r="Q213" s="22">
        <f t="shared" si="124"/>
        <v>7.2550849748492876</v>
      </c>
      <c r="R213" s="51">
        <v>107.2</v>
      </c>
      <c r="S213" s="51">
        <v>107.2</v>
      </c>
      <c r="T213" s="51">
        <v>14</v>
      </c>
      <c r="U213" s="51">
        <v>520860</v>
      </c>
      <c r="V213" s="51">
        <v>520860</v>
      </c>
    </row>
    <row r="214" spans="1:22" ht="15" customHeight="1">
      <c r="A214" s="87">
        <v>183</v>
      </c>
      <c r="B214" s="77" t="s">
        <v>192</v>
      </c>
      <c r="C214" s="78" t="s">
        <v>167</v>
      </c>
      <c r="D214" s="51">
        <v>54978723.369999997</v>
      </c>
      <c r="E214" s="51">
        <v>726420.82</v>
      </c>
      <c r="F214" s="10">
        <v>0</v>
      </c>
      <c r="G214" s="51">
        <v>200837.78</v>
      </c>
      <c r="H214" s="51">
        <f t="shared" si="125"/>
        <v>525583.03999999992</v>
      </c>
      <c r="I214" s="51">
        <v>68569175.939999998</v>
      </c>
      <c r="J214" s="13">
        <f t="shared" si="116"/>
        <v>8.6493034371022475E-4</v>
      </c>
      <c r="K214" s="51">
        <v>69259129.939999998</v>
      </c>
      <c r="L214" s="13">
        <f t="shared" si="119"/>
        <v>8.1010175739564634E-4</v>
      </c>
      <c r="M214" s="13">
        <f t="shared" si="120"/>
        <v>1.0062159717417774E-2</v>
      </c>
      <c r="N214" s="20">
        <f t="shared" si="121"/>
        <v>2.8998022379719199E-3</v>
      </c>
      <c r="O214" s="21">
        <f t="shared" si="122"/>
        <v>7.5886462976840555E-3</v>
      </c>
      <c r="P214" s="22">
        <f t="shared" si="123"/>
        <v>101.47813260894091</v>
      </c>
      <c r="Q214" s="22">
        <f t="shared" si="124"/>
        <v>0.77008165531873107</v>
      </c>
      <c r="R214" s="51">
        <v>103.93</v>
      </c>
      <c r="S214" s="51">
        <v>104.95</v>
      </c>
      <c r="T214" s="51">
        <v>22</v>
      </c>
      <c r="U214" s="51">
        <v>658181</v>
      </c>
      <c r="V214" s="51">
        <v>682503</v>
      </c>
    </row>
    <row r="215" spans="1:22" ht="15" customHeight="1">
      <c r="A215" s="87">
        <v>184</v>
      </c>
      <c r="B215" s="19" t="s">
        <v>257</v>
      </c>
      <c r="C215" s="79" t="s">
        <v>69</v>
      </c>
      <c r="D215" s="16">
        <v>277167485.31</v>
      </c>
      <c r="E215" s="29">
        <v>3985806</v>
      </c>
      <c r="F215" s="29">
        <v>0</v>
      </c>
      <c r="G215" s="10">
        <v>748425</v>
      </c>
      <c r="H215" s="12">
        <f t="shared" si="125"/>
        <v>3237381</v>
      </c>
      <c r="I215" s="17">
        <v>273405215.38999999</v>
      </c>
      <c r="J215" s="13">
        <f t="shared" si="116"/>
        <v>3.4487284363219476E-3</v>
      </c>
      <c r="K215" s="17">
        <v>271134128</v>
      </c>
      <c r="L215" s="13">
        <f t="shared" si="119"/>
        <v>3.1713686523786571E-3</v>
      </c>
      <c r="M215" s="13">
        <f t="shared" si="120"/>
        <v>-8.3066717902962606E-3</v>
      </c>
      <c r="N215" s="20">
        <f t="shared" si="121"/>
        <v>2.7603496672318579E-3</v>
      </c>
      <c r="O215" s="21">
        <f t="shared" si="122"/>
        <v>1.1940145727431259E-2</v>
      </c>
      <c r="P215" s="22">
        <f t="shared" si="123"/>
        <v>1.1925480506530333</v>
      </c>
      <c r="Q215" s="22">
        <f t="shared" si="124"/>
        <v>1.4239197511761292E-2</v>
      </c>
      <c r="R215" s="10">
        <v>1.1839999999999999</v>
      </c>
      <c r="S215" s="10">
        <v>1.1839999999999999</v>
      </c>
      <c r="T215" s="10">
        <v>55</v>
      </c>
      <c r="U215" s="10">
        <v>227948050.99000001</v>
      </c>
      <c r="V215" s="10">
        <v>227356983.94</v>
      </c>
    </row>
    <row r="216" spans="1:22" ht="15" customHeight="1">
      <c r="A216" s="87">
        <v>185</v>
      </c>
      <c r="B216" s="78" t="s">
        <v>193</v>
      </c>
      <c r="C216" s="78" t="s">
        <v>73</v>
      </c>
      <c r="D216" s="51">
        <v>5130348291.1700001</v>
      </c>
      <c r="E216" s="51">
        <v>66932054.729999997</v>
      </c>
      <c r="F216" s="10">
        <v>0</v>
      </c>
      <c r="G216" s="51">
        <v>8531793.3800000008</v>
      </c>
      <c r="H216" s="51">
        <f t="shared" si="125"/>
        <v>58400261.349999994</v>
      </c>
      <c r="I216" s="51">
        <v>5086656366.5500002</v>
      </c>
      <c r="J216" s="13">
        <f t="shared" si="116"/>
        <v>6.4162991302472036E-2</v>
      </c>
      <c r="K216" s="51">
        <v>5113743797.96</v>
      </c>
      <c r="L216" s="13">
        <f t="shared" si="119"/>
        <v>5.9813815755226957E-2</v>
      </c>
      <c r="M216" s="13">
        <f t="shared" si="120"/>
        <v>5.3251938912421103E-3</v>
      </c>
      <c r="N216" s="20">
        <f t="shared" si="121"/>
        <v>1.6684045421680191E-3</v>
      </c>
      <c r="O216" s="21">
        <f t="shared" si="122"/>
        <v>1.1420255620412057E-2</v>
      </c>
      <c r="P216" s="22">
        <f t="shared" si="123"/>
        <v>143.94589766881816</v>
      </c>
      <c r="Q216" s="22">
        <f t="shared" si="124"/>
        <v>1.6438989468875795</v>
      </c>
      <c r="R216" s="51">
        <v>143.94</v>
      </c>
      <c r="S216" s="51">
        <v>143.94</v>
      </c>
      <c r="T216" s="51">
        <v>770</v>
      </c>
      <c r="U216" s="51">
        <v>35747265</v>
      </c>
      <c r="V216" s="51">
        <v>35525457</v>
      </c>
    </row>
    <row r="217" spans="1:22" ht="15" customHeight="1">
      <c r="A217" s="87">
        <v>186</v>
      </c>
      <c r="B217" s="78" t="s">
        <v>219</v>
      </c>
      <c r="C217" s="78" t="s">
        <v>60</v>
      </c>
      <c r="D217" s="51">
        <v>1045809031.78</v>
      </c>
      <c r="E217" s="51">
        <v>11519944.949999999</v>
      </c>
      <c r="F217" s="10">
        <v>0</v>
      </c>
      <c r="G217" s="51">
        <v>1536244.25</v>
      </c>
      <c r="H217" s="51">
        <f t="shared" si="125"/>
        <v>9983700.6999999993</v>
      </c>
      <c r="I217" s="51">
        <v>948411824.48000002</v>
      </c>
      <c r="J217" s="13">
        <f t="shared" si="116"/>
        <v>1.1963249580892189E-2</v>
      </c>
      <c r="K217" s="51">
        <v>1043666708.37</v>
      </c>
      <c r="L217" s="13">
        <f t="shared" si="119"/>
        <v>1.2207433667132585E-2</v>
      </c>
      <c r="M217" s="13">
        <f t="shared" si="120"/>
        <v>0.10043620443284415</v>
      </c>
      <c r="N217" s="20">
        <f t="shared" si="121"/>
        <v>1.4719682420447312E-3</v>
      </c>
      <c r="O217" s="21">
        <f t="shared" si="122"/>
        <v>9.5659855966782302E-3</v>
      </c>
      <c r="P217" s="22">
        <f t="shared" si="123"/>
        <v>1337.9028182770046</v>
      </c>
      <c r="Q217" s="22">
        <f t="shared" si="124"/>
        <v>12.798359089393038</v>
      </c>
      <c r="R217" s="51">
        <v>1337.9</v>
      </c>
      <c r="S217" s="51">
        <v>1337.9</v>
      </c>
      <c r="T217" s="51">
        <v>325</v>
      </c>
      <c r="U217" s="51">
        <v>715859.31</v>
      </c>
      <c r="V217" s="51">
        <v>780076.62</v>
      </c>
    </row>
    <row r="218" spans="1:22" ht="15" customHeight="1">
      <c r="A218" s="87">
        <v>187</v>
      </c>
      <c r="B218" s="77" t="s">
        <v>117</v>
      </c>
      <c r="C218" s="78" t="s">
        <v>118</v>
      </c>
      <c r="D218" s="51">
        <v>19103038966.200001</v>
      </c>
      <c r="E218" s="51">
        <v>633957159.64999998</v>
      </c>
      <c r="F218" s="10">
        <v>21200000</v>
      </c>
      <c r="G218" s="51">
        <v>66186840.619999997</v>
      </c>
      <c r="H218" s="51">
        <f t="shared" si="125"/>
        <v>588970319.02999997</v>
      </c>
      <c r="I218" s="51">
        <v>41223363892.620003</v>
      </c>
      <c r="J218" s="13">
        <f t="shared" si="116"/>
        <v>0.51999076570112102</v>
      </c>
      <c r="K218" s="51">
        <v>41046248157.699997</v>
      </c>
      <c r="L218" s="13">
        <f t="shared" si="119"/>
        <v>0.48010475724798829</v>
      </c>
      <c r="M218" s="13">
        <f t="shared" si="120"/>
        <v>-4.2964891312936709E-3</v>
      </c>
      <c r="N218" s="20">
        <f t="shared" si="121"/>
        <v>1.6124942860967378E-3</v>
      </c>
      <c r="O218" s="21">
        <f t="shared" si="122"/>
        <v>1.4348944068339E-2</v>
      </c>
      <c r="P218" s="22">
        <f t="shared" si="123"/>
        <v>1276.2528878875344</v>
      </c>
      <c r="Q218" s="22">
        <f t="shared" si="124"/>
        <v>18.312881305354356</v>
      </c>
      <c r="R218" s="51">
        <v>1276.25</v>
      </c>
      <c r="S218" s="51">
        <v>1276.25</v>
      </c>
      <c r="T218" s="51">
        <v>12168</v>
      </c>
      <c r="U218" s="51">
        <v>31690347.890000001</v>
      </c>
      <c r="V218" s="51">
        <v>32161532.050000001</v>
      </c>
    </row>
    <row r="219" spans="1:22" ht="15" customHeight="1">
      <c r="A219" s="87">
        <v>188</v>
      </c>
      <c r="B219" s="80" t="s">
        <v>216</v>
      </c>
      <c r="C219" s="80" t="s">
        <v>217</v>
      </c>
      <c r="D219" s="51">
        <v>334566424.94999999</v>
      </c>
      <c r="E219" s="51">
        <v>0</v>
      </c>
      <c r="F219" s="10">
        <v>67363662.480000004</v>
      </c>
      <c r="G219" s="51">
        <v>576406.85</v>
      </c>
      <c r="H219" s="51">
        <f t="shared" si="125"/>
        <v>66787255.630000003</v>
      </c>
      <c r="I219" s="51">
        <v>328167448.79000002</v>
      </c>
      <c r="J219" s="13">
        <f t="shared" si="116"/>
        <v>4.1394982568379148E-3</v>
      </c>
      <c r="K219" s="51">
        <v>357090624.63</v>
      </c>
      <c r="L219" s="13">
        <f t="shared" si="119"/>
        <v>4.1767741352350006E-3</v>
      </c>
      <c r="M219" s="13">
        <f t="shared" si="120"/>
        <v>8.8135419727470923E-2</v>
      </c>
      <c r="N219" s="20">
        <f t="shared" si="121"/>
        <v>1.6141752548033004E-3</v>
      </c>
      <c r="O219" s="21">
        <f t="shared" si="122"/>
        <v>0.18703166933940571</v>
      </c>
      <c r="P219" s="22">
        <f t="shared" si="123"/>
        <v>131.80081536686527</v>
      </c>
      <c r="Q219" s="22">
        <f t="shared" si="124"/>
        <v>24.650926518359608</v>
      </c>
      <c r="R219" s="51">
        <v>124.16</v>
      </c>
      <c r="S219" s="51">
        <v>124.94</v>
      </c>
      <c r="T219" s="51">
        <v>132</v>
      </c>
      <c r="U219" s="51">
        <v>2702785.03</v>
      </c>
      <c r="V219" s="51">
        <v>2709320.3</v>
      </c>
    </row>
    <row r="220" spans="1:22" ht="15" customHeight="1">
      <c r="A220" s="87">
        <v>189</v>
      </c>
      <c r="B220" s="80" t="s">
        <v>218</v>
      </c>
      <c r="C220" s="80" t="s">
        <v>217</v>
      </c>
      <c r="D220" s="51">
        <v>367869649.12</v>
      </c>
      <c r="E220" s="51">
        <v>6099251.3600000003</v>
      </c>
      <c r="F220" s="10">
        <v>20277380.510000002</v>
      </c>
      <c r="G220" s="51">
        <v>1447329.44</v>
      </c>
      <c r="H220" s="51">
        <f>(E220+F220)-G220</f>
        <v>24929302.43</v>
      </c>
      <c r="I220" s="51">
        <v>454575946.54000002</v>
      </c>
      <c r="J220" s="13">
        <f t="shared" si="116"/>
        <v>5.7340127585503399E-3</v>
      </c>
      <c r="K220" s="51">
        <v>699095458.48000002</v>
      </c>
      <c r="L220" s="13">
        <f t="shared" si="119"/>
        <v>8.1770946298717409E-3</v>
      </c>
      <c r="M220" s="13">
        <f t="shared" si="120"/>
        <v>0.53790684219250418</v>
      </c>
      <c r="N220" s="20">
        <f t="shared" si="121"/>
        <v>2.0702887172902519E-3</v>
      </c>
      <c r="O220" s="21">
        <f t="shared" si="122"/>
        <v>3.5659368298861842E-2</v>
      </c>
      <c r="P220" s="22">
        <f t="shared" si="123"/>
        <v>136.48301551059211</v>
      </c>
      <c r="Q220" s="22">
        <f t="shared" si="124"/>
        <v>4.8668981166314786</v>
      </c>
      <c r="R220" s="51">
        <v>137.28</v>
      </c>
      <c r="S220" s="51">
        <v>137.28</v>
      </c>
      <c r="T220" s="51">
        <v>147</v>
      </c>
      <c r="U220" s="51">
        <v>3373549.86</v>
      </c>
      <c r="V220" s="51">
        <v>5122215.8</v>
      </c>
    </row>
    <row r="221" spans="1:22" ht="13.95" customHeight="1">
      <c r="A221" s="87">
        <v>190</v>
      </c>
      <c r="B221" s="78" t="s">
        <v>194</v>
      </c>
      <c r="C221" s="78" t="s">
        <v>142</v>
      </c>
      <c r="D221" s="51">
        <v>1765277768.6600001</v>
      </c>
      <c r="E221" s="51">
        <v>41006567.479999997</v>
      </c>
      <c r="F221" s="10">
        <v>0</v>
      </c>
      <c r="G221" s="51">
        <v>4842689.4400000004</v>
      </c>
      <c r="H221" s="51">
        <f t="shared" si="125"/>
        <v>36163878.039999999</v>
      </c>
      <c r="I221" s="51">
        <v>2377310640</v>
      </c>
      <c r="J221" s="13">
        <f t="shared" si="116"/>
        <v>2.9987353366480816E-2</v>
      </c>
      <c r="K221" s="51">
        <v>2642459033</v>
      </c>
      <c r="L221" s="13">
        <f t="shared" si="119"/>
        <v>3.090799304487047E-2</v>
      </c>
      <c r="M221" s="13">
        <f t="shared" si="120"/>
        <v>0.1115329181381193</v>
      </c>
      <c r="N221" s="20">
        <f t="shared" si="121"/>
        <v>1.8326450399127154E-3</v>
      </c>
      <c r="O221" s="21">
        <f t="shared" si="122"/>
        <v>1.3685691088630776E-2</v>
      </c>
      <c r="P221" s="22">
        <f t="shared" si="123"/>
        <v>105.32348974236938</v>
      </c>
      <c r="Q221" s="22">
        <f t="shared" si="124"/>
        <v>1.4414247449906394</v>
      </c>
      <c r="R221" s="51">
        <v>105.32</v>
      </c>
      <c r="S221" s="51">
        <v>105.32</v>
      </c>
      <c r="T221" s="51">
        <v>796</v>
      </c>
      <c r="U221" s="51">
        <v>21976993</v>
      </c>
      <c r="V221" s="51">
        <v>25088981</v>
      </c>
    </row>
    <row r="222" spans="1:22">
      <c r="A222" s="87">
        <v>191</v>
      </c>
      <c r="B222" s="77" t="s">
        <v>195</v>
      </c>
      <c r="C222" s="77" t="s">
        <v>46</v>
      </c>
      <c r="D222" s="51">
        <v>1847048547.95</v>
      </c>
      <c r="E222" s="51">
        <v>47956820.57</v>
      </c>
      <c r="F222" s="10">
        <v>0</v>
      </c>
      <c r="G222" s="51">
        <v>6648042.3099999996</v>
      </c>
      <c r="H222" s="51">
        <f t="shared" si="125"/>
        <v>41308778.259999998</v>
      </c>
      <c r="I222" s="51">
        <v>3825041302.6100001</v>
      </c>
      <c r="J222" s="13">
        <f t="shared" si="116"/>
        <v>4.8249001730270365E-2</v>
      </c>
      <c r="K222" s="51">
        <v>3867166379.6700001</v>
      </c>
      <c r="L222" s="13">
        <f t="shared" si="119"/>
        <v>4.5233000804745981E-2</v>
      </c>
      <c r="M222" s="13">
        <f t="shared" si="120"/>
        <v>1.1012973122997673E-2</v>
      </c>
      <c r="N222" s="20">
        <f t="shared" si="121"/>
        <v>1.7190991173664739E-3</v>
      </c>
      <c r="O222" s="21">
        <f t="shared" si="122"/>
        <v>1.0681924231955344E-2</v>
      </c>
      <c r="P222" s="22">
        <f t="shared" si="123"/>
        <v>145.98901386690321</v>
      </c>
      <c r="Q222" s="22">
        <f t="shared" si="124"/>
        <v>1.5594435848241381</v>
      </c>
      <c r="R222" s="51">
        <v>145.99</v>
      </c>
      <c r="S222" s="51">
        <v>145.99</v>
      </c>
      <c r="T222" s="51">
        <v>2082</v>
      </c>
      <c r="U222" s="51">
        <v>26485676.760000002</v>
      </c>
      <c r="V222" s="51">
        <v>26489434.219999999</v>
      </c>
    </row>
    <row r="223" spans="1:22" ht="15" customHeight="1">
      <c r="A223" s="87">
        <v>192</v>
      </c>
      <c r="B223" s="78" t="s">
        <v>196</v>
      </c>
      <c r="C223" s="78" t="s">
        <v>50</v>
      </c>
      <c r="D223" s="51">
        <v>2491886211</v>
      </c>
      <c r="E223" s="51">
        <v>49134891</v>
      </c>
      <c r="F223" s="10">
        <v>0</v>
      </c>
      <c r="G223" s="51">
        <v>6745344</v>
      </c>
      <c r="H223" s="51">
        <f>(E223+F223)-G223</f>
        <v>42389547</v>
      </c>
      <c r="I223" s="51">
        <v>3905246492</v>
      </c>
      <c r="J223" s="13">
        <f t="shared" si="116"/>
        <v>4.9260708536943074E-2</v>
      </c>
      <c r="K223" s="51">
        <v>3983629246</v>
      </c>
      <c r="L223" s="13">
        <f t="shared" si="119"/>
        <v>4.6595229477947635E-2</v>
      </c>
      <c r="M223" s="13">
        <f t="shared" si="120"/>
        <v>2.0071141261011085E-2</v>
      </c>
      <c r="N223" s="20">
        <f t="shared" si="121"/>
        <v>1.6932660103279099E-3</v>
      </c>
      <c r="O223" s="21">
        <f t="shared" si="122"/>
        <v>1.0640936789628137E-2</v>
      </c>
      <c r="P223" s="22">
        <f t="shared" si="123"/>
        <v>1.2110872358218809</v>
      </c>
      <c r="Q223" s="22">
        <f t="shared" si="124"/>
        <v>1.28871027231061E-2</v>
      </c>
      <c r="R223" s="51">
        <v>1.21</v>
      </c>
      <c r="S223" s="51">
        <v>1.21</v>
      </c>
      <c r="T223" s="51">
        <v>219</v>
      </c>
      <c r="U223" s="51">
        <v>3256960584</v>
      </c>
      <c r="V223" s="51">
        <v>3289300001</v>
      </c>
    </row>
    <row r="224" spans="1:22" ht="4.95" customHeight="1">
      <c r="A224" s="62"/>
      <c r="B224" s="19"/>
      <c r="C224" s="19"/>
      <c r="D224" s="11"/>
      <c r="E224" s="11"/>
      <c r="F224" s="11"/>
      <c r="G224" s="31"/>
      <c r="H224" s="12"/>
      <c r="I224" s="23"/>
      <c r="J224" s="13"/>
      <c r="K224" s="32"/>
      <c r="L224" s="13"/>
      <c r="M224" s="13"/>
      <c r="N224" s="20"/>
      <c r="O224" s="21"/>
      <c r="P224" s="22"/>
      <c r="Q224" s="22"/>
      <c r="R224" s="12"/>
      <c r="S224" s="12"/>
      <c r="T224" s="41"/>
      <c r="U224" s="31"/>
      <c r="V224" s="41"/>
    </row>
    <row r="225" spans="1:22" ht="15" customHeight="1">
      <c r="A225" s="108" t="s">
        <v>214</v>
      </c>
      <c r="B225" s="110"/>
      <c r="C225" s="110"/>
      <c r="D225" s="108"/>
      <c r="E225" s="108"/>
      <c r="F225" s="108"/>
      <c r="G225" s="108"/>
      <c r="H225" s="108"/>
      <c r="I225" s="108"/>
      <c r="J225" s="108"/>
      <c r="K225" s="108"/>
      <c r="L225" s="108"/>
      <c r="M225" s="108"/>
      <c r="N225" s="108"/>
      <c r="O225" s="108"/>
      <c r="P225" s="108"/>
      <c r="Q225" s="108"/>
      <c r="R225" s="108"/>
      <c r="S225" s="108"/>
      <c r="T225" s="108"/>
      <c r="U225" s="108"/>
      <c r="V225" s="108"/>
    </row>
    <row r="226" spans="1:22" ht="15" customHeight="1">
      <c r="A226" s="86">
        <v>193</v>
      </c>
      <c r="B226" s="76" t="s">
        <v>302</v>
      </c>
      <c r="C226" s="76" t="s">
        <v>303</v>
      </c>
      <c r="D226" s="60">
        <v>391692003.98000002</v>
      </c>
      <c r="E226" s="16">
        <v>4650228.03</v>
      </c>
      <c r="F226" s="16">
        <v>9859554.8900000006</v>
      </c>
      <c r="G226" s="16">
        <v>1181736.79</v>
      </c>
      <c r="H226" s="16">
        <f>(E226+F226)-G226</f>
        <v>13328046.130000003</v>
      </c>
      <c r="I226" s="54">
        <v>395831755.89999998</v>
      </c>
      <c r="J226" s="55">
        <f t="shared" ref="J226:J229" si="127">(I226/$I$230)</f>
        <v>4.9930146015111756E-3</v>
      </c>
      <c r="K226" s="54">
        <v>388151794.25</v>
      </c>
      <c r="L226" s="13">
        <f t="shared" ref="L226" si="128">(K226/$K$230)</f>
        <v>4.5400866417265638E-3</v>
      </c>
      <c r="M226" s="13">
        <f>((K226-I226)/I226)</f>
        <v>-1.940208569809691E-2</v>
      </c>
      <c r="N226" s="20">
        <f t="shared" ref="N226" si="129">(G226/K226)</f>
        <v>3.0445222912942904E-3</v>
      </c>
      <c r="O226" s="21">
        <f t="shared" ref="O226" si="130">H226/K226</f>
        <v>3.4337200877179772E-2</v>
      </c>
      <c r="P226" s="22">
        <f t="shared" ref="P226" si="131">K226/V226</f>
        <v>107.72245402632839</v>
      </c>
      <c r="Q226" s="22">
        <f t="shared" ref="Q226" si="132">H226/V226</f>
        <v>3.6988875428848011</v>
      </c>
      <c r="R226" s="54">
        <v>107.72</v>
      </c>
      <c r="S226" s="54">
        <v>107.72</v>
      </c>
      <c r="T226" s="54">
        <v>110</v>
      </c>
      <c r="U226" s="54">
        <v>3775244</v>
      </c>
      <c r="V226" s="54">
        <v>3603258</v>
      </c>
    </row>
    <row r="227" spans="1:22" ht="15" customHeight="1">
      <c r="A227" s="91">
        <v>194</v>
      </c>
      <c r="B227" s="92" t="s">
        <v>279</v>
      </c>
      <c r="C227" s="81" t="s">
        <v>58</v>
      </c>
      <c r="D227" s="16">
        <v>3440333441</v>
      </c>
      <c r="E227" s="16">
        <v>33415967.789999999</v>
      </c>
      <c r="F227" s="16">
        <v>290201074.74000001</v>
      </c>
      <c r="G227" s="16">
        <v>32263727.260000002</v>
      </c>
      <c r="H227" s="16">
        <f>(E227+F227)-G227</f>
        <v>291353315.27000004</v>
      </c>
      <c r="I227" s="54">
        <v>4601095408</v>
      </c>
      <c r="J227" s="55">
        <f t="shared" si="127"/>
        <v>5.8038134163479881E-2</v>
      </c>
      <c r="K227" s="54">
        <v>6325124226</v>
      </c>
      <c r="L227" s="13">
        <f t="shared" ref="L227:L229" si="133">(K227/$K$230)</f>
        <v>7.3982942836090401E-2</v>
      </c>
      <c r="M227" s="13">
        <f t="shared" ref="M227:M229" si="134">((K227-I227)/I227)</f>
        <v>0.37469964543712847</v>
      </c>
      <c r="N227" s="20">
        <f t="shared" ref="N227:N229" si="135">(G227/K227)</f>
        <v>5.1008843632472873E-3</v>
      </c>
      <c r="O227" s="21">
        <f t="shared" ref="O227:O229" si="136">H227/K227</f>
        <v>4.6062860563649589E-2</v>
      </c>
      <c r="P227" s="22">
        <f t="shared" ref="P227:P229" si="137">K227/V227</f>
        <v>111.78290687180451</v>
      </c>
      <c r="Q227" s="22">
        <f t="shared" ref="Q227:Q229" si="138">H227/V227</f>
        <v>5.1490404526353588</v>
      </c>
      <c r="R227" s="54">
        <v>111.224</v>
      </c>
      <c r="S227" s="54">
        <v>114.5775</v>
      </c>
      <c r="T227" s="54">
        <v>3950</v>
      </c>
      <c r="U227" s="54">
        <v>43963830</v>
      </c>
      <c r="V227" s="54">
        <v>56584002</v>
      </c>
    </row>
    <row r="228" spans="1:22" ht="15" customHeight="1">
      <c r="A228" s="88">
        <v>195</v>
      </c>
      <c r="B228" s="10" t="s">
        <v>215</v>
      </c>
      <c r="C228" s="25" t="s">
        <v>118</v>
      </c>
      <c r="D228" s="16">
        <v>205805437.66</v>
      </c>
      <c r="E228" s="16">
        <v>3956803.28</v>
      </c>
      <c r="F228" s="16">
        <v>8816000</v>
      </c>
      <c r="G228" s="10">
        <v>690496.56</v>
      </c>
      <c r="H228" s="12">
        <f>(E228+F228)-G228</f>
        <v>12082306.719999999</v>
      </c>
      <c r="I228" s="17">
        <v>283627127.08999997</v>
      </c>
      <c r="J228" s="55">
        <f t="shared" si="127"/>
        <v>3.5776674454153761E-3</v>
      </c>
      <c r="K228" s="17">
        <v>297956593.52999997</v>
      </c>
      <c r="L228" s="13">
        <f t="shared" si="133"/>
        <v>3.4851024010174453E-3</v>
      </c>
      <c r="M228" s="13">
        <f t="shared" si="134"/>
        <v>5.0522199999060741E-2</v>
      </c>
      <c r="N228" s="20">
        <f t="shared" si="135"/>
        <v>2.3174401070284651E-3</v>
      </c>
      <c r="O228" s="21">
        <f t="shared" si="136"/>
        <v>4.0550559988810866E-2</v>
      </c>
      <c r="P228" s="22">
        <f t="shared" si="137"/>
        <v>1298.7096030159908</v>
      </c>
      <c r="Q228" s="22">
        <f t="shared" si="138"/>
        <v>52.663401665144669</v>
      </c>
      <c r="R228" s="12">
        <v>1298.71</v>
      </c>
      <c r="S228" s="12">
        <v>1298.71</v>
      </c>
      <c r="T228" s="10">
        <v>264</v>
      </c>
      <c r="U228" s="10">
        <v>227274.52</v>
      </c>
      <c r="V228" s="10">
        <v>229425.11</v>
      </c>
    </row>
    <row r="229" spans="1:22" ht="15" customHeight="1">
      <c r="A229" s="88">
        <v>196</v>
      </c>
      <c r="B229" s="10" t="s">
        <v>277</v>
      </c>
      <c r="C229" s="10" t="s">
        <v>278</v>
      </c>
      <c r="D229" s="17">
        <v>92551746.140000001</v>
      </c>
      <c r="E229" s="17">
        <v>1973159.96</v>
      </c>
      <c r="F229" s="17">
        <v>0</v>
      </c>
      <c r="G229" s="17">
        <v>331182.81</v>
      </c>
      <c r="H229" s="17">
        <f>(E229+F229)-G229</f>
        <v>1641977.15</v>
      </c>
      <c r="I229" s="17">
        <v>149398757.38</v>
      </c>
      <c r="J229" s="55">
        <f t="shared" si="127"/>
        <v>1.8845132203956288E-3</v>
      </c>
      <c r="K229" s="17">
        <v>147327468.84999999</v>
      </c>
      <c r="L229" s="13">
        <f t="shared" si="133"/>
        <v>1.7232419975739207E-3</v>
      </c>
      <c r="M229" s="13">
        <f t="shared" si="134"/>
        <v>-1.3864161699361527E-2</v>
      </c>
      <c r="N229" s="20">
        <f t="shared" si="135"/>
        <v>2.2479366039824555E-3</v>
      </c>
      <c r="O229" s="21">
        <f t="shared" si="136"/>
        <v>1.1145084910620183E-2</v>
      </c>
      <c r="P229" s="22">
        <f t="shared" si="137"/>
        <v>112.90810920692435</v>
      </c>
      <c r="Q229" s="22">
        <f t="shared" si="138"/>
        <v>1.2583704642087483</v>
      </c>
      <c r="R229" s="17">
        <v>111.76</v>
      </c>
      <c r="S229" s="17">
        <v>114.06</v>
      </c>
      <c r="T229" s="17">
        <v>310</v>
      </c>
      <c r="U229" s="17">
        <v>1270921</v>
      </c>
      <c r="V229" s="17">
        <v>1304844</v>
      </c>
    </row>
    <row r="230" spans="1:22" ht="15" customHeight="1">
      <c r="A230" s="105" t="s">
        <v>51</v>
      </c>
      <c r="B230" s="105"/>
      <c r="C230" s="105"/>
      <c r="D230" s="105"/>
      <c r="E230" s="105"/>
      <c r="F230" s="105"/>
      <c r="G230" s="105"/>
      <c r="H230" s="105"/>
      <c r="I230" s="36">
        <f>SUM(I206:I229)</f>
        <v>79277107617.550003</v>
      </c>
      <c r="J230" s="34">
        <f>(I230/$I$240)</f>
        <v>1.0163992274547489E-2</v>
      </c>
      <c r="K230" s="36">
        <f>SUM(K206:K229)</f>
        <v>85494358341.669998</v>
      </c>
      <c r="L230" s="34">
        <f>(K230/$K$240)</f>
        <v>1.0515968132661107E-2</v>
      </c>
      <c r="M230" s="34">
        <f t="shared" si="118"/>
        <v>7.8424288056942792E-2</v>
      </c>
      <c r="N230" s="20"/>
      <c r="O230" s="20"/>
      <c r="P230" s="35"/>
      <c r="Q230" s="35"/>
      <c r="R230" s="36"/>
      <c r="S230" s="36"/>
      <c r="T230" s="36">
        <f>SUM(T206:T229)</f>
        <v>41380</v>
      </c>
      <c r="U230" s="36"/>
      <c r="V230" s="36"/>
    </row>
    <row r="231" spans="1:22" ht="15" customHeight="1">
      <c r="A231" s="106" t="s">
        <v>293</v>
      </c>
      <c r="B231" s="106"/>
      <c r="C231" s="106"/>
      <c r="D231" s="106"/>
      <c r="E231" s="106"/>
      <c r="F231" s="106"/>
      <c r="G231" s="106"/>
      <c r="H231" s="106"/>
      <c r="I231" s="67">
        <f>SUM(I25,I72,I114,I156,I165,I197,I202,I230)</f>
        <v>7781135039409.8193</v>
      </c>
      <c r="J231" s="68"/>
      <c r="K231" s="67">
        <f>SUM(K25,K72,K114,K156,K165,K197,K202,K230)</f>
        <v>8109517694061.6299</v>
      </c>
      <c r="L231" s="68"/>
      <c r="M231" s="68"/>
      <c r="N231" s="69"/>
      <c r="O231" s="69"/>
      <c r="P231" s="70"/>
      <c r="Q231" s="70"/>
      <c r="R231" s="67"/>
      <c r="S231" s="67"/>
      <c r="T231" s="67">
        <f>SUM(T25,T72,T114,T156,T165,T197,T202,T230)</f>
        <v>1099668</v>
      </c>
      <c r="U231" s="67"/>
      <c r="V231" s="67"/>
    </row>
    <row r="232" spans="1:22" s="6" customFormat="1" ht="6.6" customHeight="1">
      <c r="A232" s="61"/>
      <c r="B232" s="61"/>
      <c r="C232" s="61"/>
      <c r="D232" s="61"/>
      <c r="E232" s="61"/>
      <c r="F232" s="61"/>
      <c r="G232" s="61"/>
      <c r="H232" s="61"/>
      <c r="I232" s="36"/>
      <c r="J232" s="57"/>
      <c r="K232" s="36"/>
      <c r="L232" s="57"/>
      <c r="M232" s="57"/>
      <c r="N232" s="58"/>
      <c r="O232" s="58"/>
      <c r="P232" s="59"/>
      <c r="Q232" s="59"/>
      <c r="R232" s="36"/>
      <c r="S232" s="36"/>
      <c r="T232" s="36"/>
      <c r="U232" s="36"/>
      <c r="V232" s="36"/>
    </row>
    <row r="233" spans="1:22" s="6" customFormat="1" ht="15" customHeight="1">
      <c r="A233" s="117" t="s">
        <v>281</v>
      </c>
      <c r="B233" s="117"/>
      <c r="C233" s="117"/>
      <c r="D233" s="117"/>
      <c r="E233" s="117"/>
      <c r="F233" s="117"/>
      <c r="G233" s="117"/>
      <c r="H233" s="117"/>
      <c r="I233" s="117"/>
      <c r="J233" s="117"/>
      <c r="K233" s="117"/>
      <c r="L233" s="117"/>
      <c r="M233" s="117"/>
      <c r="N233" s="117"/>
      <c r="O233" s="117"/>
      <c r="P233" s="117"/>
      <c r="Q233" s="117"/>
      <c r="R233" s="117"/>
      <c r="S233" s="117"/>
      <c r="T233" s="117"/>
      <c r="U233" s="117"/>
      <c r="V233" s="117"/>
    </row>
    <row r="234" spans="1:22" s="6" customFormat="1" ht="15" customHeight="1">
      <c r="A234" s="89">
        <v>1</v>
      </c>
      <c r="B234" s="25" t="s">
        <v>282</v>
      </c>
      <c r="C234" s="25" t="s">
        <v>58</v>
      </c>
      <c r="D234" s="17">
        <f>876937*FX_RATE</f>
        <v>1215919803.5484002</v>
      </c>
      <c r="E234" s="16">
        <f>8727*FX_RATE</f>
        <v>12100449.7764</v>
      </c>
      <c r="F234" s="16">
        <f>213*FX_RATE</f>
        <v>295335.83160000003</v>
      </c>
      <c r="G234" s="16">
        <f>2869*FX_RATE</f>
        <v>3978021.1308000004</v>
      </c>
      <c r="H234" s="17">
        <f>(E234+F234)-G234</f>
        <v>8417764.4771999978</v>
      </c>
      <c r="I234" s="10">
        <v>1854149640.7539001</v>
      </c>
      <c r="J234" s="13">
        <f>(I234/$I$239)</f>
        <v>9.9338171072290565E-2</v>
      </c>
      <c r="K234" s="10">
        <f>1343804*FX_RATE</f>
        <v>1863255736.3728001</v>
      </c>
      <c r="L234" s="13">
        <f>(K234/$K$239)</f>
        <v>9.1164828043419771E-2</v>
      </c>
      <c r="M234" s="13">
        <f>((K234-I234)/I234)</f>
        <v>4.9111977904855121E-3</v>
      </c>
      <c r="N234" s="20">
        <f t="shared" ref="N234" si="139">(G234/K234)</f>
        <v>2.1349839708767054E-3</v>
      </c>
      <c r="O234" s="21">
        <f t="shared" ref="O234" si="140">H234/K234</f>
        <v>4.5177719369789036E-3</v>
      </c>
      <c r="P234" s="22">
        <f t="shared" ref="P234" si="141">K234/V234</f>
        <v>1443.1559311321062</v>
      </c>
      <c r="Q234" s="22">
        <f t="shared" ref="Q234" si="142">H234/V234</f>
        <v>6.5198493663532879</v>
      </c>
      <c r="R234" s="10">
        <f>1.0408*FX_RATE</f>
        <v>1443.1245705599999</v>
      </c>
      <c r="S234" s="10">
        <f>1.0408*FX_RATE</f>
        <v>1443.1245705599999</v>
      </c>
      <c r="T234" s="10">
        <v>53</v>
      </c>
      <c r="U234" s="10">
        <v>1246469</v>
      </c>
      <c r="V234" s="10">
        <v>1291098</v>
      </c>
    </row>
    <row r="235" spans="1:22" s="6" customFormat="1" ht="15" customHeight="1">
      <c r="A235" s="89">
        <v>2</v>
      </c>
      <c r="B235" s="25" t="s">
        <v>283</v>
      </c>
      <c r="C235" s="25" t="s">
        <v>284</v>
      </c>
      <c r="D235" s="16">
        <v>3590947679.0599999</v>
      </c>
      <c r="E235" s="16">
        <v>105279606.98999999</v>
      </c>
      <c r="F235" s="103">
        <v>0</v>
      </c>
      <c r="G235" s="16">
        <v>25765367.079999998</v>
      </c>
      <c r="H235" s="17">
        <f>(E235+F235)-G235</f>
        <v>79514239.909999996</v>
      </c>
      <c r="I235" s="10">
        <v>4113428325.6199999</v>
      </c>
      <c r="J235" s="13">
        <f t="shared" ref="J235:J238" si="143">(I235/$I$239)</f>
        <v>0.22038159041893704</v>
      </c>
      <c r="K235" s="10">
        <v>4192942566.5300002</v>
      </c>
      <c r="L235" s="13">
        <f t="shared" ref="L235:L238" si="144">(K235/$K$239)</f>
        <v>0.20515105930534611</v>
      </c>
      <c r="M235" s="13">
        <f t="shared" ref="M235:M238" si="145">((K235-I235)/I235)</f>
        <v>1.9330406321839941E-2</v>
      </c>
      <c r="N235" s="20">
        <f t="shared" ref="N235:N238" si="146">(G235/K235)</f>
        <v>6.1449368006304284E-3</v>
      </c>
      <c r="O235" s="21">
        <f t="shared" ref="O235:O238" si="147">H235/K235</f>
        <v>1.896382758607745E-2</v>
      </c>
      <c r="P235" s="22">
        <f t="shared" ref="P235:P238" si="148">K235/V235</f>
        <v>126.34977539776769</v>
      </c>
      <c r="Q235" s="22">
        <f t="shared" ref="Q235:Q238" si="149">H235/V235</f>
        <v>2.3960753561828767</v>
      </c>
      <c r="R235" s="10">
        <v>123.3</v>
      </c>
      <c r="S235" s="10">
        <v>123.3</v>
      </c>
      <c r="T235" s="10">
        <v>9</v>
      </c>
      <c r="U235" s="10">
        <v>33185200</v>
      </c>
      <c r="V235" s="10">
        <v>33185200</v>
      </c>
    </row>
    <row r="236" spans="1:22" s="6" customFormat="1" ht="15" customHeight="1">
      <c r="A236" s="89">
        <v>3</v>
      </c>
      <c r="B236" s="25" t="s">
        <v>285</v>
      </c>
      <c r="C236" s="25" t="s">
        <v>134</v>
      </c>
      <c r="D236" s="16">
        <v>1152252156.8199999</v>
      </c>
      <c r="E236" s="16">
        <v>5241277.75</v>
      </c>
      <c r="F236" s="16">
        <v>793565.15</v>
      </c>
      <c r="G236" s="16">
        <v>827315.06</v>
      </c>
      <c r="H236" s="17">
        <f>(E236+F236)-G236</f>
        <v>5207527.84</v>
      </c>
      <c r="I236" s="10">
        <v>714933428.88999999</v>
      </c>
      <c r="J236" s="13">
        <f t="shared" si="143"/>
        <v>3.8303369751481971E-2</v>
      </c>
      <c r="K236" s="10">
        <v>1144575704.8699999</v>
      </c>
      <c r="L236" s="13">
        <f t="shared" si="144"/>
        <v>5.6001463073597199E-2</v>
      </c>
      <c r="M236" s="13">
        <f t="shared" si="145"/>
        <v>0.6009542407984183</v>
      </c>
      <c r="N236" s="20">
        <f t="shared" si="146"/>
        <v>7.2281375227509822E-4</v>
      </c>
      <c r="O236" s="21">
        <f t="shared" si="147"/>
        <v>4.5497452181124769E-3</v>
      </c>
      <c r="P236" s="22">
        <f t="shared" si="148"/>
        <v>155232.48814913267</v>
      </c>
      <c r="Q236" s="22">
        <f t="shared" si="149"/>
        <v>706.26827065221812</v>
      </c>
      <c r="R236" s="10">
        <f>111.99*FX_RATE</f>
        <v>155280.09286800001</v>
      </c>
      <c r="S236" s="10">
        <f>111.99*FX_RATE</f>
        <v>155280.09286800001</v>
      </c>
      <c r="T236" s="10">
        <v>13</v>
      </c>
      <c r="U236" s="10">
        <v>4441.54</v>
      </c>
      <c r="V236" s="10">
        <v>7373.3</v>
      </c>
    </row>
    <row r="237" spans="1:22" ht="15" customHeight="1">
      <c r="A237" s="89">
        <v>4</v>
      </c>
      <c r="B237" s="25" t="s">
        <v>286</v>
      </c>
      <c r="C237" s="25" t="s">
        <v>287</v>
      </c>
      <c r="D237" s="16">
        <v>12143945341.200001</v>
      </c>
      <c r="E237" s="16">
        <v>220337574.31</v>
      </c>
      <c r="F237" s="103">
        <v>0</v>
      </c>
      <c r="G237" s="16">
        <v>24012227.32</v>
      </c>
      <c r="H237" s="17">
        <f>(E237+F237)-G237</f>
        <v>196325346.99000001</v>
      </c>
      <c r="I237" s="10">
        <v>11810050093.030001</v>
      </c>
      <c r="J237" s="13">
        <f t="shared" si="143"/>
        <v>0.63273683565082428</v>
      </c>
      <c r="K237" s="10">
        <v>13051016456.99</v>
      </c>
      <c r="L237" s="13">
        <f t="shared" si="144"/>
        <v>0.63855629040461526</v>
      </c>
      <c r="M237" s="13">
        <f t="shared" si="145"/>
        <v>0.10507714651374651</v>
      </c>
      <c r="N237" s="20">
        <f t="shared" si="146"/>
        <v>1.8398741124212804E-3</v>
      </c>
      <c r="O237" s="21">
        <f t="shared" si="147"/>
        <v>1.5042916207867475E-2</v>
      </c>
      <c r="P237" s="22">
        <f t="shared" si="148"/>
        <v>1.2512959210920422</v>
      </c>
      <c r="Q237" s="22">
        <f t="shared" si="149"/>
        <v>1.8823139692233943E-2</v>
      </c>
      <c r="R237" s="10">
        <v>1.25</v>
      </c>
      <c r="S237" s="10">
        <v>1.25</v>
      </c>
      <c r="T237" s="10">
        <v>16</v>
      </c>
      <c r="U237" s="10">
        <v>10430000000</v>
      </c>
      <c r="V237" s="10">
        <v>10430000000</v>
      </c>
    </row>
    <row r="238" spans="1:22" ht="15" customHeight="1">
      <c r="A238" s="89">
        <v>5</v>
      </c>
      <c r="B238" s="25" t="s">
        <v>288</v>
      </c>
      <c r="C238" s="25" t="s">
        <v>50</v>
      </c>
      <c r="D238" s="17">
        <v>183990618</v>
      </c>
      <c r="E238" s="16">
        <v>1553646</v>
      </c>
      <c r="F238" s="16">
        <v>10710679</v>
      </c>
      <c r="G238" s="16">
        <v>636454</v>
      </c>
      <c r="H238" s="17">
        <f>(E238+F238)-G238</f>
        <v>11627871</v>
      </c>
      <c r="I238" s="10">
        <v>172465467</v>
      </c>
      <c r="J238" s="13">
        <f t="shared" si="143"/>
        <v>9.2400331064662194E-3</v>
      </c>
      <c r="K238" s="10">
        <v>186527430</v>
      </c>
      <c r="L238" s="13">
        <f t="shared" si="144"/>
        <v>9.1263591730215993E-3</v>
      </c>
      <c r="M238" s="13">
        <f t="shared" si="145"/>
        <v>8.153494867468164E-2</v>
      </c>
      <c r="N238" s="20">
        <f t="shared" si="146"/>
        <v>3.4121201369685947E-3</v>
      </c>
      <c r="O238" s="21">
        <f t="shared" si="147"/>
        <v>6.2338665149677987E-2</v>
      </c>
      <c r="P238" s="22">
        <f t="shared" si="148"/>
        <v>1.189666194468193</v>
      </c>
      <c r="Q238" s="22">
        <f t="shared" si="149"/>
        <v>7.4162202536844371E-2</v>
      </c>
      <c r="R238" s="10">
        <v>1.19</v>
      </c>
      <c r="S238" s="10">
        <v>1.19</v>
      </c>
      <c r="T238" s="10">
        <v>19</v>
      </c>
      <c r="U238" s="10">
        <v>152862820</v>
      </c>
      <c r="V238" s="10">
        <v>156789720.40000001</v>
      </c>
    </row>
    <row r="239" spans="1:22" ht="15" customHeight="1">
      <c r="A239" s="105" t="s">
        <v>51</v>
      </c>
      <c r="B239" s="105"/>
      <c r="C239" s="105"/>
      <c r="D239" s="105"/>
      <c r="E239" s="105"/>
      <c r="F239" s="105"/>
      <c r="G239" s="105"/>
      <c r="H239" s="105"/>
      <c r="I239" s="36">
        <f>SUM(I234:I238)</f>
        <v>18665026955.2939</v>
      </c>
      <c r="J239" s="34">
        <f>(I239/$I$240)</f>
        <v>2.3930135127158757E-3</v>
      </c>
      <c r="K239" s="72">
        <f>SUM(K234:K238)</f>
        <v>20438317894.762802</v>
      </c>
      <c r="L239" s="34">
        <f>(K239/$K$240)</f>
        <v>2.5139518423845106E-3</v>
      </c>
      <c r="M239" s="57"/>
      <c r="N239" s="58"/>
      <c r="O239" s="58"/>
      <c r="P239" s="59"/>
      <c r="Q239" s="59"/>
      <c r="R239" s="36"/>
      <c r="S239" s="36"/>
      <c r="T239" s="36">
        <f>SUM(T234:T238)</f>
        <v>110</v>
      </c>
      <c r="U239" s="36"/>
      <c r="V239" s="36"/>
    </row>
    <row r="240" spans="1:22" ht="15.6" customHeight="1">
      <c r="A240" s="116" t="s">
        <v>197</v>
      </c>
      <c r="B240" s="116"/>
      <c r="C240" s="116"/>
      <c r="D240" s="116"/>
      <c r="E240" s="116"/>
      <c r="F240" s="116"/>
      <c r="G240" s="116"/>
      <c r="H240" s="116"/>
      <c r="I240" s="65">
        <f>I231+I239</f>
        <v>7799800066365.1133</v>
      </c>
      <c r="J240" s="64"/>
      <c r="K240" s="65">
        <f>K231+K239</f>
        <v>8129956011956.3926</v>
      </c>
      <c r="L240" s="64"/>
      <c r="M240" s="64"/>
      <c r="N240" s="64"/>
      <c r="O240" s="64"/>
      <c r="P240" s="64"/>
      <c r="Q240" s="64"/>
      <c r="R240" s="66"/>
      <c r="S240" s="66"/>
      <c r="T240" s="65">
        <f>T231+T239</f>
        <v>1099778</v>
      </c>
      <c r="U240" s="66"/>
      <c r="V240" s="66"/>
    </row>
    <row r="241" spans="1:22" ht="4.95" customHeight="1">
      <c r="A241" s="52"/>
      <c r="B241" s="14"/>
      <c r="C241" s="14"/>
      <c r="D241" s="6"/>
      <c r="E241" s="6"/>
      <c r="F241" s="6"/>
      <c r="G241" s="6"/>
      <c r="H241" s="7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>
      <c r="A242" s="53" t="s">
        <v>198</v>
      </c>
      <c r="B242" s="42" t="s">
        <v>318</v>
      </c>
      <c r="C242" s="56">
        <v>1386.5532000000001</v>
      </c>
      <c r="D242" s="73"/>
      <c r="E242" s="6"/>
      <c r="F242" s="6"/>
      <c r="G242" s="6"/>
      <c r="H242" s="7"/>
      <c r="I242" s="8"/>
      <c r="J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9"/>
    </row>
  </sheetData>
  <sheetProtection algorithmName="SHA-512" hashValue="oqUbLhtbICPszfsyraDyrueLkPfMb0fbdT7skXeQdDmXgm47aW5FCNSDSdkTjYJqRRnibE54bVTgceQYRlA+tg==" saltValue="L36jja5ygN7oibKkyx9+qw==" spinCount="100000" sheet="1" objects="1" scenarios="1"/>
  <mergeCells count="36">
    <mergeCell ref="A239:H239"/>
    <mergeCell ref="A240:H240"/>
    <mergeCell ref="A233:V233"/>
    <mergeCell ref="A1:V1"/>
    <mergeCell ref="A3:V3"/>
    <mergeCell ref="A4:V4"/>
    <mergeCell ref="A25:H25"/>
    <mergeCell ref="A26:V26"/>
    <mergeCell ref="A27:V27"/>
    <mergeCell ref="A72:H72"/>
    <mergeCell ref="A73:V73"/>
    <mergeCell ref="A74:V74"/>
    <mergeCell ref="A114:H114"/>
    <mergeCell ref="A115:V115"/>
    <mergeCell ref="A116:V116"/>
    <mergeCell ref="A117:V117"/>
    <mergeCell ref="A135:V135"/>
    <mergeCell ref="A136:V136"/>
    <mergeCell ref="A156:H156"/>
    <mergeCell ref="A157:V157"/>
    <mergeCell ref="A158:V158"/>
    <mergeCell ref="A165:H165"/>
    <mergeCell ref="A166:V166"/>
    <mergeCell ref="A167:V167"/>
    <mergeCell ref="A197:H197"/>
    <mergeCell ref="A198:V198"/>
    <mergeCell ref="A199:V199"/>
    <mergeCell ref="A202:H202"/>
    <mergeCell ref="A230:H230"/>
    <mergeCell ref="A231:H231"/>
    <mergeCell ref="A203:V203"/>
    <mergeCell ref="A204:V204"/>
    <mergeCell ref="A205:V205"/>
    <mergeCell ref="A208:V208"/>
    <mergeCell ref="A209:V209"/>
    <mergeCell ref="A225:V225"/>
  </mergeCells>
  <pageMargins left="0.7" right="0.7" top="0.75" bottom="0.75" header="0.3" footer="0.3"/>
  <pageSetup scale="83" orientation="portrait" r:id="rId1"/>
  <colBreaks count="1" manualBreakCount="1">
    <brk id="3" max="1048575" man="1"/>
  </colBreaks>
  <ignoredErrors>
    <ignoredError sqref="J25 J72 J114 J156 J165 J197 J202 J230 J23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I8" sqref="I8"/>
    </sheetView>
  </sheetViews>
  <sheetFormatPr defaultColWidth="9" defaultRowHeight="14.4"/>
  <cols>
    <col min="1" max="1" width="30.33203125" customWidth="1"/>
    <col min="2" max="2" width="9.33203125" customWidth="1"/>
    <col min="3" max="3" width="9.44140625" customWidth="1"/>
  </cols>
  <sheetData>
    <row r="1" spans="1:8">
      <c r="A1" s="2"/>
      <c r="B1" s="2"/>
      <c r="C1" s="2"/>
      <c r="D1" s="2"/>
      <c r="E1" s="2"/>
      <c r="F1" s="2"/>
      <c r="G1" s="2"/>
      <c r="H1" s="2"/>
    </row>
    <row r="2" spans="1:8">
      <c r="A2" s="2"/>
      <c r="B2" s="2"/>
      <c r="C2" s="2"/>
      <c r="D2" s="2"/>
      <c r="E2" s="2"/>
      <c r="F2" s="2"/>
      <c r="G2" s="2"/>
      <c r="H2" s="2"/>
    </row>
    <row r="3" spans="1:8">
      <c r="A3" s="137"/>
      <c r="B3" s="137"/>
      <c r="C3" s="137"/>
      <c r="D3" s="123"/>
      <c r="E3" s="123"/>
      <c r="F3" s="2"/>
      <c r="G3" s="2"/>
      <c r="H3" s="2"/>
    </row>
    <row r="4" spans="1:8" ht="33" customHeight="1">
      <c r="A4" s="138" t="s">
        <v>199</v>
      </c>
      <c r="B4" s="139" t="s">
        <v>327</v>
      </c>
      <c r="C4" s="139" t="s">
        <v>326</v>
      </c>
      <c r="D4" s="123"/>
      <c r="E4" s="123"/>
      <c r="F4" s="2"/>
      <c r="G4" s="2"/>
      <c r="H4" s="2"/>
    </row>
    <row r="5" spans="1:8" ht="19.05" customHeight="1">
      <c r="A5" s="140" t="s">
        <v>20</v>
      </c>
      <c r="B5" s="141">
        <f>[1]December!I25/1000000000</f>
        <v>76.687557108239986</v>
      </c>
      <c r="C5" s="141">
        <f>January!K25/1000000000</f>
        <v>100.45174506524002</v>
      </c>
      <c r="D5" s="123"/>
      <c r="E5" s="123"/>
      <c r="F5" s="2"/>
      <c r="G5" s="2"/>
      <c r="H5" s="2"/>
    </row>
    <row r="6" spans="1:8">
      <c r="A6" s="138" t="s">
        <v>52</v>
      </c>
      <c r="B6" s="141">
        <f>[1]December!I71/1000000000</f>
        <v>4485.8453789347277</v>
      </c>
      <c r="C6" s="141">
        <f>January!K72/1000000000</f>
        <v>5189.288413032009</v>
      </c>
      <c r="D6" s="123"/>
      <c r="E6" s="123"/>
      <c r="F6" s="2"/>
      <c r="G6" s="2"/>
      <c r="H6" s="2"/>
    </row>
    <row r="7" spans="1:8">
      <c r="A7" s="138" t="s">
        <v>200</v>
      </c>
      <c r="B7" s="141">
        <f>[1]December!I113/1000000000</f>
        <v>241.37287576415</v>
      </c>
      <c r="C7" s="141">
        <f>January!K114/1000000000</f>
        <v>240.76536151262999</v>
      </c>
      <c r="D7" s="123"/>
      <c r="E7" s="123"/>
      <c r="F7" s="2"/>
      <c r="G7" s="2"/>
      <c r="H7" s="2"/>
    </row>
    <row r="8" spans="1:8">
      <c r="A8" s="138" t="s">
        <v>201</v>
      </c>
      <c r="B8" s="141">
        <f>[1]December!I155/1000000000</f>
        <v>1903.5428744500064</v>
      </c>
      <c r="C8" s="141">
        <f>January!K156/1000000000</f>
        <v>1875.9569024292011</v>
      </c>
      <c r="D8" s="123"/>
      <c r="E8" s="123"/>
      <c r="F8" s="2"/>
      <c r="G8" s="2"/>
      <c r="H8" s="2"/>
    </row>
    <row r="9" spans="1:8">
      <c r="A9" s="138" t="s">
        <v>202</v>
      </c>
      <c r="B9" s="141">
        <f>[1]December!I164/1000000000</f>
        <v>483.18103508065002</v>
      </c>
      <c r="C9" s="141">
        <f>January!K165/1000000000</f>
        <v>513.36709383830998</v>
      </c>
      <c r="D9" s="123"/>
      <c r="E9" s="123"/>
      <c r="F9" s="2"/>
      <c r="G9" s="2"/>
      <c r="H9" s="2"/>
    </row>
    <row r="10" spans="1:8">
      <c r="A10" s="138" t="s">
        <v>159</v>
      </c>
      <c r="B10" s="141">
        <f>[1]December!I196/1000000000</f>
        <v>80.407918513799999</v>
      </c>
      <c r="C10" s="141">
        <f>January!K197/1000000000</f>
        <v>94.530140413209992</v>
      </c>
      <c r="D10" s="123"/>
      <c r="E10" s="123"/>
      <c r="F10" s="2"/>
      <c r="G10" s="2"/>
      <c r="H10" s="2"/>
    </row>
    <row r="11" spans="1:8">
      <c r="A11" s="138" t="s">
        <v>182</v>
      </c>
      <c r="B11" s="141">
        <f>[1]December!I201/1000000000</f>
        <v>8.1305151032299996</v>
      </c>
      <c r="C11" s="141">
        <f>January!K202/1000000000</f>
        <v>9.6636794293600001</v>
      </c>
      <c r="D11" s="123"/>
      <c r="E11" s="123"/>
      <c r="F11" s="2"/>
      <c r="G11" s="2"/>
      <c r="H11" s="2"/>
    </row>
    <row r="12" spans="1:8">
      <c r="A12" s="138" t="s">
        <v>203</v>
      </c>
      <c r="B12" s="141">
        <f>[1]December!I229/1000000000</f>
        <v>74.418607204430003</v>
      </c>
      <c r="C12" s="141">
        <f>January!K230/1000000000</f>
        <v>85.494358341669994</v>
      </c>
      <c r="D12" s="123"/>
      <c r="E12" s="123"/>
      <c r="F12" s="2"/>
      <c r="G12" s="2"/>
      <c r="H12" s="2"/>
    </row>
    <row r="13" spans="1:8">
      <c r="A13" s="142" t="s">
        <v>281</v>
      </c>
      <c r="B13" s="141">
        <f>[1]December!I238/1000000000</f>
        <v>18.6196708478613</v>
      </c>
      <c r="C13" s="141">
        <f>January!K239/1000000000</f>
        <v>20.4383178947628</v>
      </c>
      <c r="D13" s="123"/>
      <c r="E13" s="123"/>
      <c r="F13" s="2"/>
      <c r="G13" s="2"/>
      <c r="H13" s="2"/>
    </row>
    <row r="14" spans="1:8">
      <c r="A14" s="137"/>
      <c r="B14" s="137"/>
      <c r="C14" s="137"/>
      <c r="D14" s="123"/>
      <c r="E14" s="123"/>
      <c r="F14" s="2"/>
      <c r="G14" s="2"/>
      <c r="H14" s="2"/>
    </row>
    <row r="15" spans="1:8">
      <c r="A15" s="137"/>
      <c r="B15" s="137"/>
      <c r="C15" s="137"/>
      <c r="D15" s="123"/>
      <c r="E15" s="123"/>
      <c r="F15" s="2"/>
      <c r="G15" s="2"/>
      <c r="H15" s="2"/>
    </row>
    <row r="16" spans="1:8">
      <c r="A16" s="137"/>
      <c r="B16" s="143"/>
      <c r="C16" s="137"/>
      <c r="D16" s="123"/>
      <c r="E16" s="123"/>
      <c r="F16" s="2"/>
      <c r="G16" s="2"/>
      <c r="H16" s="2"/>
    </row>
    <row r="17" spans="1:8">
      <c r="A17" s="101"/>
      <c r="B17" s="102"/>
      <c r="C17" s="100"/>
      <c r="D17" s="2"/>
      <c r="E17" s="2"/>
      <c r="F17" s="2"/>
      <c r="G17" s="2"/>
      <c r="H17" s="2"/>
    </row>
    <row r="18" spans="1:8" ht="15.6">
      <c r="A18" s="63"/>
      <c r="B18" s="47"/>
      <c r="C18" s="2"/>
      <c r="D18" s="2"/>
      <c r="E18" s="2"/>
      <c r="F18" s="2"/>
      <c r="G18" s="2"/>
      <c r="H18" s="2"/>
    </row>
    <row r="19" spans="1:8">
      <c r="A19" s="48"/>
      <c r="B19" s="46"/>
      <c r="C19" s="2"/>
      <c r="D19" s="2"/>
      <c r="E19" s="2"/>
      <c r="F19" s="2"/>
      <c r="G19" s="2"/>
      <c r="H19" s="2"/>
    </row>
    <row r="20" spans="1:8">
      <c r="A20" s="48"/>
      <c r="B20" s="47"/>
      <c r="C20" s="2"/>
      <c r="D20" s="2"/>
      <c r="E20" s="2"/>
      <c r="F20" s="2"/>
      <c r="G20" s="2"/>
      <c r="H20" s="2"/>
    </row>
    <row r="21" spans="1:8">
      <c r="A21" s="48"/>
      <c r="B21" s="46"/>
      <c r="C21" s="2"/>
      <c r="D21" s="2"/>
      <c r="E21" s="2"/>
      <c r="F21" s="2"/>
      <c r="G21" s="2"/>
      <c r="H21" s="2"/>
    </row>
    <row r="22" spans="1:8">
      <c r="A22" s="48"/>
      <c r="B22" s="49"/>
      <c r="C22" s="2"/>
      <c r="D22" s="2"/>
      <c r="E22" s="2"/>
      <c r="F22" s="2"/>
      <c r="G22" s="2"/>
      <c r="H22" s="2"/>
    </row>
    <row r="23" spans="1:8">
      <c r="A23" s="48"/>
      <c r="B23" s="46"/>
      <c r="C23" s="2"/>
      <c r="D23" s="2"/>
      <c r="E23" s="2"/>
      <c r="F23" s="2"/>
      <c r="G23" s="2"/>
      <c r="H23" s="2"/>
    </row>
    <row r="24" spans="1:8">
      <c r="A24" s="48"/>
      <c r="B24" s="46"/>
      <c r="C24" s="2"/>
      <c r="D24" s="2"/>
      <c r="E24" s="2"/>
      <c r="F24" s="2"/>
      <c r="G24" s="2"/>
      <c r="H24" s="2"/>
    </row>
    <row r="25" spans="1:8">
      <c r="A25" s="48"/>
      <c r="B25" s="46"/>
      <c r="C25" s="2"/>
      <c r="D25" s="2"/>
      <c r="E25" s="2"/>
      <c r="F25" s="2"/>
      <c r="G25" s="2"/>
      <c r="H25" s="2"/>
    </row>
    <row r="26" spans="1:8">
      <c r="A26" s="48"/>
      <c r="B26" s="46"/>
      <c r="C26" s="2"/>
      <c r="D26" s="2"/>
      <c r="E26" s="2"/>
      <c r="F26" s="2"/>
      <c r="G26" s="2"/>
      <c r="H26" s="2"/>
    </row>
    <row r="27" spans="1:8">
      <c r="A27" s="2"/>
      <c r="B27" s="2"/>
      <c r="C27" s="2"/>
      <c r="D27" s="2"/>
      <c r="E27" s="2"/>
      <c r="F27" s="2"/>
      <c r="G27" s="2"/>
      <c r="H27" s="2"/>
    </row>
    <row r="28" spans="1:8">
      <c r="A28" s="2"/>
      <c r="B28" s="2"/>
      <c r="C28" s="2"/>
      <c r="D28" s="2"/>
      <c r="E28" s="2"/>
      <c r="F28" s="2"/>
      <c r="G28" s="2"/>
      <c r="H28" s="2"/>
    </row>
  </sheetData>
  <sheetProtection algorithmName="SHA-512" hashValue="E/28PDvtISLD5OXly/w7AKaWFOkYdkiA7zcgS4Ks9zkJvKFh5lzZtxK9dUXlIaF+bJnPO+wyq1PawjYCeXabMA==" saltValue="8P8ENnwERxQXMY/UxGiV+g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zoomScale="85" zoomScaleNormal="85" workbookViewId="0">
      <selection activeCell="J11" sqref="J11"/>
    </sheetView>
  </sheetViews>
  <sheetFormatPr defaultColWidth="9" defaultRowHeight="14.4"/>
  <cols>
    <col min="1" max="1" width="26.77734375" customWidth="1"/>
    <col min="2" max="2" width="21.21875" customWidth="1"/>
  </cols>
  <sheetData>
    <row r="1" spans="1:6">
      <c r="A1" s="130" t="s">
        <v>199</v>
      </c>
      <c r="B1" s="131" t="s">
        <v>326</v>
      </c>
      <c r="C1" s="123"/>
      <c r="D1" s="2"/>
      <c r="E1" s="2"/>
      <c r="F1" s="2"/>
    </row>
    <row r="2" spans="1:6">
      <c r="A2" s="130" t="s">
        <v>182</v>
      </c>
      <c r="B2" s="132">
        <f>January!K202</f>
        <v>9663679429.3600006</v>
      </c>
      <c r="C2" s="123"/>
      <c r="D2" s="2"/>
      <c r="E2" s="2"/>
      <c r="F2" s="2"/>
    </row>
    <row r="3" spans="1:6">
      <c r="A3" s="130" t="s">
        <v>281</v>
      </c>
      <c r="B3" s="132">
        <f>January!K239</f>
        <v>20438317894.762802</v>
      </c>
      <c r="C3" s="123"/>
      <c r="D3" s="2"/>
      <c r="E3" s="2"/>
      <c r="F3" s="2"/>
    </row>
    <row r="4" spans="1:6">
      <c r="A4" s="130" t="s">
        <v>203</v>
      </c>
      <c r="B4" s="133">
        <f>January!K230</f>
        <v>85494358341.669998</v>
      </c>
      <c r="C4" s="123"/>
      <c r="D4" s="2"/>
      <c r="E4" s="2"/>
      <c r="F4" s="2"/>
    </row>
    <row r="5" spans="1:6">
      <c r="A5" s="130" t="s">
        <v>20</v>
      </c>
      <c r="B5" s="134">
        <f>January!K25</f>
        <v>100451745065.24002</v>
      </c>
      <c r="C5" s="123"/>
      <c r="D5" s="2"/>
      <c r="E5" s="2"/>
      <c r="F5" s="2"/>
    </row>
    <row r="6" spans="1:6">
      <c r="A6" s="130" t="s">
        <v>159</v>
      </c>
      <c r="B6" s="134">
        <f>January!K197</f>
        <v>94530140413.209991</v>
      </c>
      <c r="C6" s="123"/>
      <c r="D6" s="2"/>
      <c r="E6" s="2"/>
      <c r="F6" s="2"/>
    </row>
    <row r="7" spans="1:6">
      <c r="A7" s="130" t="s">
        <v>200</v>
      </c>
      <c r="B7" s="135">
        <f>January!K114</f>
        <v>240765361512.63</v>
      </c>
      <c r="C7" s="123"/>
      <c r="D7" s="2"/>
      <c r="E7" s="2"/>
      <c r="F7" s="2"/>
    </row>
    <row r="8" spans="1:6">
      <c r="A8" s="130" t="s">
        <v>202</v>
      </c>
      <c r="B8" s="135">
        <f>January!K165</f>
        <v>513367093838.31</v>
      </c>
      <c r="C8" s="123"/>
      <c r="D8" s="2"/>
      <c r="E8" s="2"/>
      <c r="F8" s="2"/>
    </row>
    <row r="9" spans="1:6">
      <c r="A9" s="130" t="s">
        <v>201</v>
      </c>
      <c r="B9" s="134">
        <f>January!K156</f>
        <v>1875956902429.2012</v>
      </c>
      <c r="C9" s="123"/>
      <c r="D9" s="2"/>
      <c r="E9" s="2"/>
      <c r="F9" s="2"/>
    </row>
    <row r="10" spans="1:6">
      <c r="A10" s="130" t="s">
        <v>52</v>
      </c>
      <c r="B10" s="134">
        <f>January!K72</f>
        <v>5189288413032.0088</v>
      </c>
      <c r="C10" s="123"/>
      <c r="D10" s="2"/>
      <c r="E10" s="2"/>
      <c r="F10" s="2"/>
    </row>
    <row r="11" spans="1:6">
      <c r="A11" s="123"/>
      <c r="B11" s="123"/>
      <c r="C11" s="123"/>
      <c r="D11" s="2"/>
      <c r="E11" s="2"/>
      <c r="F11" s="2"/>
    </row>
    <row r="12" spans="1:6">
      <c r="A12" s="128"/>
      <c r="B12" s="123"/>
      <c r="C12" s="123"/>
      <c r="D12" s="2"/>
      <c r="E12" s="2"/>
      <c r="F12" s="2"/>
    </row>
    <row r="13" spans="1:6">
      <c r="A13" s="136"/>
      <c r="B13" s="123"/>
      <c r="C13" s="123"/>
      <c r="D13" s="2"/>
      <c r="E13" s="2"/>
      <c r="F13" s="2"/>
    </row>
    <row r="14" spans="1:6" ht="15" customHeight="1">
      <c r="A14" s="2"/>
      <c r="B14" s="95"/>
      <c r="C14" s="2"/>
      <c r="D14" s="2"/>
      <c r="E14" s="2"/>
      <c r="F14" s="2"/>
    </row>
    <row r="15" spans="1:6">
      <c r="A15" s="2"/>
      <c r="B15" s="95"/>
      <c r="C15" s="2"/>
      <c r="D15" s="2"/>
      <c r="E15" s="2"/>
      <c r="F15" s="2"/>
    </row>
    <row r="16" spans="1:6">
      <c r="A16" s="96"/>
      <c r="B16" s="95"/>
      <c r="C16" s="2"/>
      <c r="D16" s="2"/>
      <c r="E16" s="2"/>
      <c r="F16" s="2"/>
    </row>
    <row r="17" spans="1:6">
      <c r="A17" s="97"/>
      <c r="B17" s="95"/>
      <c r="C17" s="2"/>
      <c r="D17" s="2"/>
      <c r="E17" s="2"/>
      <c r="F17" s="2"/>
    </row>
    <row r="18" spans="1:6">
      <c r="A18" s="97"/>
      <c r="B18" s="95"/>
      <c r="C18" s="2"/>
      <c r="D18" s="2"/>
      <c r="E18" s="2"/>
      <c r="F18" s="2"/>
    </row>
    <row r="19" spans="1:6">
      <c r="A19" s="96"/>
      <c r="B19" s="95"/>
      <c r="C19" s="2"/>
      <c r="D19" s="2"/>
      <c r="E19" s="2"/>
      <c r="F19" s="2"/>
    </row>
    <row r="20" spans="1:6">
      <c r="A20" s="98"/>
      <c r="B20" s="95"/>
      <c r="C20" s="2"/>
      <c r="D20" s="2"/>
      <c r="E20" s="2"/>
      <c r="F20" s="2"/>
    </row>
    <row r="21" spans="1:6">
      <c r="A21" s="99"/>
      <c r="B21" s="95"/>
      <c r="C21" s="2"/>
      <c r="D21" s="2"/>
      <c r="E21" s="2"/>
      <c r="F21" s="2"/>
    </row>
    <row r="22" spans="1:6">
      <c r="A22" s="48"/>
      <c r="B22" s="47"/>
      <c r="C22" s="2"/>
      <c r="D22" s="2"/>
      <c r="E22" s="2"/>
      <c r="F22" s="2"/>
    </row>
    <row r="23" spans="1:6">
      <c r="A23" s="2"/>
      <c r="B23" s="47"/>
      <c r="C23" s="2"/>
      <c r="D23" s="2"/>
      <c r="E23" s="2"/>
      <c r="F23" s="2"/>
    </row>
    <row r="24" spans="1:6">
      <c r="A24" s="2"/>
      <c r="B24" s="2"/>
      <c r="C24" s="2"/>
      <c r="D24" s="2"/>
      <c r="E24" s="2"/>
      <c r="F24" s="2"/>
    </row>
    <row r="25" spans="1:6">
      <c r="A25" s="2"/>
      <c r="B25" s="2"/>
      <c r="C25" s="2"/>
      <c r="D25" s="2"/>
      <c r="E25" s="2"/>
      <c r="F25" s="2"/>
    </row>
    <row r="26" spans="1:6">
      <c r="A26" s="2"/>
      <c r="B26" s="2"/>
      <c r="C26" s="2"/>
      <c r="D26" s="2"/>
      <c r="E26" s="2"/>
      <c r="F26" s="2"/>
    </row>
    <row r="27" spans="1:6">
      <c r="A27" s="2"/>
      <c r="B27" s="2"/>
      <c r="C27" s="2"/>
      <c r="D27" s="2"/>
      <c r="E27" s="2"/>
      <c r="F27" s="2"/>
    </row>
    <row r="28" spans="1:6">
      <c r="A28" s="2"/>
      <c r="B28" s="2"/>
      <c r="C28" s="2"/>
      <c r="D28" s="2"/>
      <c r="E28" s="2"/>
      <c r="F28" s="2"/>
    </row>
    <row r="29" spans="1:6">
      <c r="A29" s="2"/>
      <c r="B29" s="2"/>
      <c r="C29" s="2"/>
      <c r="D29" s="2"/>
      <c r="E29" s="2"/>
      <c r="F29" s="2"/>
    </row>
    <row r="30" spans="1:6">
      <c r="A30" s="2"/>
      <c r="B30" s="2"/>
      <c r="C30" s="2"/>
      <c r="D30" s="2"/>
      <c r="E30" s="2"/>
      <c r="F30" s="2"/>
    </row>
    <row r="33" spans="1:17" ht="16.05" customHeight="1">
      <c r="A33" s="122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"/>
    </row>
    <row r="34" spans="1:17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"/>
    </row>
  </sheetData>
  <sheetProtection algorithmName="SHA-512" hashValue="6QXN1PH2smQ8XQ4j22k24vhah/obGwDl7q7FD449rAKbKqaMR4i2jGtGkGg58xI0x2fPQ3nkLsdNVYi6UyAiuw==" saltValue="6kfejGxLTLAOy6Ph1XeJ6Q==" spinCount="100000" sheet="1" objects="1" scenarios="1"/>
  <sortState ref="A13:A19">
    <sortCondition ref="A12:A19"/>
  </sortState>
  <mergeCells count="1">
    <mergeCell ref="A33:P34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F7" sqref="F7"/>
    </sheetView>
  </sheetViews>
  <sheetFormatPr defaultColWidth="9" defaultRowHeight="14.4"/>
  <cols>
    <col min="1" max="1" width="34.77734375" customWidth="1"/>
    <col min="2" max="2" width="15" customWidth="1"/>
  </cols>
  <sheetData>
    <row r="1" spans="1:8">
      <c r="A1" s="2"/>
      <c r="B1" s="2"/>
      <c r="C1" s="2"/>
      <c r="D1" s="2"/>
      <c r="E1" s="2"/>
      <c r="F1" s="2"/>
      <c r="G1" s="2"/>
      <c r="H1" s="2"/>
    </row>
    <row r="2" spans="1:8">
      <c r="A2" s="2"/>
      <c r="B2" s="2"/>
      <c r="C2" s="2"/>
      <c r="D2" s="2"/>
      <c r="E2" s="2"/>
      <c r="F2" s="2"/>
      <c r="G2" s="2"/>
      <c r="H2" s="2"/>
    </row>
    <row r="3" spans="1:8">
      <c r="A3" s="2"/>
      <c r="B3" s="2"/>
      <c r="C3" s="2"/>
      <c r="D3" s="2"/>
      <c r="E3" s="2"/>
      <c r="F3" s="2"/>
      <c r="G3" s="2"/>
      <c r="H3" s="2"/>
    </row>
    <row r="4" spans="1:8">
      <c r="A4" s="123"/>
      <c r="B4" s="123"/>
      <c r="C4" s="123"/>
      <c r="D4" s="2"/>
      <c r="E4" s="2"/>
      <c r="F4" s="2"/>
      <c r="G4" s="2"/>
      <c r="H4" s="2"/>
    </row>
    <row r="5" spans="1:8" ht="15.6">
      <c r="A5" s="124" t="s">
        <v>199</v>
      </c>
      <c r="B5" s="125" t="s">
        <v>204</v>
      </c>
      <c r="C5" s="123"/>
      <c r="D5" s="2"/>
      <c r="E5" s="2"/>
      <c r="F5" s="2"/>
      <c r="G5" s="2"/>
      <c r="H5" s="2"/>
    </row>
    <row r="6" spans="1:8">
      <c r="A6" s="126" t="s">
        <v>20</v>
      </c>
      <c r="B6" s="127">
        <f>January!T25</f>
        <v>67553</v>
      </c>
      <c r="C6" s="123"/>
      <c r="D6" s="2"/>
      <c r="E6" s="2"/>
      <c r="F6" s="2"/>
      <c r="G6" s="2"/>
      <c r="H6" s="2"/>
    </row>
    <row r="7" spans="1:8">
      <c r="A7" s="126" t="s">
        <v>52</v>
      </c>
      <c r="B7" s="127">
        <f>January!T72</f>
        <v>594337</v>
      </c>
      <c r="C7" s="123"/>
      <c r="D7" s="2"/>
      <c r="E7" s="2"/>
      <c r="F7" s="2"/>
      <c r="G7" s="2"/>
      <c r="H7" s="2"/>
    </row>
    <row r="8" spans="1:8">
      <c r="A8" s="126" t="s">
        <v>200</v>
      </c>
      <c r="B8" s="127">
        <f>January!T114</f>
        <v>54315</v>
      </c>
      <c r="C8" s="123"/>
      <c r="D8" s="2"/>
      <c r="E8" s="2"/>
      <c r="F8" s="2"/>
      <c r="G8" s="2"/>
      <c r="H8" s="2"/>
    </row>
    <row r="9" spans="1:8">
      <c r="A9" s="126" t="s">
        <v>201</v>
      </c>
      <c r="B9" s="127">
        <f>January!T156</f>
        <v>26229</v>
      </c>
      <c r="C9" s="123"/>
      <c r="D9" s="2"/>
      <c r="E9" s="2"/>
      <c r="F9" s="2"/>
      <c r="G9" s="2"/>
      <c r="H9" s="2"/>
    </row>
    <row r="10" spans="1:8">
      <c r="A10" s="126" t="s">
        <v>202</v>
      </c>
      <c r="B10" s="127">
        <f>January!T165</f>
        <v>223330</v>
      </c>
      <c r="C10" s="123"/>
      <c r="D10" s="2"/>
      <c r="E10" s="2"/>
      <c r="F10" s="2"/>
      <c r="G10" s="2"/>
      <c r="H10" s="2"/>
    </row>
    <row r="11" spans="1:8">
      <c r="A11" s="126" t="s">
        <v>159</v>
      </c>
      <c r="B11" s="127">
        <f>January!T197</f>
        <v>78723</v>
      </c>
      <c r="C11" s="123"/>
      <c r="D11" s="2"/>
      <c r="E11" s="2"/>
      <c r="F11" s="2"/>
      <c r="G11" s="2"/>
      <c r="H11" s="2"/>
    </row>
    <row r="12" spans="1:8">
      <c r="A12" s="126" t="s">
        <v>182</v>
      </c>
      <c r="B12" s="127">
        <f>January!T202</f>
        <v>13801</v>
      </c>
      <c r="C12" s="123"/>
      <c r="D12" s="2"/>
      <c r="E12" s="2"/>
      <c r="F12" s="2"/>
      <c r="G12" s="2"/>
      <c r="H12" s="2"/>
    </row>
    <row r="13" spans="1:8">
      <c r="A13" s="126" t="s">
        <v>203</v>
      </c>
      <c r="B13" s="127">
        <f>January!T230</f>
        <v>41380</v>
      </c>
      <c r="C13" s="123"/>
      <c r="D13" s="2"/>
      <c r="E13" s="2"/>
      <c r="F13" s="2"/>
      <c r="G13" s="2"/>
      <c r="H13" s="2"/>
    </row>
    <row r="14" spans="1:8">
      <c r="A14" s="128" t="s">
        <v>281</v>
      </c>
      <c r="B14" s="129">
        <f>January!T239</f>
        <v>110</v>
      </c>
      <c r="C14" s="123"/>
      <c r="D14" s="2"/>
      <c r="E14" s="2"/>
      <c r="F14" s="2"/>
      <c r="G14" s="2"/>
      <c r="H14" s="2"/>
    </row>
    <row r="15" spans="1:8">
      <c r="A15" s="123"/>
      <c r="B15" s="123"/>
      <c r="C15" s="123"/>
      <c r="D15" s="2"/>
      <c r="E15" s="2"/>
      <c r="F15" s="2"/>
      <c r="G15" s="2"/>
      <c r="H15" s="2"/>
    </row>
    <row r="16" spans="1:8">
      <c r="A16" s="123"/>
      <c r="B16" s="123"/>
      <c r="C16" s="123"/>
      <c r="D16" s="2"/>
      <c r="E16" s="2"/>
      <c r="F16" s="2"/>
      <c r="G16" s="2"/>
      <c r="H16" s="2"/>
    </row>
    <row r="17" spans="1:8">
      <c r="A17" s="2"/>
      <c r="B17" s="2"/>
      <c r="C17" s="2"/>
      <c r="D17" s="2"/>
      <c r="E17" s="2"/>
      <c r="F17" s="2"/>
      <c r="G17" s="2"/>
      <c r="H17" s="2"/>
    </row>
    <row r="18" spans="1:8">
      <c r="A18" s="2"/>
      <c r="B18" s="2"/>
      <c r="C18" s="2"/>
      <c r="D18" s="2"/>
      <c r="E18" s="2"/>
      <c r="F18" s="2"/>
      <c r="G18" s="2"/>
      <c r="H18" s="2"/>
    </row>
    <row r="19" spans="1:8">
      <c r="A19" s="2"/>
      <c r="B19" s="2"/>
      <c r="C19" s="2"/>
      <c r="D19" s="2"/>
      <c r="E19" s="2"/>
      <c r="F19" s="2"/>
      <c r="G19" s="2"/>
      <c r="H19" s="2"/>
    </row>
    <row r="20" spans="1:8">
      <c r="A20" s="2"/>
      <c r="B20" s="2"/>
      <c r="C20" s="2"/>
      <c r="D20" s="2"/>
      <c r="E20" s="2"/>
      <c r="F20" s="2"/>
      <c r="G20" s="2"/>
      <c r="H20" s="2"/>
    </row>
    <row r="21" spans="1:8">
      <c r="A21" s="2"/>
      <c r="B21" s="2"/>
      <c r="C21" s="2"/>
      <c r="D21" s="2"/>
      <c r="E21" s="2"/>
      <c r="F21" s="2"/>
      <c r="G21" s="2"/>
      <c r="H21" s="2"/>
    </row>
    <row r="22" spans="1:8">
      <c r="A22" s="2"/>
      <c r="B22" s="2"/>
      <c r="C22" s="2"/>
      <c r="D22" s="2"/>
      <c r="E22" s="2"/>
      <c r="F22" s="2"/>
      <c r="G22" s="2"/>
      <c r="H22" s="2"/>
    </row>
    <row r="23" spans="1:8">
      <c r="A23" s="2"/>
      <c r="B23" s="2"/>
      <c r="C23" s="2"/>
      <c r="D23" s="2"/>
      <c r="E23" s="2"/>
      <c r="F23" s="2"/>
      <c r="G23" s="2"/>
      <c r="H23" s="2"/>
    </row>
    <row r="24" spans="1:8">
      <c r="A24" s="2"/>
      <c r="B24" s="2"/>
      <c r="C24" s="2"/>
      <c r="D24" s="2"/>
      <c r="E24" s="2"/>
      <c r="F24" s="2"/>
      <c r="G24" s="2"/>
      <c r="H24" s="2"/>
    </row>
    <row r="25" spans="1:8">
      <c r="A25" s="2"/>
      <c r="B25" s="2"/>
      <c r="C25" s="2"/>
      <c r="D25" s="2"/>
      <c r="E25" s="2"/>
      <c r="F25" s="2"/>
      <c r="G25" s="2"/>
      <c r="H25" s="2"/>
    </row>
    <row r="26" spans="1:8">
      <c r="A26" s="2"/>
      <c r="B26" s="2"/>
      <c r="C26" s="2"/>
      <c r="D26" s="2"/>
      <c r="E26" s="2"/>
      <c r="F26" s="2"/>
      <c r="G26" s="2"/>
      <c r="H26" s="2"/>
    </row>
    <row r="27" spans="1:8">
      <c r="A27" s="2"/>
      <c r="B27" s="2"/>
      <c r="C27" s="2"/>
      <c r="D27" s="2"/>
      <c r="E27" s="2"/>
      <c r="F27" s="2"/>
      <c r="G27" s="2"/>
      <c r="H27" s="2"/>
    </row>
    <row r="28" spans="1:8">
      <c r="A28" s="2"/>
      <c r="B28" s="2"/>
      <c r="C28" s="2"/>
      <c r="D28" s="2"/>
      <c r="E28" s="2"/>
      <c r="F28" s="2"/>
      <c r="G28" s="2"/>
      <c r="H28" s="2"/>
    </row>
    <row r="29" spans="1:8">
      <c r="A29" s="2"/>
      <c r="B29" s="2"/>
      <c r="C29" s="2"/>
      <c r="D29" s="2"/>
      <c r="E29" s="2"/>
      <c r="F29" s="2"/>
      <c r="G29" s="2"/>
      <c r="H29" s="2"/>
    </row>
  </sheetData>
  <sheetProtection algorithmName="SHA-512" hashValue="2uixY4XOGGKn6C/IpYgbaE9z3Cu/uueJUTDqPxjF6BdFga4WfIeOtHrxK2EOOIsVOQgGOmsRnm9wM/zgLaC9rA==" saltValue="Q5Dxqh2Zvg/HiW7MFiu8hA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January</vt:lpstr>
      <vt:lpstr>NAV Comparison</vt:lpstr>
      <vt:lpstr>Market Share</vt:lpstr>
      <vt:lpstr>Unitholders</vt:lpstr>
      <vt:lpstr>January!_Hlk34300669</vt:lpstr>
      <vt:lpstr>FX_RATE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RV;Mohammed N. Abdulaziz</dc:creator>
  <cp:lastModifiedBy>Isaac, Tunde</cp:lastModifiedBy>
  <cp:lastPrinted>2025-09-10T13:51:24Z</cp:lastPrinted>
  <dcterms:created xsi:type="dcterms:W3CDTF">2023-10-09T09:40:00Z</dcterms:created>
  <dcterms:modified xsi:type="dcterms:W3CDTF">2026-03-12T14:35:43Z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054E73640F5C4E6A998570FE791E2000_13</vt:lpwstr>
  </property>
  <property fmtid="{D5CDD505-2E9C-101B-9397-08002B2CF9AE}" pid="3" name="KSOProductBuildVer">
    <vt:lpwstr>1033-12.2.0.13266</vt:lpwstr>
  </property>
</Properties>
</file>