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Valuation'!$W$139</definedName>
    <definedName name="NFEM_RATE" localSheetId="0">'Weekly Valuation'!$W$139</definedName>
  </definedNames>
  <calcPr calcId="162913"/>
</workbook>
</file>

<file path=xl/calcChain.xml><?xml version="1.0" encoding="utf-8"?>
<calcChain xmlns="http://schemas.openxmlformats.org/spreadsheetml/2006/main">
  <c r="M149" i="1" l="1"/>
  <c r="N154" i="1"/>
  <c r="M154" i="1"/>
  <c r="K154" i="1"/>
  <c r="N136" i="1"/>
  <c r="M136" i="1"/>
  <c r="K136" i="1"/>
  <c r="K147" i="1"/>
  <c r="N135" i="1"/>
  <c r="M135" i="1"/>
  <c r="K135" i="1"/>
  <c r="M125" i="1" l="1"/>
  <c r="K125" i="1"/>
  <c r="K141" i="1"/>
  <c r="N127" i="1"/>
  <c r="M127" i="1"/>
  <c r="K127" i="1"/>
  <c r="K157" i="1"/>
  <c r="N139" i="1"/>
  <c r="M139" i="1"/>
  <c r="K139" i="1"/>
  <c r="N124" i="1"/>
  <c r="M124" i="1"/>
  <c r="K124" i="1"/>
  <c r="N151" i="1"/>
  <c r="M151" i="1"/>
  <c r="K151" i="1"/>
  <c r="N140" i="1"/>
  <c r="M140" i="1"/>
  <c r="K140" i="1"/>
  <c r="N153" i="1"/>
  <c r="M153" i="1"/>
  <c r="K153" i="1"/>
  <c r="N148" i="1"/>
  <c r="M148" i="1"/>
  <c r="K148" i="1"/>
  <c r="K133" i="1" l="1"/>
  <c r="K156" i="1"/>
  <c r="N126" i="1"/>
  <c r="M126" i="1"/>
  <c r="K126" i="1"/>
  <c r="K143" i="1"/>
  <c r="N143" i="1"/>
  <c r="M143" i="1"/>
  <c r="N121" i="1"/>
  <c r="M121" i="1"/>
  <c r="K121" i="1"/>
  <c r="N134" i="1"/>
  <c r="M134" i="1"/>
  <c r="K134" i="1"/>
  <c r="K150" i="1"/>
  <c r="N132" i="1"/>
  <c r="M132" i="1"/>
  <c r="K132" i="1"/>
  <c r="N237" i="1"/>
  <c r="M237" i="1"/>
  <c r="K237" i="1"/>
  <c r="N123" i="1"/>
  <c r="M123" i="1"/>
  <c r="K123" i="1"/>
  <c r="N122" i="1"/>
  <c r="M122" i="1"/>
  <c r="K122" i="1"/>
  <c r="K145" i="1"/>
  <c r="N239" i="1"/>
  <c r="M239" i="1"/>
  <c r="K239" i="1"/>
  <c r="N130" i="1"/>
  <c r="M130" i="1"/>
  <c r="K130" i="1"/>
  <c r="N129" i="1"/>
  <c r="M129" i="1"/>
  <c r="K129" i="1"/>
  <c r="N155" i="1"/>
  <c r="M155" i="1"/>
  <c r="K155" i="1"/>
  <c r="K131" i="1"/>
  <c r="N125" i="1" l="1"/>
  <c r="N157" i="1" l="1"/>
  <c r="M157" i="1"/>
  <c r="N149" i="1" l="1"/>
  <c r="N156" i="1" l="1"/>
  <c r="M156" i="1"/>
  <c r="M150" i="1" l="1"/>
  <c r="V65" i="1"/>
  <c r="U65" i="1"/>
  <c r="T65" i="1"/>
  <c r="S65" i="1"/>
  <c r="R65" i="1"/>
  <c r="H205" i="1" l="1"/>
  <c r="O205" i="1"/>
  <c r="K205" i="1"/>
  <c r="D205" i="1"/>
  <c r="V202" i="1" l="1"/>
  <c r="U202" i="1"/>
  <c r="T202" i="1"/>
  <c r="S202" i="1"/>
  <c r="R202" i="1"/>
  <c r="L202" i="1"/>
  <c r="N147" i="1" l="1"/>
  <c r="M147" i="1"/>
  <c r="N150" i="1" l="1"/>
  <c r="S194" i="1" l="1"/>
  <c r="N133" i="1" l="1"/>
  <c r="M133" i="1"/>
  <c r="S83" i="1" l="1"/>
  <c r="I11" i="4" l="1"/>
  <c r="L229" i="1" l="1"/>
  <c r="R229" i="1"/>
  <c r="R256" i="1" l="1"/>
  <c r="R154" i="1"/>
  <c r="J11" i="4" l="1"/>
  <c r="K199" i="1"/>
  <c r="L173" i="1" s="1"/>
  <c r="L188" i="1" l="1"/>
  <c r="N145" i="1"/>
  <c r="S216" i="1"/>
  <c r="S165" i="1"/>
  <c r="M145" i="1" l="1"/>
  <c r="R36" i="1" l="1"/>
  <c r="V24" i="1"/>
  <c r="U24" i="1"/>
  <c r="T24" i="1"/>
  <c r="S24" i="1"/>
  <c r="R24" i="1"/>
  <c r="L203" i="1" l="1"/>
  <c r="L230" i="1" l="1"/>
  <c r="N131" i="1"/>
  <c r="V192" i="1" l="1"/>
  <c r="U192" i="1"/>
  <c r="T192" i="1"/>
  <c r="S192" i="1"/>
  <c r="R192" i="1"/>
  <c r="R145" i="1" l="1"/>
  <c r="S134" i="1"/>
  <c r="S130" i="1"/>
  <c r="S129" i="1"/>
  <c r="S239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2" i="1"/>
  <c r="U262" i="1"/>
  <c r="S262" i="1"/>
  <c r="O262" i="1"/>
  <c r="K262" i="1"/>
  <c r="L261" i="1" s="1"/>
  <c r="H262" i="1"/>
  <c r="D262" i="1"/>
  <c r="E260" i="1" s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O247" i="1"/>
  <c r="K247" i="1"/>
  <c r="L246" i="1" s="1"/>
  <c r="H247" i="1"/>
  <c r="D247" i="1"/>
  <c r="E246" i="1" s="1"/>
  <c r="V246" i="1"/>
  <c r="U246" i="1"/>
  <c r="T246" i="1"/>
  <c r="S246" i="1"/>
  <c r="R246" i="1"/>
  <c r="V245" i="1"/>
  <c r="U245" i="1"/>
  <c r="T245" i="1"/>
  <c r="S245" i="1"/>
  <c r="R245" i="1"/>
  <c r="O242" i="1"/>
  <c r="H242" i="1"/>
  <c r="D242" i="1"/>
  <c r="B21" i="2" s="1"/>
  <c r="B11" i="2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R239" i="1"/>
  <c r="V238" i="1"/>
  <c r="U238" i="1"/>
  <c r="T238" i="1"/>
  <c r="S238" i="1"/>
  <c r="R238" i="1"/>
  <c r="V237" i="1"/>
  <c r="U237" i="1"/>
  <c r="T237" i="1"/>
  <c r="S237" i="1"/>
  <c r="K242" i="1"/>
  <c r="V233" i="1"/>
  <c r="U233" i="1"/>
  <c r="S233" i="1"/>
  <c r="O233" i="1"/>
  <c r="K233" i="1"/>
  <c r="H233" i="1"/>
  <c r="D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0" i="1"/>
  <c r="U210" i="1"/>
  <c r="T210" i="1"/>
  <c r="S210" i="1"/>
  <c r="R210" i="1"/>
  <c r="V209" i="1"/>
  <c r="U209" i="1"/>
  <c r="T209" i="1"/>
  <c r="S209" i="1"/>
  <c r="R209" i="1"/>
  <c r="V205" i="1"/>
  <c r="U205" i="1"/>
  <c r="S205" i="1"/>
  <c r="B2" i="3"/>
  <c r="B19" i="2"/>
  <c r="B9" i="2" s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D199" i="1"/>
  <c r="E170" i="1" s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7" i="1"/>
  <c r="U167" i="1"/>
  <c r="S167" i="1"/>
  <c r="O167" i="1"/>
  <c r="K167" i="1"/>
  <c r="L163" i="1" s="1"/>
  <c r="H167" i="1"/>
  <c r="D167" i="1"/>
  <c r="B17" i="2" s="1"/>
  <c r="B7" i="2" s="1"/>
  <c r="V166" i="1"/>
  <c r="U166" i="1"/>
  <c r="T166" i="1"/>
  <c r="S166" i="1"/>
  <c r="R166" i="1"/>
  <c r="V165" i="1"/>
  <c r="U165" i="1"/>
  <c r="T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58" i="1"/>
  <c r="U158" i="1"/>
  <c r="S158" i="1"/>
  <c r="O158" i="1"/>
  <c r="H158" i="1"/>
  <c r="D158" i="1"/>
  <c r="B16" i="2" s="1"/>
  <c r="B6" i="2" s="1"/>
  <c r="V157" i="1"/>
  <c r="U157" i="1"/>
  <c r="T157" i="1"/>
  <c r="R157" i="1"/>
  <c r="S157" i="1"/>
  <c r="V156" i="1"/>
  <c r="U156" i="1"/>
  <c r="T156" i="1"/>
  <c r="R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N141" i="1"/>
  <c r="S141" i="1" s="1"/>
  <c r="M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T136" i="1"/>
  <c r="S136" i="1"/>
  <c r="R136" i="1"/>
  <c r="V135" i="1"/>
  <c r="U135" i="1"/>
  <c r="T135" i="1"/>
  <c r="S135" i="1"/>
  <c r="R135" i="1"/>
  <c r="V134" i="1"/>
  <c r="U134" i="1"/>
  <c r="T134" i="1"/>
  <c r="R134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S131" i="1"/>
  <c r="M131" i="1"/>
  <c r="V130" i="1"/>
  <c r="U130" i="1"/>
  <c r="T130" i="1"/>
  <c r="V129" i="1"/>
  <c r="U129" i="1"/>
  <c r="T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6" i="1"/>
  <c r="U116" i="1"/>
  <c r="S116" i="1"/>
  <c r="O116" i="1"/>
  <c r="K116" i="1"/>
  <c r="H116" i="1"/>
  <c r="D116" i="1"/>
  <c r="B15" i="2" s="1"/>
  <c r="B5" i="2" s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4" i="1"/>
  <c r="U74" i="1"/>
  <c r="S74" i="1"/>
  <c r="O74" i="1"/>
  <c r="K74" i="1"/>
  <c r="L38" i="1" s="1"/>
  <c r="H74" i="1"/>
  <c r="D74" i="1"/>
  <c r="B14" i="2" s="1"/>
  <c r="B4" i="2" s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96" i="1" l="1"/>
  <c r="L84" i="1"/>
  <c r="L64" i="1"/>
  <c r="L65" i="1"/>
  <c r="L22" i="1"/>
  <c r="L34" i="1"/>
  <c r="E65" i="1"/>
  <c r="L47" i="1"/>
  <c r="L73" i="1"/>
  <c r="L101" i="1"/>
  <c r="L115" i="1"/>
  <c r="L224" i="1"/>
  <c r="L231" i="1"/>
  <c r="B3" i="3"/>
  <c r="C21" i="2"/>
  <c r="C11" i="2" s="1"/>
  <c r="L70" i="1"/>
  <c r="L58" i="1"/>
  <c r="L66" i="1"/>
  <c r="F13" i="4"/>
  <c r="L72" i="1"/>
  <c r="L40" i="1"/>
  <c r="E36" i="1"/>
  <c r="E24" i="1"/>
  <c r="E9" i="1"/>
  <c r="L80" i="1"/>
  <c r="L12" i="1"/>
  <c r="L24" i="1"/>
  <c r="E7" i="1"/>
  <c r="E11" i="1"/>
  <c r="E15" i="1"/>
  <c r="L30" i="1"/>
  <c r="E101" i="1"/>
  <c r="L216" i="1"/>
  <c r="E114" i="1"/>
  <c r="E21" i="1"/>
  <c r="E19" i="1"/>
  <c r="T199" i="1"/>
  <c r="E17" i="1"/>
  <c r="E100" i="1"/>
  <c r="E178" i="1"/>
  <c r="E176" i="1"/>
  <c r="E174" i="1"/>
  <c r="E172" i="1"/>
  <c r="L165" i="1"/>
  <c r="L192" i="1"/>
  <c r="L182" i="1"/>
  <c r="L46" i="1"/>
  <c r="E245" i="1"/>
  <c r="E96" i="1"/>
  <c r="E98" i="1"/>
  <c r="E94" i="1"/>
  <c r="E78" i="1"/>
  <c r="E92" i="1"/>
  <c r="E90" i="1"/>
  <c r="E102" i="1"/>
  <c r="B18" i="2"/>
  <c r="B8" i="2" s="1"/>
  <c r="E192" i="1"/>
  <c r="E163" i="1"/>
  <c r="E161" i="1"/>
  <c r="E59" i="1"/>
  <c r="E61" i="1"/>
  <c r="E68" i="1"/>
  <c r="E164" i="1"/>
  <c r="E166" i="1"/>
  <c r="E88" i="1"/>
  <c r="E112" i="1"/>
  <c r="E86" i="1"/>
  <c r="E110" i="1"/>
  <c r="E66" i="1"/>
  <c r="E84" i="1"/>
  <c r="E108" i="1"/>
  <c r="L60" i="1"/>
  <c r="L62" i="1"/>
  <c r="L67" i="1"/>
  <c r="L69" i="1"/>
  <c r="E82" i="1"/>
  <c r="E106" i="1"/>
  <c r="E63" i="1"/>
  <c r="E80" i="1"/>
  <c r="E104" i="1"/>
  <c r="E70" i="1"/>
  <c r="L71" i="1"/>
  <c r="E72" i="1"/>
  <c r="B5" i="3"/>
  <c r="L79" i="1"/>
  <c r="L33" i="1"/>
  <c r="B20" i="2"/>
  <c r="B10" i="2" s="1"/>
  <c r="E239" i="1"/>
  <c r="T205" i="1"/>
  <c r="E229" i="1"/>
  <c r="E204" i="1"/>
  <c r="E180" i="1"/>
  <c r="E165" i="1"/>
  <c r="E23" i="1"/>
  <c r="D13" i="4"/>
  <c r="T233" i="1"/>
  <c r="L87" i="1"/>
  <c r="E53" i="1"/>
  <c r="L54" i="1"/>
  <c r="E55" i="1"/>
  <c r="L56" i="1"/>
  <c r="E57" i="1"/>
  <c r="L36" i="1"/>
  <c r="B6" i="3"/>
  <c r="L180" i="1"/>
  <c r="E156" i="1"/>
  <c r="K158" i="1"/>
  <c r="L127" i="1" s="1"/>
  <c r="T262" i="1"/>
  <c r="R262" i="1"/>
  <c r="E251" i="1"/>
  <c r="E253" i="1"/>
  <c r="E255" i="1"/>
  <c r="E257" i="1"/>
  <c r="E261" i="1"/>
  <c r="E259" i="1"/>
  <c r="E250" i="1"/>
  <c r="E252" i="1"/>
  <c r="E254" i="1"/>
  <c r="E256" i="1"/>
  <c r="E258" i="1"/>
  <c r="R247" i="1"/>
  <c r="E215" i="1"/>
  <c r="E213" i="1"/>
  <c r="E209" i="1"/>
  <c r="E231" i="1"/>
  <c r="E225" i="1"/>
  <c r="E223" i="1"/>
  <c r="E221" i="1"/>
  <c r="E219" i="1"/>
  <c r="E203" i="1"/>
  <c r="E197" i="1"/>
  <c r="E195" i="1"/>
  <c r="E193" i="1"/>
  <c r="E190" i="1"/>
  <c r="E188" i="1"/>
  <c r="E171" i="1"/>
  <c r="E173" i="1"/>
  <c r="E186" i="1"/>
  <c r="E184" i="1"/>
  <c r="E182" i="1"/>
  <c r="T167" i="1"/>
  <c r="T158" i="1"/>
  <c r="E132" i="1"/>
  <c r="E147" i="1"/>
  <c r="E149" i="1"/>
  <c r="E120" i="1"/>
  <c r="E122" i="1"/>
  <c r="E130" i="1"/>
  <c r="E128" i="1"/>
  <c r="E136" i="1"/>
  <c r="E153" i="1"/>
  <c r="E124" i="1"/>
  <c r="E140" i="1"/>
  <c r="E142" i="1"/>
  <c r="E144" i="1"/>
  <c r="E155" i="1"/>
  <c r="E146" i="1"/>
  <c r="E131" i="1"/>
  <c r="E148" i="1"/>
  <c r="E157" i="1"/>
  <c r="E121" i="1"/>
  <c r="E133" i="1"/>
  <c r="E150" i="1"/>
  <c r="E123" i="1"/>
  <c r="E127" i="1"/>
  <c r="E129" i="1"/>
  <c r="E135" i="1"/>
  <c r="E152" i="1"/>
  <c r="E154" i="1"/>
  <c r="E134" i="1"/>
  <c r="E151" i="1"/>
  <c r="E125" i="1"/>
  <c r="E139" i="1"/>
  <c r="E141" i="1"/>
  <c r="E145" i="1"/>
  <c r="H234" i="1"/>
  <c r="H263" i="1" s="1"/>
  <c r="T116" i="1"/>
  <c r="R116" i="1"/>
  <c r="E83" i="1"/>
  <c r="E85" i="1"/>
  <c r="E87" i="1"/>
  <c r="E103" i="1"/>
  <c r="E105" i="1"/>
  <c r="E107" i="1"/>
  <c r="E109" i="1"/>
  <c r="E111" i="1"/>
  <c r="E113" i="1"/>
  <c r="E115" i="1"/>
  <c r="E77" i="1"/>
  <c r="E79" i="1"/>
  <c r="E89" i="1"/>
  <c r="E91" i="1"/>
  <c r="E93" i="1"/>
  <c r="E95" i="1"/>
  <c r="E97" i="1"/>
  <c r="E99" i="1"/>
  <c r="T74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9" i="1"/>
  <c r="L210" i="1"/>
  <c r="L215" i="1"/>
  <c r="L217" i="1"/>
  <c r="L218" i="1"/>
  <c r="L221" i="1"/>
  <c r="L222" i="1"/>
  <c r="L225" i="1"/>
  <c r="L226" i="1"/>
  <c r="L232" i="1"/>
  <c r="L95" i="1"/>
  <c r="L107" i="1"/>
  <c r="L77" i="1"/>
  <c r="L83" i="1"/>
  <c r="L91" i="1"/>
  <c r="L99" i="1"/>
  <c r="L103" i="1"/>
  <c r="L111" i="1"/>
  <c r="L81" i="1"/>
  <c r="L85" i="1"/>
  <c r="L89" i="1"/>
  <c r="L93" i="1"/>
  <c r="L97" i="1"/>
  <c r="L105" i="1"/>
  <c r="L109" i="1"/>
  <c r="L113" i="1"/>
  <c r="L176" i="1"/>
  <c r="L177" i="1"/>
  <c r="L181" i="1"/>
  <c r="L184" i="1"/>
  <c r="L185" i="1"/>
  <c r="L189" i="1"/>
  <c r="L193" i="1"/>
  <c r="L194" i="1"/>
  <c r="L197" i="1"/>
  <c r="L198" i="1"/>
  <c r="L171" i="1"/>
  <c r="L253" i="1"/>
  <c r="L257" i="1"/>
  <c r="L251" i="1"/>
  <c r="L255" i="1"/>
  <c r="L259" i="1"/>
  <c r="L250" i="1"/>
  <c r="L252" i="1"/>
  <c r="L254" i="1"/>
  <c r="L256" i="1"/>
  <c r="L258" i="1"/>
  <c r="L260" i="1"/>
  <c r="L52" i="1"/>
  <c r="L170" i="1"/>
  <c r="L172" i="1"/>
  <c r="L174" i="1"/>
  <c r="L175" i="1"/>
  <c r="L178" i="1"/>
  <c r="L179" i="1"/>
  <c r="L183" i="1"/>
  <c r="L186" i="1"/>
  <c r="L187" i="1"/>
  <c r="L190" i="1"/>
  <c r="L191" i="1"/>
  <c r="L195" i="1"/>
  <c r="L196" i="1"/>
  <c r="E29" i="1"/>
  <c r="E31" i="1"/>
  <c r="E34" i="1"/>
  <c r="L35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8" i="1"/>
  <c r="E81" i="1"/>
  <c r="L82" i="1"/>
  <c r="L86" i="1"/>
  <c r="L88" i="1"/>
  <c r="L90" i="1"/>
  <c r="L92" i="1"/>
  <c r="L94" i="1"/>
  <c r="L98" i="1"/>
  <c r="L100" i="1"/>
  <c r="L102" i="1"/>
  <c r="L104" i="1"/>
  <c r="L106" i="1"/>
  <c r="L108" i="1"/>
  <c r="L110" i="1"/>
  <c r="L112" i="1"/>
  <c r="L114" i="1"/>
  <c r="L37" i="1"/>
  <c r="E38" i="1"/>
  <c r="L39" i="1"/>
  <c r="E40" i="1"/>
  <c r="L41" i="1"/>
  <c r="L42" i="1"/>
  <c r="E43" i="1"/>
  <c r="L44" i="1"/>
  <c r="E45" i="1"/>
  <c r="E47" i="1"/>
  <c r="L48" i="1"/>
  <c r="E49" i="1"/>
  <c r="L50" i="1"/>
  <c r="E51" i="1"/>
  <c r="O234" i="1"/>
  <c r="O263" i="1" s="1"/>
  <c r="L213" i="1"/>
  <c r="L214" i="1"/>
  <c r="L219" i="1"/>
  <c r="L220" i="1"/>
  <c r="L223" i="1"/>
  <c r="L18" i="1"/>
  <c r="L20" i="1"/>
  <c r="L29" i="1"/>
  <c r="E30" i="1"/>
  <c r="L31" i="1"/>
  <c r="E33" i="1"/>
  <c r="E35" i="1"/>
  <c r="E37" i="1"/>
  <c r="E39" i="1"/>
  <c r="E41" i="1"/>
  <c r="L43" i="1"/>
  <c r="E44" i="1"/>
  <c r="L45" i="1"/>
  <c r="E46" i="1"/>
  <c r="E48" i="1"/>
  <c r="L49" i="1"/>
  <c r="E50" i="1"/>
  <c r="L51" i="1"/>
  <c r="L53" i="1"/>
  <c r="E54" i="1"/>
  <c r="L55" i="1"/>
  <c r="E56" i="1"/>
  <c r="L57" i="1"/>
  <c r="E58" i="1"/>
  <c r="L59" i="1"/>
  <c r="E60" i="1"/>
  <c r="L61" i="1"/>
  <c r="E62" i="1"/>
  <c r="L63" i="1"/>
  <c r="E64" i="1"/>
  <c r="E67" i="1"/>
  <c r="L68" i="1"/>
  <c r="E69" i="1"/>
  <c r="E71" i="1"/>
  <c r="E73" i="1"/>
  <c r="B4" i="3"/>
  <c r="C13" i="2"/>
  <c r="C3" i="2" s="1"/>
  <c r="R74" i="1"/>
  <c r="R120" i="1"/>
  <c r="R121" i="1"/>
  <c r="R122" i="1"/>
  <c r="R129" i="1"/>
  <c r="R130" i="1"/>
  <c r="R131" i="1"/>
  <c r="R155" i="1"/>
  <c r="B7" i="3"/>
  <c r="C17" i="2"/>
  <c r="C7" i="2" s="1"/>
  <c r="R167" i="1"/>
  <c r="L166" i="1"/>
  <c r="L164" i="1"/>
  <c r="L162" i="1"/>
  <c r="L161" i="1"/>
  <c r="L240" i="1"/>
  <c r="L237" i="1"/>
  <c r="R242" i="1"/>
  <c r="L241" i="1"/>
  <c r="L238" i="1"/>
  <c r="L25" i="1"/>
  <c r="B13" i="2"/>
  <c r="B3" i="2" s="1"/>
  <c r="D234" i="1"/>
  <c r="E233" i="1" s="1"/>
  <c r="R26" i="1"/>
  <c r="T26" i="1"/>
  <c r="B10" i="3"/>
  <c r="C14" i="2"/>
  <c r="C4" i="2" s="1"/>
  <c r="B8" i="3"/>
  <c r="C15" i="2"/>
  <c r="C5" i="2" s="1"/>
  <c r="L142" i="1"/>
  <c r="E143" i="1"/>
  <c r="L143" i="1"/>
  <c r="E175" i="1"/>
  <c r="E177" i="1"/>
  <c r="E179" i="1"/>
  <c r="E181" i="1"/>
  <c r="E183" i="1"/>
  <c r="E185" i="1"/>
  <c r="E187" i="1"/>
  <c r="E189" i="1"/>
  <c r="E191" i="1"/>
  <c r="E194" i="1"/>
  <c r="E196" i="1"/>
  <c r="E198" i="1"/>
  <c r="L204" i="1"/>
  <c r="R205" i="1"/>
  <c r="E210" i="1"/>
  <c r="E214" i="1"/>
  <c r="E217" i="1"/>
  <c r="E220" i="1"/>
  <c r="E222" i="1"/>
  <c r="E224" i="1"/>
  <c r="E226" i="1"/>
  <c r="E230" i="1"/>
  <c r="E232" i="1"/>
  <c r="R237" i="1"/>
  <c r="L239" i="1"/>
  <c r="E240" i="1"/>
  <c r="L245" i="1"/>
  <c r="C18" i="2"/>
  <c r="C8" i="2" s="1"/>
  <c r="C19" i="2"/>
  <c r="C9" i="2" s="1"/>
  <c r="C20" i="2"/>
  <c r="C10" i="2" s="1"/>
  <c r="C13" i="4"/>
  <c r="E13" i="4"/>
  <c r="G13" i="4"/>
  <c r="I13" i="4"/>
  <c r="R199" i="1"/>
  <c r="R233" i="1"/>
  <c r="E237" i="1"/>
  <c r="E238" i="1"/>
  <c r="E241" i="1"/>
  <c r="B9" i="3" l="1"/>
  <c r="L157" i="1"/>
  <c r="L145" i="1"/>
  <c r="L133" i="1"/>
  <c r="L122" i="1"/>
  <c r="L147" i="1"/>
  <c r="L131" i="1"/>
  <c r="L124" i="1"/>
  <c r="L139" i="1"/>
  <c r="L154" i="1"/>
  <c r="L151" i="1"/>
  <c r="K234" i="1"/>
  <c r="L158" i="1" s="1"/>
  <c r="L121" i="1"/>
  <c r="L149" i="1"/>
  <c r="L128" i="1"/>
  <c r="L135" i="1"/>
  <c r="L141" i="1"/>
  <c r="L152" i="1"/>
  <c r="C16" i="2"/>
  <c r="C6" i="2" s="1"/>
  <c r="L156" i="1"/>
  <c r="L120" i="1"/>
  <c r="L150" i="1"/>
  <c r="L126" i="1"/>
  <c r="L155" i="1"/>
  <c r="L129" i="1"/>
  <c r="L130" i="1"/>
  <c r="L144" i="1"/>
  <c r="L123" i="1"/>
  <c r="L125" i="1"/>
  <c r="L132" i="1"/>
  <c r="L134" i="1"/>
  <c r="L136" i="1"/>
  <c r="L140" i="1"/>
  <c r="L146" i="1"/>
  <c r="L148" i="1"/>
  <c r="L153" i="1"/>
  <c r="R158" i="1"/>
  <c r="E199" i="1"/>
  <c r="E116" i="1"/>
  <c r="D263" i="1"/>
  <c r="E205" i="1"/>
  <c r="E158" i="1"/>
  <c r="E167" i="1"/>
  <c r="E26" i="1"/>
  <c r="E74" i="1"/>
  <c r="L205" i="1" l="1"/>
  <c r="R234" i="1"/>
  <c r="L74" i="1"/>
  <c r="L233" i="1"/>
  <c r="L167" i="1"/>
  <c r="L199" i="1"/>
  <c r="K263" i="1"/>
  <c r="L116" i="1"/>
  <c r="L26" i="1"/>
</calcChain>
</file>

<file path=xl/sharedStrings.xml><?xml version="1.0" encoding="utf-8"?>
<sst xmlns="http://schemas.openxmlformats.org/spreadsheetml/2006/main" count="542" uniqueCount="341">
  <si>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</si>
  <si>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</si>
  <si>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</si>
  <si>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</si>
  <si>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</si>
  <si>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</si>
  <si>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</si>
  <si>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</si>
  <si>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</si>
  <si>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</si>
  <si>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</si>
  <si>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</si>
  <si>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</si>
  <si>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</si>
  <si>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</si>
  <si>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</si>
  <si>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</si>
  <si>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</si>
  <si>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</si>
  <si>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</si>
  <si>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</si>
  <si>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</si>
  <si>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</si>
  <si>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</si>
  <si>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</si>
  <si>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</si>
  <si>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</si>
  <si>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</si>
  <si>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</si>
  <si>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</si>
  <si>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</si>
  <si>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</si>
  <si>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</si>
  <si>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</si>
  <si>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</si>
  <si>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</si>
  <si>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</si>
  <si>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</si>
  <si>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</si>
  <si>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</si>
  <si>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</si>
  <si>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</si>
  <si>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</si>
  <si>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</si>
  <si>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</si>
  <si>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</si>
  <si>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</si>
  <si>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</si>
  <si>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</si>
  <si>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</si>
  <si>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</si>
  <si>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</si>
  <si>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</si>
  <si>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</si>
  <si>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</si>
  <si>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</si>
  <si>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</si>
  <si>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</si>
  <si>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</si>
  <si>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</si>
  <si>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</si>
  <si>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</si>
  <si>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</si>
  <si>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</si>
  <si>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</si>
  <si>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</si>
  <si>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</si>
  <si>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</si>
  <si>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</si>
  <si>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</si>
  <si>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</si>
  <si>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</si>
  <si>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</si>
  <si>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</si>
  <si>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</si>
  <si>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</si>
  <si>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</si>
  <si>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</si>
  <si>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</si>
  <si>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</si>
  <si>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</si>
  <si>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</si>
  <si>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</si>
  <si>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</si>
  <si>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</si>
  <si>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</si>
  <si>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</si>
  <si>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</si>
  <si>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</si>
  <si>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</si>
  <si>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</si>
  <si>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</si>
  <si>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</si>
  <si>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</si>
  <si>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</si>
  <si>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</si>
  <si>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</si>
  <si>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</si>
  <si>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</si>
  <si>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</si>
  <si>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</si>
  <si>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</si>
  <si>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</si>
  <si>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</si>
  <si>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</si>
  <si>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</si>
  <si>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</si>
  <si>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</si>
  <si>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</si>
  <si>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</si>
  <si>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</si>
  <si>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</si>
  <si>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</si>
  <si>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</si>
  <si>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</si>
  <si>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</si>
  <si>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</si>
  <si>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</si>
  <si>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</si>
  <si>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</si>
  <si>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</si>
  <si>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</si>
  <si>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</si>
  <si>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</si>
  <si>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</si>
  <si>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</si>
  <si>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</si>
  <si>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</si>
  <si>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</si>
  <si>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</si>
  <si>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</si>
  <si>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</si>
  <si>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</si>
  <si>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</si>
  <si>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</si>
  <si>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</si>
  <si>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</si>
  <si>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</si>
  <si>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</si>
  <si>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</si>
  <si>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</si>
  <si>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</si>
  <si>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</si>
  <si>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</si>
  <si>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</si>
  <si>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</si>
  <si>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</si>
  <si>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</si>
  <si>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</si>
  <si>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</si>
  <si>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</si>
  <si>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</si>
  <si>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</si>
  <si>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</si>
  <si>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</si>
  <si>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</si>
  <si>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</si>
  <si>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</si>
  <si>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</si>
  <si>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</si>
  <si>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</si>
  <si>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</si>
  <si>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</si>
  <si>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</si>
  <si>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</si>
  <si>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</si>
  <si>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</si>
  <si>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</si>
  <si>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</si>
  <si>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</si>
  <si>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</si>
  <si>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</si>
  <si>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</si>
  <si>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</si>
  <si>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</si>
  <si>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</si>
  <si>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</si>
  <si>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</si>
  <si>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</si>
  <si>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</si>
  <si>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</si>
  <si>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</si>
  <si>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</si>
  <si>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</si>
  <si>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</si>
  <si>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</si>
  <si>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</si>
  <si>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</si>
  <si>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</si>
  <si>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</si>
  <si>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</si>
  <si>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</si>
  <si>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</si>
  <si>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</si>
  <si>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</si>
  <si>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</si>
  <si>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</si>
  <si>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</si>
  <si>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</si>
  <si>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</si>
  <si>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</si>
  <si>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</si>
  <si>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</si>
  <si>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</si>
  <si>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</si>
  <si>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</si>
  <si>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</si>
  <si>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</si>
  <si>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</si>
  <si>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</si>
  <si>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</si>
  <si>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</si>
  <si>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</si>
  <si>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</si>
  <si>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</si>
  <si>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</si>
  <si>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</si>
  <si>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</si>
  <si>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</si>
  <si>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</si>
  <si>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</si>
  <si>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</si>
  <si>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</si>
  <si>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</si>
  <si>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</si>
  <si>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</si>
  <si>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</si>
  <si>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</si>
  <si>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</si>
  <si>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</si>
  <si>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</si>
  <si>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</si>
  <si>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</si>
  <si>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</si>
  <si>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</si>
  <si>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</si>
  <si>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</si>
  <si>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</si>
  <si>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</si>
  <si>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</si>
  <si>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</si>
  <si>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</si>
  <si>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</si>
  <si>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</si>
  <si>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</si>
  <si>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</si>
  <si>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</si>
  <si>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</si>
  <si>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</si>
  <si>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</si>
  <si>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</si>
  <si>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</si>
  <si>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</si>
  <si>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</si>
  <si>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</si>
  <si>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</si>
  <si>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</si>
  <si>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</si>
  <si>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</si>
  <si>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</si>
  <si>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</si>
  <si>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</si>
  <si>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</si>
  <si>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</si>
  <si>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</si>
  <si>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</si>
  <si>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</si>
  <si>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</si>
  <si>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</si>
  <si>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</si>
  <si>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</si>
  <si>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</si>
  <si>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</si>
  <si>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</si>
  <si>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</si>
  <si>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</si>
  <si>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</si>
  <si>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</si>
  <si>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</si>
  <si>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</si>
  <si>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</si>
  <si>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</si>
  <si>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</si>
  <si>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</si>
  <si>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</si>
  <si>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</si>
  <si>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</si>
  <si>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</si>
  <si>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</si>
  <si>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</si>
  <si>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</si>
  <si>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</si>
  <si>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</si>
  <si>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</si>
  <si>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</si>
  <si>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</si>
  <si>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</si>
  <si>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</si>
  <si>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</si>
  <si>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</si>
  <si>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</si>
  <si>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</si>
  <si>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</si>
  <si>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</si>
  <si>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</si>
  <si>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</si>
  <si>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</si>
  <si>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</si>
  <si>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</si>
  <si>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</si>
  <si>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</si>
  <si>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</si>
  <si>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</si>
  <si>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</si>
  <si>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</si>
  <si>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</si>
  <si>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</si>
  <si>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</si>
  <si>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</si>
  <si>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</si>
  <si>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</si>
  <si>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</si>
  <si>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</si>
  <si>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</si>
  <si>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</si>
  <si>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</si>
  <si>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</si>
  <si>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</si>
  <si>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</si>
  <si>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</si>
  <si>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</si>
  <si>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</si>
  <si>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</si>
  <si>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NAV, Unit Price and Yield as at Week Ended February 20, 2026</t>
  </si>
  <si>
    <t>Week Ended February 20, 2026</t>
  </si>
  <si>
    <t>NFEM RATE NG₦/US$ as at 27th February, 2026 = N1363.3954</t>
  </si>
  <si>
    <t>NAV, Unit Price and Yield as at Week Ended February 27, 2026</t>
  </si>
  <si>
    <t>Apel Wealth Money Market Fund</t>
  </si>
  <si>
    <t>Apel Wealth Management Limited</t>
  </si>
  <si>
    <t>Week Ended February 27, 2026</t>
  </si>
  <si>
    <t>WEEKLY VALUATION REPORT OF COLLECTIVE INVESTMENT SCHEMES AS AT WEEK ENDED FRIDAY, 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</si>
</sst>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20,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139.85715441589801</c:v>
                </c:pt>
                <c:pt idx="1">
                  <c:v>5272.9684753521688</c:v>
                </c:pt>
                <c:pt idx="2">
                  <c:v>244.28472303470218</c:v>
                </c:pt>
                <c:pt idx="3">
                  <c:v>1821.0807189042509</c:v>
                </c:pt>
                <c:pt idx="4">
                  <c:v>505.88262716335652</c:v>
                </c:pt>
                <c:pt idx="5" formatCode="_-* #,##0.00_-;\-* #,##0.00_-;_-* &quot;-&quot;??_-;_-@_-">
                  <c:v>112.02289974221411</c:v>
                </c:pt>
                <c:pt idx="6">
                  <c:v>13.49048332185987</c:v>
                </c:pt>
                <c:pt idx="7">
                  <c:v>100.42881283326227</c:v>
                </c:pt>
                <c:pt idx="8">
                  <c:v>19.63953660541069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27,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148.19165443143802</c:v>
                </c:pt>
                <c:pt idx="1">
                  <c:v>5290.967255505765</c:v>
                </c:pt>
                <c:pt idx="2">
                  <c:v>246.07228482023424</c:v>
                </c:pt>
                <c:pt idx="3">
                  <c:v>1833.9156884632009</c:v>
                </c:pt>
                <c:pt idx="4">
                  <c:v>491.07240982121351</c:v>
                </c:pt>
                <c:pt idx="5" formatCode="_-* #,##0.00_-;\-* #,##0.00_-;_-* &quot;-&quot;??_-;_-@_-">
                  <c:v>115.75145513497435</c:v>
                </c:pt>
                <c:pt idx="6">
                  <c:v>14.050360664833526</c:v>
                </c:pt>
                <c:pt idx="7">
                  <c:v>104.38017091545008</c:v>
                </c:pt>
                <c:pt idx="8">
                  <c:v>19.763627528168037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14050360664.833527</c:v>
                </c:pt>
                <c:pt idx="1">
                  <c:v>19763627528.168037</c:v>
                </c:pt>
                <c:pt idx="2">
                  <c:v>148191654431.43802</c:v>
                </c:pt>
                <c:pt idx="3" formatCode="_-* #,##0.00_-;\-* #,##0.00_-;_-* &quot;-&quot;??_-;_-@_-">
                  <c:v>104380170915.45007</c:v>
                </c:pt>
                <c:pt idx="4">
                  <c:v>115751455134.97435</c:v>
                </c:pt>
                <c:pt idx="5">
                  <c:v>491072409821.2135</c:v>
                </c:pt>
                <c:pt idx="6">
                  <c:v>246072284820.23425</c:v>
                </c:pt>
                <c:pt idx="7">
                  <c:v>1833915688463.2009</c:v>
                </c:pt>
                <c:pt idx="8">
                  <c:v>5290967255505.7646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46031</c:v>
                </c:pt>
                <c:pt idx="1">
                  <c:v>46038</c:v>
                </c:pt>
                <c:pt idx="2">
                  <c:v>46045</c:v>
                </c:pt>
                <c:pt idx="3">
                  <c:v>46052</c:v>
                </c:pt>
                <c:pt idx="4">
                  <c:v>46059</c:v>
                </c:pt>
                <c:pt idx="5">
                  <c:v>46066</c:v>
                </c:pt>
                <c:pt idx="6">
                  <c:v>46073</c:v>
                </c:pt>
                <c:pt idx="7">
                  <c:v>46080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7922.6135885840922</c:v>
                </c:pt>
                <c:pt idx="1">
                  <c:v>8029.3427073122812</c:v>
                </c:pt>
                <c:pt idx="2">
                  <c:v>8056.134516783889</c:v>
                </c:pt>
                <c:pt idx="3">
                  <c:v>8081.3813988736874</c:v>
                </c:pt>
                <c:pt idx="4">
                  <c:v>8107.597332853632</c:v>
                </c:pt>
                <c:pt idx="5">
                  <c:v>8176.5089785345672</c:v>
                </c:pt>
                <c:pt idx="6">
                  <c:v>8229.6554313731249</c:v>
                </c:pt>
                <c:pt idx="7">
                  <c:v>8264.1649072852797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46031</c:v>
                </c:pt>
                <c:pt idx="1">
                  <c:v>46038</c:v>
                </c:pt>
                <c:pt idx="2">
                  <c:v>46045</c:v>
                </c:pt>
                <c:pt idx="3">
                  <c:v>46052</c:v>
                </c:pt>
                <c:pt idx="4">
                  <c:v>46059</c:v>
                </c:pt>
                <c:pt idx="5">
                  <c:v>46066</c:v>
                </c:pt>
                <c:pt idx="6">
                  <c:v>46073</c:v>
                </c:pt>
                <c:pt idx="7">
                  <c:v>46080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18.629129376529999</c:v>
                </c:pt>
                <c:pt idx="1">
                  <c:v>19.377061801090001</c:v>
                </c:pt>
                <c:pt idx="2">
                  <c:v>19.447744548879999</c:v>
                </c:pt>
                <c:pt idx="3">
                  <c:v>19.641137987049994</c:v>
                </c:pt>
                <c:pt idx="4">
                  <c:v>20.41173907228</c:v>
                </c:pt>
                <c:pt idx="5">
                  <c:v>21.462872515840001</c:v>
                </c:pt>
                <c:pt idx="6">
                  <c:v>23.060251227759998</c:v>
                </c:pt>
                <c:pt idx="7">
                  <c:v>23.429388175410001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1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1" t="s">
        <v>340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5" ht="14.4" customHeight="1">
      <c r="A2" s="24"/>
      <c r="B2" s="25"/>
      <c r="C2" s="26"/>
      <c r="D2" s="172" t="s">
        <v>333</v>
      </c>
      <c r="E2" s="172"/>
      <c r="F2" s="172"/>
      <c r="G2" s="172"/>
      <c r="H2" s="172"/>
      <c r="I2" s="172"/>
      <c r="J2" s="172"/>
      <c r="K2" s="172" t="s">
        <v>336</v>
      </c>
      <c r="L2" s="172"/>
      <c r="M2" s="172"/>
      <c r="N2" s="172"/>
      <c r="O2" s="172"/>
      <c r="P2" s="172"/>
      <c r="Q2" s="172"/>
      <c r="R2" s="172" t="s">
        <v>0</v>
      </c>
      <c r="S2" s="172"/>
      <c r="T2" s="172"/>
      <c r="U2" s="172" t="s">
        <v>1</v>
      </c>
      <c r="V2" s="172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56" t="s">
        <v>5</v>
      </c>
      <c r="L3" s="31" t="s">
        <v>6</v>
      </c>
      <c r="M3" s="31" t="s">
        <v>12</v>
      </c>
      <c r="N3" s="31" t="s">
        <v>8</v>
      </c>
      <c r="O3" s="31" t="s">
        <v>9</v>
      </c>
      <c r="P3" s="31" t="s">
        <v>10</v>
      </c>
      <c r="Q3" s="31" t="s">
        <v>11</v>
      </c>
      <c r="R3" s="30" t="s">
        <v>13</v>
      </c>
      <c r="S3" s="31" t="s">
        <v>14</v>
      </c>
      <c r="T3" s="31" t="s">
        <v>15</v>
      </c>
      <c r="U3" s="31" t="s">
        <v>16</v>
      </c>
      <c r="V3" s="31" t="s">
        <v>17</v>
      </c>
    </row>
    <row r="4" spans="1:25" ht="5.25" customHeight="1">
      <c r="A4" s="32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5" ht="15" customHeight="1">
      <c r="A5" s="169" t="s">
        <v>18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</row>
    <row r="6" spans="1:25">
      <c r="A6" s="160">
        <v>1</v>
      </c>
      <c r="B6" s="149" t="s">
        <v>19</v>
      </c>
      <c r="C6" s="148" t="s">
        <v>20</v>
      </c>
      <c r="D6" s="145">
        <v>8511764044.4099998</v>
      </c>
      <c r="E6" s="143">
        <f t="shared" ref="E6:E24" si="0">(D6/$D$26)</f>
        <v>6.0860412039403261E-2</v>
      </c>
      <c r="F6" s="145">
        <v>773.11869999999999</v>
      </c>
      <c r="G6" s="145">
        <v>778.26300000000003</v>
      </c>
      <c r="H6" s="37">
        <v>1695</v>
      </c>
      <c r="I6" s="58">
        <v>6.3500000000000001E-2</v>
      </c>
      <c r="J6" s="58">
        <v>0.24909999999999999</v>
      </c>
      <c r="K6" s="145">
        <v>9074690830.9599991</v>
      </c>
      <c r="L6" s="143">
        <f t="shared" ref="L6:L25" si="1">(K6/$K$26)</f>
        <v>6.1236180038454685E-2</v>
      </c>
      <c r="M6" s="145">
        <v>773.23519999999996</v>
      </c>
      <c r="N6" s="145">
        <v>778.44690000000003</v>
      </c>
      <c r="O6" s="37">
        <v>1695</v>
      </c>
      <c r="P6" s="58">
        <v>2.0000000000000001E-4</v>
      </c>
      <c r="Q6" s="58">
        <v>0.24929999999999999</v>
      </c>
      <c r="R6" s="63">
        <f>((K6-D6)/D6)</f>
        <v>6.6135149378311858E-2</v>
      </c>
      <c r="S6" s="63">
        <f>((N6-G6)/G6)</f>
        <v>2.362954425431945E-4</v>
      </c>
      <c r="T6" s="63">
        <f>((O6-H6)/H6)</f>
        <v>0</v>
      </c>
      <c r="U6" s="63">
        <f>P6-I6</f>
        <v>-6.3299999999999995E-2</v>
      </c>
      <c r="V6" s="64">
        <f>Q6-J6</f>
        <v>2.0000000000000573E-4</v>
      </c>
      <c r="W6" s="146"/>
    </row>
    <row r="7" spans="1:25">
      <c r="A7" s="160">
        <v>2</v>
      </c>
      <c r="B7" s="149" t="s">
        <v>21</v>
      </c>
      <c r="C7" s="148" t="s">
        <v>22</v>
      </c>
      <c r="D7" s="33">
        <v>1697686724.78</v>
      </c>
      <c r="E7" s="34">
        <f t="shared" si="0"/>
        <v>1.2138719194382655E-2</v>
      </c>
      <c r="F7" s="33">
        <v>521.01980000000003</v>
      </c>
      <c r="G7" s="33">
        <v>527.56719999999996</v>
      </c>
      <c r="H7" s="35">
        <v>690</v>
      </c>
      <c r="I7" s="57">
        <v>1.1214999999999999E-2</v>
      </c>
      <c r="J7" s="57">
        <v>0.27179999999999999</v>
      </c>
      <c r="K7" s="33">
        <v>1718764501.1500001</v>
      </c>
      <c r="L7" s="34">
        <f t="shared" si="1"/>
        <v>1.1598254353420417E-2</v>
      </c>
      <c r="M7" s="33">
        <v>526.96339999999998</v>
      </c>
      <c r="N7" s="33">
        <v>533.60829999999999</v>
      </c>
      <c r="O7" s="35">
        <v>697</v>
      </c>
      <c r="P7" s="57">
        <v>-2.1949999999999999E-3</v>
      </c>
      <c r="Q7" s="57">
        <v>0.2863</v>
      </c>
      <c r="R7" s="62">
        <f t="shared" ref="R7:R26" si="2">((K7-D7)/D7)</f>
        <v>1.2415586493280468E-2</v>
      </c>
      <c r="S7" s="62">
        <f t="shared" ref="S7:S26" si="3">((N7-G7)/G7)</f>
        <v>1.1450863510847583E-2</v>
      </c>
      <c r="T7" s="62">
        <f t="shared" ref="T7:T26" si="4">((O7-H7)/H7)</f>
        <v>1.0144927536231883E-2</v>
      </c>
      <c r="U7" s="63">
        <f t="shared" ref="U7:U26" si="5">P7-I7</f>
        <v>-1.3409999999999998E-2</v>
      </c>
      <c r="V7" s="64">
        <f t="shared" ref="V7:V26" si="6">Q7-J7</f>
        <v>1.4500000000000013E-2</v>
      </c>
    </row>
    <row r="8" spans="1:25">
      <c r="A8" s="160">
        <v>3</v>
      </c>
      <c r="B8" s="149" t="s">
        <v>23</v>
      </c>
      <c r="C8" s="148" t="s">
        <v>24</v>
      </c>
      <c r="D8" s="33">
        <v>11154420358.65</v>
      </c>
      <c r="E8" s="34">
        <f t="shared" si="0"/>
        <v>7.9755808025949948E-2</v>
      </c>
      <c r="F8" s="33">
        <v>64.856800000000007</v>
      </c>
      <c r="G8" s="36">
        <v>66.812299999999993</v>
      </c>
      <c r="H8" s="37">
        <v>9087</v>
      </c>
      <c r="I8" s="58">
        <v>3.3258000000000001</v>
      </c>
      <c r="J8" s="58">
        <v>1.6071</v>
      </c>
      <c r="K8" s="33">
        <v>11470595487.969999</v>
      </c>
      <c r="L8" s="34">
        <f t="shared" si="1"/>
        <v>7.7403788573512128E-2</v>
      </c>
      <c r="M8" s="33">
        <v>64.528099999999995</v>
      </c>
      <c r="N8" s="36">
        <v>66.473699999999994</v>
      </c>
      <c r="O8" s="37">
        <v>9277</v>
      </c>
      <c r="P8" s="58">
        <v>-0.26429999999999998</v>
      </c>
      <c r="Q8" s="58">
        <v>1.3741000000000001</v>
      </c>
      <c r="R8" s="62">
        <f t="shared" si="2"/>
        <v>2.8345276505095406E-2</v>
      </c>
      <c r="S8" s="62">
        <f t="shared" si="3"/>
        <v>-5.0679291088616858E-3</v>
      </c>
      <c r="T8" s="62">
        <f t="shared" si="4"/>
        <v>2.0908990866072411E-2</v>
      </c>
      <c r="U8" s="63">
        <f t="shared" si="5"/>
        <v>-3.5901000000000001</v>
      </c>
      <c r="V8" s="64">
        <f t="shared" si="6"/>
        <v>-0.23299999999999987</v>
      </c>
      <c r="X8" s="65"/>
      <c r="Y8" s="65"/>
    </row>
    <row r="9" spans="1:25">
      <c r="A9" s="160">
        <v>4</v>
      </c>
      <c r="B9" s="149" t="s">
        <v>25</v>
      </c>
      <c r="C9" s="148" t="s">
        <v>26</v>
      </c>
      <c r="D9" s="33">
        <v>1655825483.8800001</v>
      </c>
      <c r="E9" s="34">
        <f t="shared" si="0"/>
        <v>1.1839404932807478E-2</v>
      </c>
      <c r="F9" s="33">
        <v>315.80110000000002</v>
      </c>
      <c r="G9" s="33">
        <v>315.80110000000002</v>
      </c>
      <c r="H9" s="35">
        <v>2378</v>
      </c>
      <c r="I9" s="57">
        <v>7.6499999999999999E-2</v>
      </c>
      <c r="J9" s="57">
        <v>0.26190000000000002</v>
      </c>
      <c r="K9" s="33">
        <v>1828212123.3</v>
      </c>
      <c r="L9" s="34">
        <f t="shared" si="1"/>
        <v>1.2336808913526476E-2</v>
      </c>
      <c r="M9" s="33">
        <v>315.93</v>
      </c>
      <c r="N9" s="33">
        <v>315.93</v>
      </c>
      <c r="O9" s="35">
        <v>2402</v>
      </c>
      <c r="P9" s="57">
        <v>4.0000000000000002E-4</v>
      </c>
      <c r="Q9" s="57">
        <v>0.26240000000000002</v>
      </c>
      <c r="R9" s="62">
        <f t="shared" si="2"/>
        <v>0.10410918366593573</v>
      </c>
      <c r="S9" s="62">
        <f t="shared" si="3"/>
        <v>4.0816830593682967E-4</v>
      </c>
      <c r="T9" s="62">
        <f t="shared" si="4"/>
        <v>1.0092514718250631E-2</v>
      </c>
      <c r="U9" s="63">
        <f t="shared" si="5"/>
        <v>-7.6100000000000001E-2</v>
      </c>
      <c r="V9" s="64">
        <f t="shared" si="6"/>
        <v>5.0000000000000044E-4</v>
      </c>
    </row>
    <row r="10" spans="1:25">
      <c r="A10" s="160">
        <v>5</v>
      </c>
      <c r="B10" s="149" t="s">
        <v>27</v>
      </c>
      <c r="C10" s="148" t="s">
        <v>28</v>
      </c>
      <c r="D10" s="33">
        <v>4871838607.4399996</v>
      </c>
      <c r="E10" s="34">
        <f t="shared" si="0"/>
        <v>3.4834389615510455E-2</v>
      </c>
      <c r="F10" s="33">
        <v>2.3603000000000001</v>
      </c>
      <c r="G10" s="33">
        <v>2.3885999999999998</v>
      </c>
      <c r="H10" s="35">
        <v>1442</v>
      </c>
      <c r="I10" s="57">
        <v>7.9899999999999999E-2</v>
      </c>
      <c r="J10" s="57">
        <v>0.27560000000000001</v>
      </c>
      <c r="K10" s="33">
        <v>4752047426.8599997</v>
      </c>
      <c r="L10" s="34">
        <f t="shared" si="1"/>
        <v>3.2066903126846256E-2</v>
      </c>
      <c r="M10" s="33">
        <v>2.3338000000000001</v>
      </c>
      <c r="N10" s="33">
        <v>2.3609</v>
      </c>
      <c r="O10" s="35">
        <v>1442</v>
      </c>
      <c r="P10" s="57">
        <v>-1.14E-2</v>
      </c>
      <c r="Q10" s="57">
        <v>0.2611</v>
      </c>
      <c r="R10" s="62">
        <f t="shared" si="2"/>
        <v>-2.4588495275081883E-2</v>
      </c>
      <c r="S10" s="62">
        <f t="shared" si="3"/>
        <v>-1.1596751235033006E-2</v>
      </c>
      <c r="T10" s="62">
        <f t="shared" si="4"/>
        <v>0</v>
      </c>
      <c r="U10" s="63">
        <f t="shared" si="5"/>
        <v>-9.1299999999999992E-2</v>
      </c>
      <c r="V10" s="64">
        <f t="shared" si="6"/>
        <v>-1.4500000000000013E-2</v>
      </c>
    </row>
    <row r="11" spans="1:25">
      <c r="A11" s="160">
        <v>6</v>
      </c>
      <c r="B11" s="149" t="s">
        <v>29</v>
      </c>
      <c r="C11" s="148" t="s">
        <v>30</v>
      </c>
      <c r="D11" s="38">
        <v>477599700.30000001</v>
      </c>
      <c r="E11" s="34">
        <f t="shared" si="0"/>
        <v>3.414910751578324E-3</v>
      </c>
      <c r="F11" s="33">
        <v>265.51710000000003</v>
      </c>
      <c r="G11" s="33">
        <v>267.59609999999998</v>
      </c>
      <c r="H11" s="37">
        <v>148</v>
      </c>
      <c r="I11" s="58">
        <v>3.2199999999999999E-2</v>
      </c>
      <c r="J11" s="58">
        <v>0.24010000000000001</v>
      </c>
      <c r="K11" s="38">
        <v>484194786.89999998</v>
      </c>
      <c r="L11" s="34">
        <f t="shared" si="1"/>
        <v>3.2673552958005225E-3</v>
      </c>
      <c r="M11" s="33">
        <v>266.97730000000001</v>
      </c>
      <c r="N11" s="33">
        <v>267.59609999999998</v>
      </c>
      <c r="O11" s="37">
        <v>159</v>
      </c>
      <c r="P11" s="58">
        <v>1.1205E-2</v>
      </c>
      <c r="Q11" s="58">
        <v>0.24690000000000001</v>
      </c>
      <c r="R11" s="62">
        <f t="shared" si="2"/>
        <v>1.3808816454150451E-2</v>
      </c>
      <c r="S11" s="62">
        <f t="shared" si="3"/>
        <v>0</v>
      </c>
      <c r="T11" s="62">
        <f t="shared" si="4"/>
        <v>7.4324324324324328E-2</v>
      </c>
      <c r="U11" s="63">
        <f t="shared" si="5"/>
        <v>-2.0995E-2</v>
      </c>
      <c r="V11" s="64">
        <f t="shared" si="6"/>
        <v>6.8000000000000005E-3</v>
      </c>
    </row>
    <row r="12" spans="1:25">
      <c r="A12" s="160">
        <v>7</v>
      </c>
      <c r="B12" s="149" t="s">
        <v>31</v>
      </c>
      <c r="C12" s="148" t="s">
        <v>32</v>
      </c>
      <c r="D12" s="33">
        <v>4627364247.9200001</v>
      </c>
      <c r="E12" s="34">
        <f t="shared" si="0"/>
        <v>3.3086360631644544E-2</v>
      </c>
      <c r="F12" s="33">
        <v>556.47</v>
      </c>
      <c r="G12" s="33">
        <v>564.69000000000005</v>
      </c>
      <c r="H12" s="37">
        <v>1948</v>
      </c>
      <c r="I12" s="58">
        <v>-7.22E-2</v>
      </c>
      <c r="J12" s="58">
        <v>0.22750000000000001</v>
      </c>
      <c r="K12" s="33">
        <v>4833820605.6199999</v>
      </c>
      <c r="L12" s="34">
        <f t="shared" si="1"/>
        <v>3.2618710035769279E-2</v>
      </c>
      <c r="M12" s="33">
        <v>564.37</v>
      </c>
      <c r="N12" s="33">
        <v>572.63</v>
      </c>
      <c r="O12" s="37">
        <v>1967</v>
      </c>
      <c r="P12" s="58">
        <v>1.41E-2</v>
      </c>
      <c r="Q12" s="58">
        <v>0.245</v>
      </c>
      <c r="R12" s="62">
        <f t="shared" si="2"/>
        <v>4.4616405071807766E-2</v>
      </c>
      <c r="S12" s="62">
        <f t="shared" si="3"/>
        <v>1.4060812127007632E-2</v>
      </c>
      <c r="T12" s="62">
        <f t="shared" si="4"/>
        <v>9.7535934291581115E-3</v>
      </c>
      <c r="U12" s="63">
        <f t="shared" si="5"/>
        <v>8.6300000000000002E-2</v>
      </c>
      <c r="V12" s="64">
        <f t="shared" si="6"/>
        <v>1.7499999999999988E-2</v>
      </c>
    </row>
    <row r="13" spans="1:25">
      <c r="A13" s="160">
        <v>8</v>
      </c>
      <c r="B13" s="149" t="s">
        <v>33</v>
      </c>
      <c r="C13" s="148" t="s">
        <v>34</v>
      </c>
      <c r="D13" s="39">
        <v>599242424.49000001</v>
      </c>
      <c r="E13" s="34">
        <f t="shared" si="0"/>
        <v>4.2846747954560288E-3</v>
      </c>
      <c r="F13" s="33">
        <v>299.31</v>
      </c>
      <c r="G13" s="33">
        <v>313.44</v>
      </c>
      <c r="H13" s="35">
        <v>2469</v>
      </c>
      <c r="I13" s="57">
        <v>3.73E-2</v>
      </c>
      <c r="J13" s="57">
        <v>0.18440000000000001</v>
      </c>
      <c r="K13" s="39">
        <v>599242424.49000001</v>
      </c>
      <c r="L13" s="34">
        <f t="shared" si="1"/>
        <v>4.04369886272674E-3</v>
      </c>
      <c r="M13" s="33">
        <v>298.29000000000002</v>
      </c>
      <c r="N13" s="33">
        <v>312.41000000000003</v>
      </c>
      <c r="O13" s="35">
        <v>2469</v>
      </c>
      <c r="P13" s="57">
        <v>-3.4099999999999998E-3</v>
      </c>
      <c r="Q13" s="57">
        <v>0.1804</v>
      </c>
      <c r="R13" s="62">
        <f t="shared" si="2"/>
        <v>0</v>
      </c>
      <c r="S13" s="62">
        <f t="shared" si="3"/>
        <v>-3.2861153649820468E-3</v>
      </c>
      <c r="T13" s="62">
        <f t="shared" si="4"/>
        <v>0</v>
      </c>
      <c r="U13" s="63">
        <f t="shared" si="5"/>
        <v>-4.0709999999999996E-2</v>
      </c>
      <c r="V13" s="64">
        <f t="shared" si="6"/>
        <v>-4.0000000000000036E-3</v>
      </c>
    </row>
    <row r="14" spans="1:25">
      <c r="A14" s="160">
        <v>9</v>
      </c>
      <c r="B14" s="149" t="s">
        <v>35</v>
      </c>
      <c r="C14" s="148" t="s">
        <v>36</v>
      </c>
      <c r="D14" s="38">
        <v>113111348.57799999</v>
      </c>
      <c r="E14" s="34">
        <f t="shared" si="0"/>
        <v>8.0876340613678511E-4</v>
      </c>
      <c r="F14" s="33">
        <v>404.0872</v>
      </c>
      <c r="G14" s="33">
        <v>416.46679999999998</v>
      </c>
      <c r="H14" s="35">
        <v>34</v>
      </c>
      <c r="I14" s="57">
        <v>4.9200000000000001E-2</v>
      </c>
      <c r="J14" s="57">
        <v>0.27410000000000001</v>
      </c>
      <c r="K14" s="38">
        <v>113111348.57799999</v>
      </c>
      <c r="L14" s="34">
        <f t="shared" si="1"/>
        <v>7.6327745318702689E-4</v>
      </c>
      <c r="M14" s="33">
        <v>402.83179999999999</v>
      </c>
      <c r="N14" s="33">
        <v>416.81479999999999</v>
      </c>
      <c r="O14" s="35">
        <v>34</v>
      </c>
      <c r="P14" s="57">
        <v>-8.9999999999999998E-4</v>
      </c>
      <c r="Q14" s="57">
        <v>0.27289999999999998</v>
      </c>
      <c r="R14" s="62">
        <f t="shared" si="2"/>
        <v>0</v>
      </c>
      <c r="S14" s="62">
        <f t="shared" si="3"/>
        <v>8.3560082100184987E-4</v>
      </c>
      <c r="T14" s="62">
        <f t="shared" si="4"/>
        <v>0</v>
      </c>
      <c r="U14" s="63">
        <f t="shared" si="5"/>
        <v>-5.0099999999999999E-2</v>
      </c>
      <c r="V14" s="64">
        <f t="shared" si="6"/>
        <v>-1.2000000000000344E-3</v>
      </c>
    </row>
    <row r="15" spans="1:25" ht="14.25" customHeight="1">
      <c r="A15" s="160">
        <v>10</v>
      </c>
      <c r="B15" s="149" t="s">
        <v>37</v>
      </c>
      <c r="C15" s="148" t="s">
        <v>38</v>
      </c>
      <c r="D15" s="39">
        <v>10778557877.049999</v>
      </c>
      <c r="E15" s="34">
        <f t="shared" si="0"/>
        <v>7.7068333915885578E-2</v>
      </c>
      <c r="F15" s="33">
        <v>5.0726000000000004</v>
      </c>
      <c r="G15" s="33">
        <v>5.1291000000000002</v>
      </c>
      <c r="H15" s="35">
        <v>6058</v>
      </c>
      <c r="I15" s="57">
        <v>0.10489999999999999</v>
      </c>
      <c r="J15" s="57">
        <v>0.27500000000000002</v>
      </c>
      <c r="K15" s="39">
        <v>12764088294.530001</v>
      </c>
      <c r="L15" s="34">
        <f t="shared" si="1"/>
        <v>8.6132301737918734E-2</v>
      </c>
      <c r="M15" s="33">
        <v>5.1193</v>
      </c>
      <c r="N15" s="33">
        <v>5.1455000000000002</v>
      </c>
      <c r="O15" s="35">
        <v>6898</v>
      </c>
      <c r="P15" s="57">
        <v>9.1999999999999998E-3</v>
      </c>
      <c r="Q15" s="57">
        <v>0.2868</v>
      </c>
      <c r="R15" s="62">
        <f t="shared" si="2"/>
        <v>0.18421113845922257</v>
      </c>
      <c r="S15" s="62">
        <f t="shared" si="3"/>
        <v>3.1974420463629035E-3</v>
      </c>
      <c r="T15" s="62">
        <f t="shared" si="4"/>
        <v>0.13865962363816442</v>
      </c>
      <c r="U15" s="63">
        <f t="shared" si="5"/>
        <v>-9.5699999999999993E-2</v>
      </c>
      <c r="V15" s="64">
        <f t="shared" si="6"/>
        <v>1.1799999999999977E-2</v>
      </c>
    </row>
    <row r="16" spans="1:25" ht="14.25" customHeight="1">
      <c r="A16" s="161">
        <v>11</v>
      </c>
      <c r="B16" s="149" t="s">
        <v>39</v>
      </c>
      <c r="C16" s="148" t="s">
        <v>40</v>
      </c>
      <c r="D16" s="39">
        <v>362700197.00999999</v>
      </c>
      <c r="E16" s="34">
        <f t="shared" si="0"/>
        <v>2.5933617663307091E-3</v>
      </c>
      <c r="F16" s="33">
        <v>36.29</v>
      </c>
      <c r="G16" s="33">
        <v>36.58</v>
      </c>
      <c r="H16" s="35">
        <v>113</v>
      </c>
      <c r="I16" s="57">
        <v>0.09</v>
      </c>
      <c r="J16" s="57">
        <v>0.37</v>
      </c>
      <c r="K16" s="39">
        <v>362700197.00999999</v>
      </c>
      <c r="L16" s="34">
        <f t="shared" si="1"/>
        <v>2.4475075766011234E-3</v>
      </c>
      <c r="M16" s="33">
        <v>36.159999999999997</v>
      </c>
      <c r="N16" s="33">
        <v>36.47</v>
      </c>
      <c r="O16" s="35">
        <v>115</v>
      </c>
      <c r="P16" s="57">
        <v>0</v>
      </c>
      <c r="Q16" s="57">
        <v>0.37</v>
      </c>
      <c r="R16" s="62">
        <f t="shared" ref="R16" si="7">((K16-D16)/D16)</f>
        <v>0</v>
      </c>
      <c r="S16" s="62">
        <f t="shared" ref="S16" si="8">((N16-G16)/G16)</f>
        <v>-3.0071077091306572E-3</v>
      </c>
      <c r="T16" s="62">
        <f t="shared" ref="T16" si="9">((O16-H16)/H16)</f>
        <v>1.7699115044247787E-2</v>
      </c>
      <c r="U16" s="63">
        <f t="shared" ref="U16" si="10">P16-I16</f>
        <v>-0.09</v>
      </c>
      <c r="V16" s="64">
        <f t="shared" ref="V16" si="11">Q16-J16</f>
        <v>0</v>
      </c>
    </row>
    <row r="17" spans="1:22">
      <c r="A17" s="160">
        <v>12</v>
      </c>
      <c r="B17" s="149" t="s">
        <v>41</v>
      </c>
      <c r="C17" s="148" t="s">
        <v>42</v>
      </c>
      <c r="D17" s="40">
        <v>3569863936</v>
      </c>
      <c r="E17" s="34">
        <f t="shared" si="0"/>
        <v>2.5525071998706433E-2</v>
      </c>
      <c r="F17" s="33">
        <v>7.16</v>
      </c>
      <c r="G17" s="33">
        <v>7.32</v>
      </c>
      <c r="H17" s="35">
        <v>3737</v>
      </c>
      <c r="I17" s="57">
        <v>0.1933</v>
      </c>
      <c r="J17" s="57">
        <v>0.2944</v>
      </c>
      <c r="K17" s="40">
        <v>3713062891.2800002</v>
      </c>
      <c r="L17" s="34">
        <f t="shared" si="1"/>
        <v>2.5055816439365528E-2</v>
      </c>
      <c r="M17" s="33">
        <v>7.22</v>
      </c>
      <c r="N17" s="33">
        <v>7.38</v>
      </c>
      <c r="O17" s="35">
        <v>3757</v>
      </c>
      <c r="P17" s="57">
        <v>0.2034</v>
      </c>
      <c r="Q17" s="57">
        <v>0.30530000000000002</v>
      </c>
      <c r="R17" s="62">
        <f t="shared" si="2"/>
        <v>4.0113281023380777E-2</v>
      </c>
      <c r="S17" s="62">
        <f t="shared" si="3"/>
        <v>8.1967213114753565E-3</v>
      </c>
      <c r="T17" s="62">
        <f t="shared" si="4"/>
        <v>5.3518865400053522E-3</v>
      </c>
      <c r="U17" s="63">
        <f t="shared" si="5"/>
        <v>1.0099999999999998E-2</v>
      </c>
      <c r="V17" s="64">
        <f t="shared" si="6"/>
        <v>1.0900000000000021E-2</v>
      </c>
    </row>
    <row r="18" spans="1:22">
      <c r="A18" s="160">
        <v>13</v>
      </c>
      <c r="B18" s="149" t="s">
        <v>43</v>
      </c>
      <c r="C18" s="148" t="s">
        <v>44</v>
      </c>
      <c r="D18" s="33">
        <v>6256227022.2299995</v>
      </c>
      <c r="E18" s="34">
        <f t="shared" si="0"/>
        <v>4.4732978075798992E-2</v>
      </c>
      <c r="F18" s="33">
        <v>42.040982</v>
      </c>
      <c r="G18" s="33">
        <v>42.192025000000001</v>
      </c>
      <c r="H18" s="35">
        <v>1537</v>
      </c>
      <c r="I18" s="57">
        <v>5.5899999999999998E-2</v>
      </c>
      <c r="J18" s="57">
        <v>0.26400000000000001</v>
      </c>
      <c r="K18" s="33">
        <v>6556260252.6000004</v>
      </c>
      <c r="L18" s="34">
        <f t="shared" si="1"/>
        <v>4.4241764340604645E-2</v>
      </c>
      <c r="M18" s="33">
        <v>41.954718999999997</v>
      </c>
      <c r="N18" s="33">
        <v>42.109686000000004</v>
      </c>
      <c r="O18" s="35">
        <v>975</v>
      </c>
      <c r="P18" s="57">
        <v>-2.0999999999999999E-3</v>
      </c>
      <c r="Q18" s="57">
        <v>0.2898</v>
      </c>
      <c r="R18" s="62">
        <f t="shared" si="2"/>
        <v>4.7957535636719201E-2</v>
      </c>
      <c r="S18" s="62">
        <f t="shared" si="3"/>
        <v>-1.9515299396034558E-3</v>
      </c>
      <c r="T18" s="62">
        <f t="shared" si="4"/>
        <v>-0.36564736499674688</v>
      </c>
      <c r="U18" s="63">
        <f t="shared" si="5"/>
        <v>-5.7999999999999996E-2</v>
      </c>
      <c r="V18" s="64">
        <f t="shared" si="6"/>
        <v>2.579999999999999E-2</v>
      </c>
    </row>
    <row r="19" spans="1:22">
      <c r="A19" s="160">
        <v>14</v>
      </c>
      <c r="B19" s="149" t="s">
        <v>45</v>
      </c>
      <c r="C19" s="148" t="s">
        <v>46</v>
      </c>
      <c r="D19" s="33">
        <v>232123450.31</v>
      </c>
      <c r="E19" s="34">
        <f t="shared" si="0"/>
        <v>1.6597180979367459E-3</v>
      </c>
      <c r="F19" s="33">
        <v>2.4960140000000002</v>
      </c>
      <c r="G19" s="33">
        <v>2.5724870000000002</v>
      </c>
      <c r="H19" s="35">
        <v>26</v>
      </c>
      <c r="I19" s="57">
        <v>-2.0000000000000001E-4</v>
      </c>
      <c r="J19" s="57">
        <v>0.27339999999999998</v>
      </c>
      <c r="K19" s="33">
        <v>233632318.81</v>
      </c>
      <c r="L19" s="34">
        <f t="shared" si="1"/>
        <v>1.5765551690907922E-3</v>
      </c>
      <c r="M19" s="33">
        <v>2.512238</v>
      </c>
      <c r="N19" s="33">
        <v>2.5895260000000002</v>
      </c>
      <c r="O19" s="35">
        <v>26</v>
      </c>
      <c r="P19" s="57">
        <v>8.3999999999999995E-3</v>
      </c>
      <c r="Q19" s="57">
        <v>0.28179999999999999</v>
      </c>
      <c r="R19" s="62">
        <f t="shared" si="2"/>
        <v>6.5002846458852466E-3</v>
      </c>
      <c r="S19" s="62">
        <f t="shared" si="3"/>
        <v>6.6235514504057848E-3</v>
      </c>
      <c r="T19" s="62">
        <f t="shared" si="4"/>
        <v>0</v>
      </c>
      <c r="U19" s="63">
        <f t="shared" si="5"/>
        <v>8.6E-3</v>
      </c>
      <c r="V19" s="64">
        <f t="shared" si="6"/>
        <v>8.4000000000000186E-3</v>
      </c>
    </row>
    <row r="20" spans="1:22">
      <c r="A20" s="160">
        <v>15</v>
      </c>
      <c r="B20" s="149" t="s">
        <v>47</v>
      </c>
      <c r="C20" s="148" t="s">
        <v>48</v>
      </c>
      <c r="D20" s="141">
        <v>13332410171.379999</v>
      </c>
      <c r="E20" s="34">
        <f t="shared" si="0"/>
        <v>9.5328767606217377E-2</v>
      </c>
      <c r="F20" s="33">
        <v>63.42</v>
      </c>
      <c r="G20" s="33">
        <v>63.56</v>
      </c>
      <c r="H20" s="35">
        <v>15486</v>
      </c>
      <c r="I20" s="57">
        <v>9.1800000000000007E-2</v>
      </c>
      <c r="J20" s="57">
        <v>0.3362</v>
      </c>
      <c r="K20" s="141">
        <v>14240628656.219999</v>
      </c>
      <c r="L20" s="34">
        <f t="shared" si="1"/>
        <v>9.6096023159040533E-2</v>
      </c>
      <c r="M20" s="33">
        <v>64.41</v>
      </c>
      <c r="N20" s="33">
        <v>64.540000000000006</v>
      </c>
      <c r="O20" s="35">
        <v>15486</v>
      </c>
      <c r="P20" s="57">
        <v>2.0899999999999998E-2</v>
      </c>
      <c r="Q20" s="57">
        <v>0.35709999999999997</v>
      </c>
      <c r="R20" s="62">
        <f t="shared" si="2"/>
        <v>6.8121102873779427E-2</v>
      </c>
      <c r="S20" s="62">
        <f t="shared" si="3"/>
        <v>1.5418502202643234E-2</v>
      </c>
      <c r="T20" s="62">
        <f t="shared" si="4"/>
        <v>0</v>
      </c>
      <c r="U20" s="63">
        <f t="shared" si="5"/>
        <v>-7.0900000000000005E-2</v>
      </c>
      <c r="V20" s="64">
        <f t="shared" si="6"/>
        <v>2.0899999999999974E-2</v>
      </c>
    </row>
    <row r="21" spans="1:22" ht="12.75" customHeight="1">
      <c r="A21" s="160">
        <v>16</v>
      </c>
      <c r="B21" s="149" t="s">
        <v>49</v>
      </c>
      <c r="C21" s="148" t="s">
        <v>50</v>
      </c>
      <c r="D21" s="33">
        <v>3254179056.3299999</v>
      </c>
      <c r="E21" s="34">
        <f t="shared" si="0"/>
        <v>2.3267876927146224E-2</v>
      </c>
      <c r="F21" s="33">
        <v>15572.96</v>
      </c>
      <c r="G21" s="33">
        <v>15740.22</v>
      </c>
      <c r="H21" s="35">
        <v>52</v>
      </c>
      <c r="I21" s="57">
        <v>5.8599999999999999E-2</v>
      </c>
      <c r="J21" s="57">
        <v>0.2238</v>
      </c>
      <c r="K21" s="33">
        <v>3305568722.4400001</v>
      </c>
      <c r="L21" s="34">
        <f t="shared" si="1"/>
        <v>2.2306038319920007E-2</v>
      </c>
      <c r="M21" s="33">
        <v>15709.56</v>
      </c>
      <c r="N21" s="33">
        <v>15876.81</v>
      </c>
      <c r="O21" s="35">
        <v>52</v>
      </c>
      <c r="P21" s="57">
        <v>8.6999999999999994E-3</v>
      </c>
      <c r="Q21" s="57">
        <v>0.23449999999999999</v>
      </c>
      <c r="R21" s="62">
        <f t="shared" si="2"/>
        <v>1.5791898730967927E-2</v>
      </c>
      <c r="S21" s="62">
        <f t="shared" si="3"/>
        <v>8.6777694339723425E-3</v>
      </c>
      <c r="T21" s="62">
        <f t="shared" si="4"/>
        <v>0</v>
      </c>
      <c r="U21" s="63">
        <f t="shared" si="5"/>
        <v>-4.99E-2</v>
      </c>
      <c r="V21" s="64">
        <f t="shared" si="6"/>
        <v>1.0699999999999987E-2</v>
      </c>
    </row>
    <row r="22" spans="1:22">
      <c r="A22" s="160">
        <v>17</v>
      </c>
      <c r="B22" s="149" t="s">
        <v>51</v>
      </c>
      <c r="C22" s="148" t="s">
        <v>50</v>
      </c>
      <c r="D22" s="33">
        <v>42419009333.550003</v>
      </c>
      <c r="E22" s="34">
        <f t="shared" si="0"/>
        <v>0.30330239100537643</v>
      </c>
      <c r="F22" s="33">
        <v>54098.48</v>
      </c>
      <c r="G22" s="33">
        <v>54811.29</v>
      </c>
      <c r="H22" s="35">
        <v>23514</v>
      </c>
      <c r="I22" s="57">
        <v>8.7099999999999997E-2</v>
      </c>
      <c r="J22" s="57">
        <v>0.26650000000000001</v>
      </c>
      <c r="K22" s="33">
        <v>44889007941.43</v>
      </c>
      <c r="L22" s="34">
        <f t="shared" si="1"/>
        <v>0.3029118482660455</v>
      </c>
      <c r="M22" s="33">
        <v>54668.63</v>
      </c>
      <c r="N22" s="33">
        <v>55357.14</v>
      </c>
      <c r="O22" s="35">
        <v>24247</v>
      </c>
      <c r="P22" s="57">
        <v>0.01</v>
      </c>
      <c r="Q22" s="57">
        <v>0.27910000000000001</v>
      </c>
      <c r="R22" s="62">
        <f t="shared" si="2"/>
        <v>5.8228578335195305E-2</v>
      </c>
      <c r="S22" s="62">
        <f t="shared" si="3"/>
        <v>9.9587147100533221E-3</v>
      </c>
      <c r="T22" s="62">
        <f t="shared" si="4"/>
        <v>3.1172918261461256E-2</v>
      </c>
      <c r="U22" s="63">
        <f t="shared" si="5"/>
        <v>-7.7100000000000002E-2</v>
      </c>
      <c r="V22" s="64">
        <f t="shared" si="6"/>
        <v>1.26E-2</v>
      </c>
    </row>
    <row r="23" spans="1:22">
      <c r="A23" s="161">
        <v>18</v>
      </c>
      <c r="B23" s="148" t="s">
        <v>52</v>
      </c>
      <c r="C23" s="148" t="s">
        <v>53</v>
      </c>
      <c r="D23" s="33">
        <v>10076655668.82</v>
      </c>
      <c r="E23" s="34">
        <f t="shared" si="0"/>
        <v>7.2049625998071604E-2</v>
      </c>
      <c r="F23" s="33">
        <v>2.4222999999999999</v>
      </c>
      <c r="G23" s="41">
        <v>2.4462000000000002</v>
      </c>
      <c r="H23" s="35">
        <v>7203</v>
      </c>
      <c r="I23" s="57">
        <v>7.8E-2</v>
      </c>
      <c r="J23" s="57">
        <v>0.2601</v>
      </c>
      <c r="K23" s="33">
        <v>10798420593.370001</v>
      </c>
      <c r="L23" s="34">
        <f t="shared" si="1"/>
        <v>7.2867940065855535E-2</v>
      </c>
      <c r="M23" s="33">
        <v>2.4542000000000002</v>
      </c>
      <c r="N23" s="41">
        <v>2.4777999999999998</v>
      </c>
      <c r="O23" s="35">
        <v>7384</v>
      </c>
      <c r="P23" s="57">
        <v>1.32E-2</v>
      </c>
      <c r="Q23" s="57">
        <v>0.2767</v>
      </c>
      <c r="R23" s="62">
        <f t="shared" ref="R23:R24" si="12">((K23-D23)/D23)</f>
        <v>7.1627427618008652E-2</v>
      </c>
      <c r="S23" s="62">
        <f t="shared" ref="S23:S24" si="13">((N23-G23)/G23)</f>
        <v>1.2917995257950956E-2</v>
      </c>
      <c r="T23" s="62">
        <f t="shared" ref="T23:T24" si="14">((O23-H23)/H23)</f>
        <v>2.5128418714424547E-2</v>
      </c>
      <c r="U23" s="63">
        <f t="shared" ref="U23:U24" si="15">P23-I23</f>
        <v>-6.4799999999999996E-2</v>
      </c>
      <c r="V23" s="64">
        <f t="shared" ref="V23:V24" si="16">Q23-J23</f>
        <v>1.6600000000000004E-2</v>
      </c>
    </row>
    <row r="24" spans="1:22">
      <c r="A24" s="161">
        <v>19</v>
      </c>
      <c r="B24" s="149" t="s">
        <v>328</v>
      </c>
      <c r="C24" s="148" t="s">
        <v>125</v>
      </c>
      <c r="D24" s="33">
        <v>1054735767.49</v>
      </c>
      <c r="E24" s="34">
        <f t="shared" si="0"/>
        <v>7.5415217183205097E-3</v>
      </c>
      <c r="F24" s="33">
        <v>1.46</v>
      </c>
      <c r="G24" s="41">
        <v>1.46</v>
      </c>
      <c r="H24" s="35">
        <v>475</v>
      </c>
      <c r="I24" s="57">
        <v>9.3600000000000003E-2</v>
      </c>
      <c r="J24" s="57">
        <v>0.43519999999999998</v>
      </c>
      <c r="K24" s="33">
        <v>1641234498.52</v>
      </c>
      <c r="L24" s="34">
        <f t="shared" si="1"/>
        <v>1.1075080474786989E-2</v>
      </c>
      <c r="M24" s="33">
        <v>1.47</v>
      </c>
      <c r="N24" s="41">
        <v>1.47</v>
      </c>
      <c r="O24" s="35">
        <v>574</v>
      </c>
      <c r="P24" s="57">
        <v>7.4999999999999997E-3</v>
      </c>
      <c r="Q24" s="57">
        <v>0.44569999999999999</v>
      </c>
      <c r="R24" s="62">
        <f t="shared" si="12"/>
        <v>0.55606223767846252</v>
      </c>
      <c r="S24" s="62">
        <f t="shared" si="13"/>
        <v>6.8493150684931572E-3</v>
      </c>
      <c r="T24" s="62">
        <f t="shared" si="14"/>
        <v>0.20842105263157895</v>
      </c>
      <c r="U24" s="63">
        <f t="shared" si="15"/>
        <v>-8.610000000000001E-2</v>
      </c>
      <c r="V24" s="64">
        <f t="shared" si="16"/>
        <v>1.0500000000000009E-2</v>
      </c>
    </row>
    <row r="25" spans="1:22">
      <c r="A25" s="160">
        <v>20</v>
      </c>
      <c r="B25" s="148" t="s">
        <v>54</v>
      </c>
      <c r="C25" s="148" t="s">
        <v>55</v>
      </c>
      <c r="D25" s="33">
        <v>14811838995.280001</v>
      </c>
      <c r="E25" s="34">
        <f>(D25/$D$26)</f>
        <v>0.10590690949733989</v>
      </c>
      <c r="F25" s="33">
        <v>286.02999999999997</v>
      </c>
      <c r="G25" s="41">
        <v>290.86</v>
      </c>
      <c r="H25" s="35">
        <v>98</v>
      </c>
      <c r="I25" s="57">
        <v>7.17E-2</v>
      </c>
      <c r="J25" s="57">
        <v>0.35410000000000003</v>
      </c>
      <c r="K25" s="33">
        <v>14812370529.4</v>
      </c>
      <c r="L25" s="34">
        <f t="shared" si="1"/>
        <v>9.9954147797526982E-2</v>
      </c>
      <c r="M25" s="33">
        <v>285.77999999999997</v>
      </c>
      <c r="N25" s="41">
        <v>290.7</v>
      </c>
      <c r="O25" s="35">
        <v>101</v>
      </c>
      <c r="P25" s="57">
        <v>-6.9999999999999999E-4</v>
      </c>
      <c r="Q25" s="57">
        <v>0.35320000000000001</v>
      </c>
      <c r="R25" s="62">
        <f t="shared" si="2"/>
        <v>3.5885761394538021E-5</v>
      </c>
      <c r="S25" s="62">
        <f t="shared" si="3"/>
        <v>-5.5009282816483875E-4</v>
      </c>
      <c r="T25" s="62">
        <f t="shared" si="4"/>
        <v>3.0612244897959183E-2</v>
      </c>
      <c r="U25" s="63">
        <f t="shared" si="5"/>
        <v>-7.2400000000000006E-2</v>
      </c>
      <c r="V25" s="64">
        <f t="shared" si="6"/>
        <v>-9.000000000000119E-4</v>
      </c>
    </row>
    <row r="26" spans="1:22">
      <c r="A26" s="42"/>
      <c r="B26" s="43"/>
      <c r="C26" s="44" t="s">
        <v>56</v>
      </c>
      <c r="D26" s="45">
        <f>SUM(D6:D25)</f>
        <v>139857154415.89801</v>
      </c>
      <c r="E26" s="46">
        <f>(D26/$D$234)</f>
        <v>1.7034943197251264E-2</v>
      </c>
      <c r="F26" s="47"/>
      <c r="G26" s="48"/>
      <c r="H26" s="49">
        <f>SUM(H6:H25)</f>
        <v>78190</v>
      </c>
      <c r="I26" s="59"/>
      <c r="J26" s="35">
        <v>0</v>
      </c>
      <c r="K26" s="45">
        <f>SUM(K6:K25)</f>
        <v>148191654431.43802</v>
      </c>
      <c r="L26" s="46">
        <f>(K26/$K$234)</f>
        <v>1.7974823083308712E-2</v>
      </c>
      <c r="M26" s="47"/>
      <c r="N26" s="48"/>
      <c r="O26" s="49">
        <f>SUM(O6:O25)</f>
        <v>79757</v>
      </c>
      <c r="P26" s="59"/>
      <c r="Q26" s="49"/>
      <c r="R26" s="62">
        <f t="shared" si="2"/>
        <v>5.9592947177771256E-2</v>
      </c>
      <c r="S26" s="62" t="e">
        <f t="shared" si="3"/>
        <v>#DIV/0!</v>
      </c>
      <c r="T26" s="62">
        <f t="shared" si="4"/>
        <v>2.0040925949609923E-2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</row>
    <row r="28" spans="1:22" ht="15" customHeight="1">
      <c r="A28" s="169" t="s">
        <v>57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</row>
    <row r="29" spans="1:22">
      <c r="A29" s="157">
        <v>21</v>
      </c>
      <c r="B29" s="149" t="s">
        <v>58</v>
      </c>
      <c r="C29" s="148" t="s">
        <v>20</v>
      </c>
      <c r="D29" s="51">
        <v>6096224936.6000004</v>
      </c>
      <c r="E29" s="34">
        <f t="shared" ref="E29:E35" si="17">(D29/$K$74)</f>
        <v>1.1521947958109714E-3</v>
      </c>
      <c r="F29" s="41">
        <v>100</v>
      </c>
      <c r="G29" s="41">
        <v>100</v>
      </c>
      <c r="H29" s="35">
        <v>908</v>
      </c>
      <c r="I29" s="57">
        <v>0.1472</v>
      </c>
      <c r="J29" s="57">
        <v>0.1472</v>
      </c>
      <c r="K29" s="51">
        <v>5817039135.9700003</v>
      </c>
      <c r="L29" s="34">
        <f t="shared" ref="L29:L35" si="18">(K29/$K$74)</f>
        <v>1.0994283001688977E-3</v>
      </c>
      <c r="M29" s="41">
        <v>100</v>
      </c>
      <c r="N29" s="41">
        <v>100</v>
      </c>
      <c r="O29" s="35">
        <v>908</v>
      </c>
      <c r="P29" s="57">
        <v>0.1545</v>
      </c>
      <c r="Q29" s="57">
        <v>0.1545</v>
      </c>
      <c r="R29" s="62">
        <f>((K29-D29)/D29)</f>
        <v>-4.5796505793913214E-2</v>
      </c>
      <c r="S29" s="62">
        <f>((N29-G29)/G29)</f>
        <v>0</v>
      </c>
      <c r="T29" s="62">
        <f>((O29-H29)/H29)</f>
        <v>0</v>
      </c>
      <c r="U29" s="62">
        <f>P29-I29</f>
        <v>7.3000000000000009E-3</v>
      </c>
      <c r="V29" s="109">
        <f>Q29-J29</f>
        <v>7.3000000000000009E-3</v>
      </c>
    </row>
    <row r="30" spans="1:22">
      <c r="A30" s="157">
        <v>22</v>
      </c>
      <c r="B30" s="149" t="s">
        <v>59</v>
      </c>
      <c r="C30" s="148" t="s">
        <v>60</v>
      </c>
      <c r="D30" s="51">
        <v>37633275193.860001</v>
      </c>
      <c r="E30" s="34">
        <f t="shared" si="17"/>
        <v>7.1127401430615411E-3</v>
      </c>
      <c r="F30" s="41">
        <v>100</v>
      </c>
      <c r="G30" s="41">
        <v>100</v>
      </c>
      <c r="H30" s="35">
        <v>4323</v>
      </c>
      <c r="I30" s="57">
        <v>0.17943400000000001</v>
      </c>
      <c r="J30" s="57">
        <v>0.17943400000000001</v>
      </c>
      <c r="K30" s="51">
        <v>37811833623.639999</v>
      </c>
      <c r="L30" s="34">
        <f t="shared" si="18"/>
        <v>7.1464879288929859E-3</v>
      </c>
      <c r="M30" s="41">
        <v>100</v>
      </c>
      <c r="N30" s="41">
        <v>100</v>
      </c>
      <c r="O30" s="35">
        <v>4632</v>
      </c>
      <c r="P30" s="57">
        <v>0.17120299999999999</v>
      </c>
      <c r="Q30" s="57">
        <v>0.17120299999999999</v>
      </c>
      <c r="R30" s="62">
        <f t="shared" ref="R30:R74" si="19">((K30-D30)/D30)</f>
        <v>4.7446954552903542E-3</v>
      </c>
      <c r="S30" s="62">
        <f t="shared" ref="S30:S74" si="20">((N30-G30)/G30)</f>
        <v>0</v>
      </c>
      <c r="T30" s="62">
        <f t="shared" ref="T30:T74" si="21">((O30-H30)/H30)</f>
        <v>7.1478140180430264E-2</v>
      </c>
      <c r="U30" s="63">
        <f t="shared" ref="U30:U74" si="22">P30-I30</f>
        <v>-8.2310000000000161E-3</v>
      </c>
      <c r="V30" s="64">
        <f t="shared" ref="V30:V74" si="23">Q30-J30</f>
        <v>-8.2310000000000161E-3</v>
      </c>
    </row>
    <row r="31" spans="1:22">
      <c r="A31" s="157">
        <v>23</v>
      </c>
      <c r="B31" s="149" t="s">
        <v>61</v>
      </c>
      <c r="C31" s="148" t="s">
        <v>22</v>
      </c>
      <c r="D31" s="51">
        <v>3526022749.1399999</v>
      </c>
      <c r="E31" s="34">
        <f t="shared" si="17"/>
        <v>6.6642309030940066E-4</v>
      </c>
      <c r="F31" s="41">
        <v>100</v>
      </c>
      <c r="G31" s="41">
        <v>100</v>
      </c>
      <c r="H31" s="35">
        <v>2429</v>
      </c>
      <c r="I31" s="57">
        <v>0.1749</v>
      </c>
      <c r="J31" s="57">
        <v>0.1749</v>
      </c>
      <c r="K31" s="51">
        <v>3536915578.9200001</v>
      </c>
      <c r="L31" s="34">
        <f t="shared" si="18"/>
        <v>6.684818499376454E-4</v>
      </c>
      <c r="M31" s="41">
        <v>100</v>
      </c>
      <c r="N31" s="41">
        <v>100</v>
      </c>
      <c r="O31" s="35">
        <v>2443</v>
      </c>
      <c r="P31" s="57">
        <v>0.18</v>
      </c>
      <c r="Q31" s="57">
        <v>0.18</v>
      </c>
      <c r="R31" s="62">
        <f t="shared" si="19"/>
        <v>3.0892681513915304E-3</v>
      </c>
      <c r="S31" s="62">
        <f t="shared" si="20"/>
        <v>0</v>
      </c>
      <c r="T31" s="62">
        <f t="shared" si="21"/>
        <v>5.763688760806916E-3</v>
      </c>
      <c r="U31" s="63">
        <f t="shared" si="22"/>
        <v>5.0999999999999934E-3</v>
      </c>
      <c r="V31" s="64">
        <f t="shared" si="23"/>
        <v>5.0999999999999934E-3</v>
      </c>
    </row>
    <row r="32" spans="1:22">
      <c r="A32" s="157">
        <v>24</v>
      </c>
      <c r="B32" s="149" t="s">
        <v>337</v>
      </c>
      <c r="C32" s="148" t="s">
        <v>338</v>
      </c>
      <c r="D32" s="51">
        <v>0</v>
      </c>
      <c r="E32" s="34">
        <v>0</v>
      </c>
      <c r="F32" s="41">
        <v>0</v>
      </c>
      <c r="G32" s="41">
        <v>0</v>
      </c>
      <c r="H32" s="35">
        <v>0</v>
      </c>
      <c r="I32" s="57">
        <v>0</v>
      </c>
      <c r="J32" s="57">
        <v>0</v>
      </c>
      <c r="K32" s="51">
        <v>675707696.84000003</v>
      </c>
      <c r="L32" s="34"/>
      <c r="M32" s="41">
        <v>11</v>
      </c>
      <c r="N32" s="41">
        <v>11</v>
      </c>
      <c r="O32" s="35">
        <v>120</v>
      </c>
      <c r="P32" s="57">
        <v>0.124014</v>
      </c>
      <c r="Q32" s="57">
        <v>0.124014</v>
      </c>
      <c r="R32" s="62"/>
      <c r="S32" s="62"/>
      <c r="T32" s="62"/>
      <c r="U32" s="63"/>
      <c r="V32" s="64"/>
    </row>
    <row r="33" spans="1:22">
      <c r="A33" s="157">
        <v>25</v>
      </c>
      <c r="B33" s="149" t="s">
        <v>62</v>
      </c>
      <c r="C33" s="148" t="s">
        <v>24</v>
      </c>
      <c r="D33" s="51">
        <v>370003058334.51001</v>
      </c>
      <c r="E33" s="34">
        <f t="shared" si="17"/>
        <v>6.9931080739440585E-2</v>
      </c>
      <c r="F33" s="41">
        <v>1</v>
      </c>
      <c r="G33" s="41">
        <v>1</v>
      </c>
      <c r="H33" s="35">
        <v>80739</v>
      </c>
      <c r="I33" s="57">
        <v>0.17469999999999999</v>
      </c>
      <c r="J33" s="57">
        <v>0.17469999999999999</v>
      </c>
      <c r="K33" s="51">
        <v>371643810156.03998</v>
      </c>
      <c r="L33" s="34">
        <f t="shared" si="18"/>
        <v>7.0241185062959621E-2</v>
      </c>
      <c r="M33" s="41">
        <v>1</v>
      </c>
      <c r="N33" s="41">
        <v>1</v>
      </c>
      <c r="O33" s="35">
        <v>81102</v>
      </c>
      <c r="P33" s="57">
        <v>0.17610000000000001</v>
      </c>
      <c r="Q33" s="57">
        <v>0.17610000000000001</v>
      </c>
      <c r="R33" s="62">
        <f t="shared" si="19"/>
        <v>4.4344277285584162E-3</v>
      </c>
      <c r="S33" s="62">
        <f t="shared" si="20"/>
        <v>0</v>
      </c>
      <c r="T33" s="62">
        <f t="shared" si="21"/>
        <v>4.4959684910637985E-3</v>
      </c>
      <c r="U33" s="63">
        <f t="shared" si="22"/>
        <v>1.4000000000000123E-3</v>
      </c>
      <c r="V33" s="64">
        <f t="shared" si="23"/>
        <v>1.4000000000000123E-3</v>
      </c>
    </row>
    <row r="34" spans="1:22">
      <c r="A34" s="157">
        <v>26</v>
      </c>
      <c r="B34" s="149" t="s">
        <v>63</v>
      </c>
      <c r="C34" s="148" t="s">
        <v>64</v>
      </c>
      <c r="D34" s="51">
        <v>2250143312.9899998</v>
      </c>
      <c r="E34" s="34">
        <f t="shared" si="17"/>
        <v>4.2528014337047868E-4</v>
      </c>
      <c r="F34" s="41">
        <v>1</v>
      </c>
      <c r="G34" s="41">
        <v>1</v>
      </c>
      <c r="H34" s="35">
        <v>300</v>
      </c>
      <c r="I34" s="57">
        <v>0.16500000000000001</v>
      </c>
      <c r="J34" s="57">
        <v>0.16500000000000001</v>
      </c>
      <c r="K34" s="51">
        <v>2221514483.5100002</v>
      </c>
      <c r="L34" s="34">
        <f t="shared" si="18"/>
        <v>4.198692557014597E-4</v>
      </c>
      <c r="M34" s="41">
        <v>1</v>
      </c>
      <c r="N34" s="41">
        <v>1</v>
      </c>
      <c r="O34" s="35">
        <v>300</v>
      </c>
      <c r="P34" s="57">
        <v>0.16500000000000001</v>
      </c>
      <c r="Q34" s="57">
        <v>0.16500000000000001</v>
      </c>
      <c r="R34" s="62">
        <f t="shared" si="19"/>
        <v>-1.2723113818896022E-2</v>
      </c>
      <c r="S34" s="62">
        <f t="shared" si="20"/>
        <v>0</v>
      </c>
      <c r="T34" s="62">
        <f t="shared" si="21"/>
        <v>0</v>
      </c>
      <c r="U34" s="63">
        <f t="shared" si="22"/>
        <v>0</v>
      </c>
      <c r="V34" s="64">
        <f t="shared" si="23"/>
        <v>0</v>
      </c>
    </row>
    <row r="35" spans="1:22">
      <c r="A35" s="157">
        <v>27</v>
      </c>
      <c r="B35" s="149" t="s">
        <v>65</v>
      </c>
      <c r="C35" s="148" t="s">
        <v>26</v>
      </c>
      <c r="D35" s="51">
        <v>169544138613.63</v>
      </c>
      <c r="E35" s="34">
        <f t="shared" si="17"/>
        <v>3.2044072553501987E-2</v>
      </c>
      <c r="F35" s="41">
        <v>1</v>
      </c>
      <c r="G35" s="41">
        <v>1</v>
      </c>
      <c r="H35" s="35">
        <v>38801</v>
      </c>
      <c r="I35" s="57">
        <v>0.16120000000000001</v>
      </c>
      <c r="J35" s="57">
        <v>0.16120000000000001</v>
      </c>
      <c r="K35" s="51">
        <v>169741498040.29999</v>
      </c>
      <c r="L35" s="34">
        <f t="shared" si="18"/>
        <v>3.20813737532901E-2</v>
      </c>
      <c r="M35" s="41">
        <v>1</v>
      </c>
      <c r="N35" s="41">
        <v>1</v>
      </c>
      <c r="O35" s="35">
        <v>38933</v>
      </c>
      <c r="P35" s="57">
        <v>0.15909999999999999</v>
      </c>
      <c r="Q35" s="57">
        <v>0.15909999999999999</v>
      </c>
      <c r="R35" s="62">
        <f t="shared" si="19"/>
        <v>1.1640592726106591E-3</v>
      </c>
      <c r="S35" s="62">
        <f t="shared" si="20"/>
        <v>0</v>
      </c>
      <c r="T35" s="62">
        <f t="shared" si="21"/>
        <v>3.401974175923301E-3</v>
      </c>
      <c r="U35" s="63">
        <f t="shared" si="22"/>
        <v>-2.1000000000000185E-3</v>
      </c>
      <c r="V35" s="64">
        <f t="shared" si="23"/>
        <v>-2.1000000000000185E-3</v>
      </c>
    </row>
    <row r="36" spans="1:22">
      <c r="A36" s="157">
        <v>28</v>
      </c>
      <c r="B36" s="149" t="s">
        <v>66</v>
      </c>
      <c r="C36" s="148" t="s">
        <v>28</v>
      </c>
      <c r="D36" s="33">
        <v>19174776227.360001</v>
      </c>
      <c r="E36" s="34">
        <f t="shared" ref="E36" si="24">(D36/$D$26)</f>
        <v>0.1371025766071238</v>
      </c>
      <c r="F36" s="33">
        <v>1</v>
      </c>
      <c r="G36" s="33">
        <v>1</v>
      </c>
      <c r="H36" s="35">
        <v>1642</v>
      </c>
      <c r="I36" s="57">
        <v>0.18060000000000001</v>
      </c>
      <c r="J36" s="57">
        <v>0.18060000000000001</v>
      </c>
      <c r="K36" s="33">
        <v>19598083830.970001</v>
      </c>
      <c r="L36" s="34">
        <f t="shared" ref="L36" si="25">(K36/$K$26)</f>
        <v>0.13224822886390813</v>
      </c>
      <c r="M36" s="33">
        <v>1</v>
      </c>
      <c r="N36" s="33">
        <v>1</v>
      </c>
      <c r="O36" s="35">
        <v>1642</v>
      </c>
      <c r="P36" s="57">
        <v>0.18360000000000001</v>
      </c>
      <c r="Q36" s="57">
        <v>0.18360000000000001</v>
      </c>
      <c r="R36" s="62">
        <f t="shared" si="19"/>
        <v>2.2076273464197917E-2</v>
      </c>
      <c r="S36" s="62">
        <f t="shared" si="20"/>
        <v>0</v>
      </c>
      <c r="T36" s="62">
        <f t="shared" si="21"/>
        <v>0</v>
      </c>
      <c r="U36" s="63">
        <f t="shared" si="22"/>
        <v>3.0000000000000027E-3</v>
      </c>
      <c r="V36" s="64">
        <f t="shared" si="23"/>
        <v>3.0000000000000027E-3</v>
      </c>
    </row>
    <row r="37" spans="1:22" ht="15" customHeight="1">
      <c r="A37" s="157">
        <v>29</v>
      </c>
      <c r="B37" s="149" t="s">
        <v>67</v>
      </c>
      <c r="C37" s="148" t="s">
        <v>48</v>
      </c>
      <c r="D37" s="51">
        <v>39902322219.82</v>
      </c>
      <c r="E37" s="34">
        <f>(D37/$K$74)</f>
        <v>7.5415931138673679E-3</v>
      </c>
      <c r="F37" s="41">
        <v>100</v>
      </c>
      <c r="G37" s="41">
        <v>100</v>
      </c>
      <c r="H37" s="35">
        <v>12810</v>
      </c>
      <c r="I37" s="57">
        <v>0.18160000000000001</v>
      </c>
      <c r="J37" s="57">
        <v>0.18160000000000001</v>
      </c>
      <c r="K37" s="51">
        <v>38704033756.980003</v>
      </c>
      <c r="L37" s="34">
        <f t="shared" ref="L37:L51" si="26">(K37/$K$74)</f>
        <v>7.3151149663050179E-3</v>
      </c>
      <c r="M37" s="41">
        <v>100</v>
      </c>
      <c r="N37" s="41">
        <v>100</v>
      </c>
      <c r="O37" s="35">
        <v>12810</v>
      </c>
      <c r="P37" s="57">
        <v>0.1832</v>
      </c>
      <c r="Q37" s="57">
        <v>0.1832</v>
      </c>
      <c r="R37" s="62">
        <f t="shared" si="19"/>
        <v>-3.0030544494094404E-2</v>
      </c>
      <c r="S37" s="62">
        <f t="shared" si="20"/>
        <v>0</v>
      </c>
      <c r="T37" s="62">
        <f t="shared" si="21"/>
        <v>0</v>
      </c>
      <c r="U37" s="63">
        <f t="shared" si="22"/>
        <v>1.5999999999999903E-3</v>
      </c>
      <c r="V37" s="64">
        <f t="shared" si="23"/>
        <v>1.5999999999999903E-3</v>
      </c>
    </row>
    <row r="38" spans="1:22" ht="15" customHeight="1">
      <c r="A38" s="157">
        <v>30</v>
      </c>
      <c r="B38" s="149" t="s">
        <v>68</v>
      </c>
      <c r="C38" s="148" t="s">
        <v>69</v>
      </c>
      <c r="D38" s="51">
        <v>2617089692.54</v>
      </c>
      <c r="E38" s="34">
        <f>(D38/$K$74)</f>
        <v>4.946335076666113E-4</v>
      </c>
      <c r="F38" s="41">
        <v>1</v>
      </c>
      <c r="G38" s="41">
        <v>1</v>
      </c>
      <c r="H38" s="35">
        <v>665</v>
      </c>
      <c r="I38" s="57">
        <v>0.15540000000000001</v>
      </c>
      <c r="J38" s="57">
        <v>0.15540000000000001</v>
      </c>
      <c r="K38" s="51">
        <v>2680977220.1900001</v>
      </c>
      <c r="L38" s="34">
        <f t="shared" si="26"/>
        <v>5.0670833719490202E-4</v>
      </c>
      <c r="M38" s="41">
        <v>1</v>
      </c>
      <c r="N38" s="41">
        <v>1</v>
      </c>
      <c r="O38" s="35">
        <v>669</v>
      </c>
      <c r="P38" s="57">
        <v>0.15570000000000001</v>
      </c>
      <c r="Q38" s="57">
        <v>0.15570000000000001</v>
      </c>
      <c r="R38" s="62">
        <f t="shared" si="19"/>
        <v>2.4411669127012019E-2</v>
      </c>
      <c r="S38" s="62">
        <f t="shared" si="20"/>
        <v>0</v>
      </c>
      <c r="T38" s="62">
        <f t="shared" si="21"/>
        <v>6.0150375939849628E-3</v>
      </c>
      <c r="U38" s="63">
        <f t="shared" si="22"/>
        <v>2.9999999999999472E-4</v>
      </c>
      <c r="V38" s="64">
        <f t="shared" si="23"/>
        <v>2.9999999999999472E-4</v>
      </c>
    </row>
    <row r="39" spans="1:22">
      <c r="A39" s="157">
        <v>31</v>
      </c>
      <c r="B39" s="149" t="s">
        <v>70</v>
      </c>
      <c r="C39" s="148" t="s">
        <v>71</v>
      </c>
      <c r="D39" s="51">
        <v>90324555037.679993</v>
      </c>
      <c r="E39" s="34">
        <f>(D39/$K$74)</f>
        <v>1.7071463623912722E-2</v>
      </c>
      <c r="F39" s="41">
        <v>100</v>
      </c>
      <c r="G39" s="41">
        <v>100</v>
      </c>
      <c r="H39" s="35">
        <v>5803</v>
      </c>
      <c r="I39" s="57">
        <v>0.16439999999999999</v>
      </c>
      <c r="J39" s="57">
        <v>0.16439999999999999</v>
      </c>
      <c r="K39" s="51">
        <v>90605036998.740005</v>
      </c>
      <c r="L39" s="34">
        <f t="shared" si="26"/>
        <v>1.712447509563713E-2</v>
      </c>
      <c r="M39" s="41">
        <v>100</v>
      </c>
      <c r="N39" s="41">
        <v>100</v>
      </c>
      <c r="O39" s="35">
        <v>5860</v>
      </c>
      <c r="P39" s="57">
        <v>0.1641</v>
      </c>
      <c r="Q39" s="57">
        <v>0.1641</v>
      </c>
      <c r="R39" s="62">
        <f t="shared" si="19"/>
        <v>3.1052681183207195E-3</v>
      </c>
      <c r="S39" s="62">
        <f t="shared" si="20"/>
        <v>0</v>
      </c>
      <c r="T39" s="62">
        <f t="shared" si="21"/>
        <v>9.8225056005514389E-3</v>
      </c>
      <c r="U39" s="63">
        <f t="shared" si="22"/>
        <v>-2.9999999999999472E-4</v>
      </c>
      <c r="V39" s="64">
        <f t="shared" si="23"/>
        <v>-2.9999999999999472E-4</v>
      </c>
    </row>
    <row r="40" spans="1:22">
      <c r="A40" s="157">
        <v>32</v>
      </c>
      <c r="B40" s="149" t="s">
        <v>72</v>
      </c>
      <c r="C40" s="148" t="s">
        <v>73</v>
      </c>
      <c r="D40" s="51">
        <v>39004389817.389999</v>
      </c>
      <c r="E40" s="34">
        <f>(D40/$K$74)</f>
        <v>7.3718826698090309E-3</v>
      </c>
      <c r="F40" s="41">
        <v>100</v>
      </c>
      <c r="G40" s="41">
        <v>100</v>
      </c>
      <c r="H40" s="35">
        <v>5747</v>
      </c>
      <c r="I40" s="57">
        <v>0.16420000000000001</v>
      </c>
      <c r="J40" s="57">
        <v>0.16420000000000001</v>
      </c>
      <c r="K40" s="51">
        <v>39949264377.260002</v>
      </c>
      <c r="L40" s="34">
        <f t="shared" si="26"/>
        <v>7.5504652454027035E-3</v>
      </c>
      <c r="M40" s="41">
        <v>100</v>
      </c>
      <c r="N40" s="41">
        <v>100</v>
      </c>
      <c r="O40" s="35">
        <v>5766</v>
      </c>
      <c r="P40" s="57">
        <v>0.16059999999999999</v>
      </c>
      <c r="Q40" s="57">
        <v>0.16059999999999999</v>
      </c>
      <c r="R40" s="62">
        <f t="shared" si="19"/>
        <v>2.4224826084799641E-2</v>
      </c>
      <c r="S40" s="62">
        <f t="shared" si="20"/>
        <v>0</v>
      </c>
      <c r="T40" s="62">
        <f t="shared" si="21"/>
        <v>3.3060727336001391E-3</v>
      </c>
      <c r="U40" s="63">
        <f t="shared" si="22"/>
        <v>-3.6000000000000199E-3</v>
      </c>
      <c r="V40" s="64">
        <f t="shared" si="23"/>
        <v>-3.6000000000000199E-3</v>
      </c>
    </row>
    <row r="41" spans="1:22">
      <c r="A41" s="157">
        <v>33</v>
      </c>
      <c r="B41" s="149" t="s">
        <v>74</v>
      </c>
      <c r="C41" s="148" t="s">
        <v>75</v>
      </c>
      <c r="D41" s="51">
        <v>74693000444.169998</v>
      </c>
      <c r="E41" s="34">
        <f>(D41/$K$74)</f>
        <v>1.4117078567523677E-2</v>
      </c>
      <c r="F41" s="41">
        <v>1</v>
      </c>
      <c r="G41" s="41">
        <v>1</v>
      </c>
      <c r="H41" s="35">
        <v>15068</v>
      </c>
      <c r="I41" s="57">
        <v>0.16839999999999999</v>
      </c>
      <c r="J41" s="57">
        <v>0.16839999999999999</v>
      </c>
      <c r="K41" s="51">
        <v>74693000444.169998</v>
      </c>
      <c r="L41" s="34">
        <f t="shared" si="26"/>
        <v>1.4117078567523677E-2</v>
      </c>
      <c r="M41" s="41">
        <v>1</v>
      </c>
      <c r="N41" s="41">
        <v>1</v>
      </c>
      <c r="O41" s="35">
        <v>15270</v>
      </c>
      <c r="P41" s="57">
        <v>0.16839999999999999</v>
      </c>
      <c r="Q41" s="57">
        <v>0.16839999999999999</v>
      </c>
      <c r="R41" s="62">
        <f t="shared" si="19"/>
        <v>0</v>
      </c>
      <c r="S41" s="62">
        <f t="shared" si="20"/>
        <v>0</v>
      </c>
      <c r="T41" s="62">
        <f t="shared" si="21"/>
        <v>1.3405893283780196E-2</v>
      </c>
      <c r="U41" s="63">
        <f t="shared" si="22"/>
        <v>0</v>
      </c>
      <c r="V41" s="64">
        <f t="shared" si="23"/>
        <v>0</v>
      </c>
    </row>
    <row r="42" spans="1:22">
      <c r="A42" s="157">
        <v>34</v>
      </c>
      <c r="B42" s="149" t="s">
        <v>76</v>
      </c>
      <c r="C42" s="148" t="s">
        <v>77</v>
      </c>
      <c r="D42" s="51">
        <v>840155377.69000006</v>
      </c>
      <c r="E42" s="34">
        <v>0</v>
      </c>
      <c r="F42" s="41">
        <v>1000</v>
      </c>
      <c r="G42" s="41">
        <v>1000</v>
      </c>
      <c r="H42" s="35">
        <v>71</v>
      </c>
      <c r="I42" s="57">
        <v>0.19520000000000001</v>
      </c>
      <c r="J42" s="57">
        <v>0.19520000000000001</v>
      </c>
      <c r="K42" s="51">
        <v>816006319.50999999</v>
      </c>
      <c r="L42" s="34">
        <f t="shared" si="26"/>
        <v>1.5422630307546626E-4</v>
      </c>
      <c r="M42" s="41">
        <v>1000</v>
      </c>
      <c r="N42" s="41">
        <v>1000</v>
      </c>
      <c r="O42" s="35">
        <v>83</v>
      </c>
      <c r="P42" s="57">
        <v>0.19739999999999999</v>
      </c>
      <c r="Q42" s="57">
        <v>0.19739999999999999</v>
      </c>
      <c r="R42" s="62">
        <f t="shared" si="19"/>
        <v>-2.8743561990161502E-2</v>
      </c>
      <c r="S42" s="62">
        <f t="shared" si="20"/>
        <v>0</v>
      </c>
      <c r="T42" s="62">
        <f t="shared" si="21"/>
        <v>0.16901408450704225</v>
      </c>
      <c r="U42" s="63">
        <f t="shared" si="22"/>
        <v>2.1999999999999797E-3</v>
      </c>
      <c r="V42" s="64">
        <f t="shared" si="23"/>
        <v>2.1999999999999797E-3</v>
      </c>
    </row>
    <row r="43" spans="1:22">
      <c r="A43" s="157">
        <v>35</v>
      </c>
      <c r="B43" s="149" t="s">
        <v>78</v>
      </c>
      <c r="C43" s="148" t="s">
        <v>79</v>
      </c>
      <c r="D43" s="51">
        <v>86150350899.169998</v>
      </c>
      <c r="E43" s="34">
        <f t="shared" ref="E43:E51" si="27">(D43/$K$74)</f>
        <v>1.6282533370343997E-2</v>
      </c>
      <c r="F43" s="52">
        <v>100</v>
      </c>
      <c r="G43" s="52">
        <v>100</v>
      </c>
      <c r="H43" s="35">
        <v>4776</v>
      </c>
      <c r="I43" s="57">
        <v>0.15509999999999999</v>
      </c>
      <c r="J43" s="57">
        <v>0.15509999999999999</v>
      </c>
      <c r="K43" s="51">
        <v>86562709708.289993</v>
      </c>
      <c r="L43" s="34">
        <f t="shared" si="26"/>
        <v>1.6360469745529627E-2</v>
      </c>
      <c r="M43" s="52">
        <v>100</v>
      </c>
      <c r="N43" s="52">
        <v>100</v>
      </c>
      <c r="O43" s="35">
        <v>4776</v>
      </c>
      <c r="P43" s="57">
        <v>0.15820000000000001</v>
      </c>
      <c r="Q43" s="57">
        <v>0.15820000000000001</v>
      </c>
      <c r="R43" s="62">
        <f t="shared" si="19"/>
        <v>4.7865017938536099E-3</v>
      </c>
      <c r="S43" s="62">
        <f t="shared" si="20"/>
        <v>0</v>
      </c>
      <c r="T43" s="62">
        <f t="shared" si="21"/>
        <v>0</v>
      </c>
      <c r="U43" s="63">
        <f t="shared" si="22"/>
        <v>3.1000000000000194E-3</v>
      </c>
      <c r="V43" s="64">
        <f t="shared" si="23"/>
        <v>3.1000000000000194E-3</v>
      </c>
    </row>
    <row r="44" spans="1:22">
      <c r="A44" s="157">
        <v>36</v>
      </c>
      <c r="B44" s="149" t="s">
        <v>80</v>
      </c>
      <c r="C44" s="148" t="s">
        <v>79</v>
      </c>
      <c r="D44" s="51">
        <v>8699411845.6900005</v>
      </c>
      <c r="E44" s="34">
        <f t="shared" si="27"/>
        <v>1.6442006585161567E-3</v>
      </c>
      <c r="F44" s="52">
        <v>1000000</v>
      </c>
      <c r="G44" s="52">
        <v>1000000</v>
      </c>
      <c r="H44" s="35">
        <v>43</v>
      </c>
      <c r="I44" s="57">
        <v>0.15870000000000001</v>
      </c>
      <c r="J44" s="57">
        <v>0.15870000000000001</v>
      </c>
      <c r="K44" s="51">
        <v>8813226580.5799999</v>
      </c>
      <c r="L44" s="34">
        <f t="shared" si="26"/>
        <v>1.6657117980476979E-3</v>
      </c>
      <c r="M44" s="52">
        <v>1000000</v>
      </c>
      <c r="N44" s="52">
        <v>1000000</v>
      </c>
      <c r="O44" s="35">
        <v>43</v>
      </c>
      <c r="P44" s="57">
        <v>0.15759999999999999</v>
      </c>
      <c r="Q44" s="57">
        <v>0.15759999999999999</v>
      </c>
      <c r="R44" s="62">
        <f t="shared" si="19"/>
        <v>1.3083037900589484E-2</v>
      </c>
      <c r="S44" s="62">
        <f t="shared" si="20"/>
        <v>0</v>
      </c>
      <c r="T44" s="62">
        <f t="shared" si="21"/>
        <v>0</v>
      </c>
      <c r="U44" s="63">
        <f t="shared" si="22"/>
        <v>-1.1000000000000176E-3</v>
      </c>
      <c r="V44" s="64">
        <f t="shared" si="23"/>
        <v>-1.1000000000000176E-3</v>
      </c>
    </row>
    <row r="45" spans="1:22">
      <c r="A45" s="157">
        <v>37</v>
      </c>
      <c r="B45" s="149" t="s">
        <v>81</v>
      </c>
      <c r="C45" s="148" t="s">
        <v>82</v>
      </c>
      <c r="D45" s="51">
        <v>7810437417.1300001</v>
      </c>
      <c r="E45" s="34">
        <f t="shared" si="27"/>
        <v>1.476183283690233E-3</v>
      </c>
      <c r="F45" s="41">
        <v>1</v>
      </c>
      <c r="G45" s="41">
        <v>1</v>
      </c>
      <c r="H45" s="35">
        <v>1161</v>
      </c>
      <c r="I45" s="57">
        <v>0.18010000000000001</v>
      </c>
      <c r="J45" s="57">
        <v>0.18010000000000001</v>
      </c>
      <c r="K45" s="51">
        <v>7869737955.9899998</v>
      </c>
      <c r="L45" s="34">
        <f t="shared" si="26"/>
        <v>1.4873911661049829E-3</v>
      </c>
      <c r="M45" s="41">
        <v>1</v>
      </c>
      <c r="N45" s="41">
        <v>1</v>
      </c>
      <c r="O45" s="35">
        <v>1178</v>
      </c>
      <c r="P45" s="57">
        <v>0.1794</v>
      </c>
      <c r="Q45" s="57">
        <v>0.1794</v>
      </c>
      <c r="R45" s="62">
        <f t="shared" si="19"/>
        <v>7.5924734676115048E-3</v>
      </c>
      <c r="S45" s="62">
        <f t="shared" si="20"/>
        <v>0</v>
      </c>
      <c r="T45" s="62">
        <f t="shared" si="21"/>
        <v>1.4642549526270457E-2</v>
      </c>
      <c r="U45" s="63">
        <f t="shared" si="22"/>
        <v>-7.0000000000000617E-4</v>
      </c>
      <c r="V45" s="64">
        <f t="shared" si="23"/>
        <v>-7.0000000000000617E-4</v>
      </c>
    </row>
    <row r="46" spans="1:22">
      <c r="A46" s="157">
        <v>38</v>
      </c>
      <c r="B46" s="149" t="s">
        <v>83</v>
      </c>
      <c r="C46" s="148" t="s">
        <v>84</v>
      </c>
      <c r="D46" s="51">
        <v>741288308920.29004</v>
      </c>
      <c r="E46" s="34">
        <f t="shared" si="27"/>
        <v>0.14010449755645485</v>
      </c>
      <c r="F46" s="41">
        <v>100</v>
      </c>
      <c r="G46" s="41">
        <v>100</v>
      </c>
      <c r="H46" s="35">
        <v>33106</v>
      </c>
      <c r="I46" s="57">
        <v>0.16350000000000001</v>
      </c>
      <c r="J46" s="57">
        <v>0.16350000000000001</v>
      </c>
      <c r="K46" s="51">
        <v>740047517210.79004</v>
      </c>
      <c r="L46" s="34">
        <f t="shared" si="26"/>
        <v>0.13986998623752564</v>
      </c>
      <c r="M46" s="41">
        <v>100</v>
      </c>
      <c r="N46" s="41">
        <v>100</v>
      </c>
      <c r="O46" s="35">
        <v>33094</v>
      </c>
      <c r="P46" s="57">
        <v>0.16500000000000001</v>
      </c>
      <c r="Q46" s="57">
        <v>0.16500000000000001</v>
      </c>
      <c r="R46" s="62">
        <f t="shared" si="19"/>
        <v>-1.6738314830666255E-3</v>
      </c>
      <c r="S46" s="62">
        <f t="shared" si="20"/>
        <v>0</v>
      </c>
      <c r="T46" s="62">
        <f t="shared" si="21"/>
        <v>-3.6247205944541774E-4</v>
      </c>
      <c r="U46" s="63">
        <f t="shared" si="22"/>
        <v>1.5000000000000013E-3</v>
      </c>
      <c r="V46" s="64">
        <f t="shared" si="23"/>
        <v>1.5000000000000013E-3</v>
      </c>
    </row>
    <row r="47" spans="1:22">
      <c r="A47" s="157">
        <v>39</v>
      </c>
      <c r="B47" s="149" t="s">
        <v>85</v>
      </c>
      <c r="C47" s="148" t="s">
        <v>86</v>
      </c>
      <c r="D47" s="51">
        <v>5084274207.79</v>
      </c>
      <c r="E47" s="34">
        <f t="shared" si="27"/>
        <v>9.6093473315286902E-4</v>
      </c>
      <c r="F47" s="41">
        <v>1</v>
      </c>
      <c r="G47" s="41">
        <v>1</v>
      </c>
      <c r="H47" s="53">
        <v>2016</v>
      </c>
      <c r="I47" s="60">
        <v>0.17660000000000001</v>
      </c>
      <c r="J47" s="60">
        <v>0.17660000000000001</v>
      </c>
      <c r="K47" s="51">
        <v>5752241045.8500004</v>
      </c>
      <c r="L47" s="34">
        <f t="shared" si="26"/>
        <v>1.0871813730966178E-3</v>
      </c>
      <c r="M47" s="41">
        <v>1</v>
      </c>
      <c r="N47" s="41">
        <v>1</v>
      </c>
      <c r="O47" s="53">
        <v>2082</v>
      </c>
      <c r="P47" s="60">
        <v>0.17929999999999999</v>
      </c>
      <c r="Q47" s="60">
        <v>0.17929999999999999</v>
      </c>
      <c r="R47" s="62">
        <f t="shared" si="19"/>
        <v>0.13137899545948131</v>
      </c>
      <c r="S47" s="62">
        <f t="shared" si="20"/>
        <v>0</v>
      </c>
      <c r="T47" s="62">
        <f t="shared" si="21"/>
        <v>3.273809523809524E-2</v>
      </c>
      <c r="U47" s="63">
        <f t="shared" si="22"/>
        <v>2.6999999999999802E-3</v>
      </c>
      <c r="V47" s="64">
        <f t="shared" si="23"/>
        <v>2.6999999999999802E-3</v>
      </c>
    </row>
    <row r="48" spans="1:22">
      <c r="A48" s="157">
        <v>40</v>
      </c>
      <c r="B48" s="149" t="s">
        <v>87</v>
      </c>
      <c r="C48" s="148" t="s">
        <v>88</v>
      </c>
      <c r="D48" s="51">
        <v>4135897308.2199998</v>
      </c>
      <c r="E48" s="34">
        <f t="shared" si="27"/>
        <v>7.8169021059735296E-4</v>
      </c>
      <c r="F48" s="41">
        <v>1</v>
      </c>
      <c r="G48" s="41">
        <v>1</v>
      </c>
      <c r="H48" s="53">
        <v>619</v>
      </c>
      <c r="I48" s="60">
        <v>0.1628</v>
      </c>
      <c r="J48" s="60">
        <v>0.1628</v>
      </c>
      <c r="K48" s="51">
        <v>4140041769.71</v>
      </c>
      <c r="L48" s="34">
        <f t="shared" si="26"/>
        <v>7.824735194499427E-4</v>
      </c>
      <c r="M48" s="41">
        <v>1</v>
      </c>
      <c r="N48" s="41">
        <v>1</v>
      </c>
      <c r="O48" s="53">
        <v>638</v>
      </c>
      <c r="P48" s="60">
        <v>0.16889999999999999</v>
      </c>
      <c r="Q48" s="60">
        <v>0.16889999999999999</v>
      </c>
      <c r="R48" s="62">
        <f t="shared" si="19"/>
        <v>1.0020706949766928E-3</v>
      </c>
      <c r="S48" s="62">
        <f t="shared" si="20"/>
        <v>0</v>
      </c>
      <c r="T48" s="62">
        <f t="shared" si="21"/>
        <v>3.0694668820678513E-2</v>
      </c>
      <c r="U48" s="63">
        <f t="shared" si="22"/>
        <v>6.0999999999999943E-3</v>
      </c>
      <c r="V48" s="64">
        <f t="shared" si="23"/>
        <v>6.0999999999999943E-3</v>
      </c>
    </row>
    <row r="49" spans="1:22">
      <c r="A49" s="157">
        <v>41</v>
      </c>
      <c r="B49" s="149" t="s">
        <v>89</v>
      </c>
      <c r="C49" s="148" t="s">
        <v>90</v>
      </c>
      <c r="D49" s="51">
        <v>7400914.2199999997</v>
      </c>
      <c r="E49" s="34">
        <f t="shared" si="27"/>
        <v>1.3987828430233868E-6</v>
      </c>
      <c r="F49" s="41">
        <v>1</v>
      </c>
      <c r="G49" s="41">
        <v>1</v>
      </c>
      <c r="H49" s="53">
        <v>21</v>
      </c>
      <c r="I49" s="60">
        <v>0.105</v>
      </c>
      <c r="J49" s="60">
        <v>0.105</v>
      </c>
      <c r="K49" s="51">
        <v>7400914.2199999997</v>
      </c>
      <c r="L49" s="34">
        <f t="shared" si="26"/>
        <v>1.3987828430233868E-6</v>
      </c>
      <c r="M49" s="41">
        <v>1</v>
      </c>
      <c r="N49" s="41">
        <v>1</v>
      </c>
      <c r="O49" s="53">
        <v>21</v>
      </c>
      <c r="P49" s="60">
        <v>0.105</v>
      </c>
      <c r="Q49" s="60">
        <v>0.105</v>
      </c>
      <c r="R49" s="62">
        <f t="shared" si="19"/>
        <v>0</v>
      </c>
      <c r="S49" s="62">
        <f t="shared" si="20"/>
        <v>0</v>
      </c>
      <c r="T49" s="62">
        <f t="shared" si="21"/>
        <v>0</v>
      </c>
      <c r="U49" s="63">
        <f t="shared" si="22"/>
        <v>0</v>
      </c>
      <c r="V49" s="64">
        <f t="shared" si="23"/>
        <v>0</v>
      </c>
    </row>
    <row r="50" spans="1:22">
      <c r="A50" s="157">
        <v>42</v>
      </c>
      <c r="B50" s="149" t="s">
        <v>91</v>
      </c>
      <c r="C50" s="148" t="s">
        <v>92</v>
      </c>
      <c r="D50" s="51">
        <v>1911451493.78</v>
      </c>
      <c r="E50" s="34">
        <f t="shared" si="27"/>
        <v>3.6126692936739484E-4</v>
      </c>
      <c r="F50" s="41">
        <v>10</v>
      </c>
      <c r="G50" s="41">
        <v>10</v>
      </c>
      <c r="H50" s="35">
        <v>570</v>
      </c>
      <c r="I50" s="57">
        <v>0.16500000000000001</v>
      </c>
      <c r="J50" s="57">
        <v>0.16500000000000001</v>
      </c>
      <c r="K50" s="51">
        <v>1942838323.99</v>
      </c>
      <c r="L50" s="34">
        <f t="shared" si="26"/>
        <v>3.671990829216129E-4</v>
      </c>
      <c r="M50" s="41">
        <v>10</v>
      </c>
      <c r="N50" s="41">
        <v>10</v>
      </c>
      <c r="O50" s="35">
        <v>569</v>
      </c>
      <c r="P50" s="57">
        <v>0.16930000000000001</v>
      </c>
      <c r="Q50" s="57">
        <v>0.16930000000000001</v>
      </c>
      <c r="R50" s="62">
        <f t="shared" si="19"/>
        <v>1.6420416794323597E-2</v>
      </c>
      <c r="S50" s="62">
        <f t="shared" si="20"/>
        <v>0</v>
      </c>
      <c r="T50" s="62">
        <f t="shared" si="21"/>
        <v>-1.7543859649122807E-3</v>
      </c>
      <c r="U50" s="63">
        <f t="shared" si="22"/>
        <v>4.2999999999999983E-3</v>
      </c>
      <c r="V50" s="64">
        <f t="shared" si="23"/>
        <v>4.2999999999999983E-3</v>
      </c>
    </row>
    <row r="51" spans="1:22">
      <c r="A51" s="157">
        <v>43</v>
      </c>
      <c r="B51" s="149" t="s">
        <v>93</v>
      </c>
      <c r="C51" s="148" t="s">
        <v>94</v>
      </c>
      <c r="D51" s="51">
        <v>10577452200.950001</v>
      </c>
      <c r="E51" s="34">
        <f t="shared" si="27"/>
        <v>1.9991528373083647E-3</v>
      </c>
      <c r="F51" s="41">
        <v>100</v>
      </c>
      <c r="G51" s="41">
        <v>100</v>
      </c>
      <c r="H51" s="35">
        <v>1038</v>
      </c>
      <c r="I51" s="57">
        <v>0.18720000000000001</v>
      </c>
      <c r="J51" s="57">
        <v>0.18720000000000001</v>
      </c>
      <c r="K51" s="51">
        <v>10684726084.73</v>
      </c>
      <c r="L51" s="34">
        <f t="shared" si="26"/>
        <v>2.0194277470932192E-3</v>
      </c>
      <c r="M51" s="41">
        <v>100</v>
      </c>
      <c r="N51" s="41">
        <v>100</v>
      </c>
      <c r="O51" s="35">
        <v>1043</v>
      </c>
      <c r="P51" s="57">
        <v>0.1827</v>
      </c>
      <c r="Q51" s="57">
        <v>0.1827</v>
      </c>
      <c r="R51" s="62">
        <f t="shared" si="19"/>
        <v>1.0141750748858416E-2</v>
      </c>
      <c r="S51" s="62">
        <f t="shared" si="20"/>
        <v>0</v>
      </c>
      <c r="T51" s="62">
        <f t="shared" si="21"/>
        <v>4.8169556840077067E-3</v>
      </c>
      <c r="U51" s="63">
        <f t="shared" si="22"/>
        <v>-4.500000000000004E-3</v>
      </c>
      <c r="V51" s="64">
        <f t="shared" si="23"/>
        <v>-4.500000000000004E-3</v>
      </c>
    </row>
    <row r="52" spans="1:22">
      <c r="A52" s="157">
        <v>44</v>
      </c>
      <c r="B52" s="149" t="s">
        <v>95</v>
      </c>
      <c r="C52" s="149" t="s">
        <v>96</v>
      </c>
      <c r="D52" s="54">
        <v>216935176.80000001</v>
      </c>
      <c r="E52" s="34">
        <v>0</v>
      </c>
      <c r="F52" s="33">
        <v>1</v>
      </c>
      <c r="G52" s="33">
        <v>1</v>
      </c>
      <c r="H52" s="35">
        <v>140</v>
      </c>
      <c r="I52" s="57">
        <v>0.15670000000000001</v>
      </c>
      <c r="J52" s="57">
        <v>0.15670000000000001</v>
      </c>
      <c r="K52" s="54">
        <v>217500242.43000001</v>
      </c>
      <c r="L52" s="61">
        <f>(K52/$K$199)</f>
        <v>1.8790281485133763E-3</v>
      </c>
      <c r="M52" s="33">
        <v>1</v>
      </c>
      <c r="N52" s="33">
        <v>1</v>
      </c>
      <c r="O52" s="35">
        <v>140</v>
      </c>
      <c r="P52" s="57">
        <v>0.15620000000000001</v>
      </c>
      <c r="Q52" s="57">
        <v>0.15620000000000001</v>
      </c>
      <c r="R52" s="63">
        <f t="shared" si="19"/>
        <v>2.6047671859181633E-3</v>
      </c>
      <c r="S52" s="63">
        <f t="shared" si="20"/>
        <v>0</v>
      </c>
      <c r="T52" s="63">
        <f t="shared" si="21"/>
        <v>0</v>
      </c>
      <c r="U52" s="63">
        <f t="shared" si="22"/>
        <v>-5.0000000000000044E-4</v>
      </c>
      <c r="V52" s="64">
        <f t="shared" si="23"/>
        <v>-5.0000000000000044E-4</v>
      </c>
    </row>
    <row r="53" spans="1:22">
      <c r="A53" s="157">
        <v>45</v>
      </c>
      <c r="B53" s="149" t="s">
        <v>97</v>
      </c>
      <c r="C53" s="148" t="s">
        <v>38</v>
      </c>
      <c r="D53" s="51">
        <v>2071774093.9300001</v>
      </c>
      <c r="E53" s="34">
        <f t="shared" ref="E53:E73" si="28">(D53/$K$74)</f>
        <v>3.9156811862218918E-4</v>
      </c>
      <c r="F53" s="41">
        <v>100</v>
      </c>
      <c r="G53" s="41">
        <v>100</v>
      </c>
      <c r="H53" s="35">
        <v>7599</v>
      </c>
      <c r="I53" s="57">
        <v>0.14849999999999999</v>
      </c>
      <c r="J53" s="57">
        <v>0.14849999999999999</v>
      </c>
      <c r="K53" s="51">
        <v>2176351101.5500002</v>
      </c>
      <c r="L53" s="34">
        <f t="shared" ref="L53:L65" si="29">(K53/$K$74)</f>
        <v>4.1133331514862351E-4</v>
      </c>
      <c r="M53" s="41">
        <v>100</v>
      </c>
      <c r="N53" s="41">
        <v>100</v>
      </c>
      <c r="O53" s="35">
        <v>7751</v>
      </c>
      <c r="P53" s="57">
        <v>0.16880000000000001</v>
      </c>
      <c r="Q53" s="57">
        <v>0.16880000000000001</v>
      </c>
      <c r="R53" s="62">
        <f t="shared" ref="R53" si="30">((K53-D53)/D53)</f>
        <v>5.0477032185311951E-2</v>
      </c>
      <c r="S53" s="62">
        <f t="shared" ref="S53" si="31">((N53-G53)/G53)</f>
        <v>0</v>
      </c>
      <c r="T53" s="62">
        <f t="shared" ref="T53" si="32">((O53-H53)/H53)</f>
        <v>2.0002631925253322E-2</v>
      </c>
      <c r="U53" s="63">
        <f t="shared" ref="U53" si="33">P53-I53</f>
        <v>2.0300000000000012E-2</v>
      </c>
      <c r="V53" s="64">
        <f t="shared" ref="V53" si="34">Q53-J53</f>
        <v>2.0300000000000012E-2</v>
      </c>
    </row>
    <row r="54" spans="1:22">
      <c r="A54" s="157">
        <v>46</v>
      </c>
      <c r="B54" s="149" t="s">
        <v>98</v>
      </c>
      <c r="C54" s="148" t="s">
        <v>38</v>
      </c>
      <c r="D54" s="51">
        <v>331293164115.94</v>
      </c>
      <c r="E54" s="34">
        <f t="shared" si="28"/>
        <v>6.2614858137932591E-2</v>
      </c>
      <c r="F54" s="41">
        <v>100</v>
      </c>
      <c r="G54" s="41">
        <v>100</v>
      </c>
      <c r="H54" s="35">
        <v>32825</v>
      </c>
      <c r="I54" s="57">
        <v>0.17710000000000001</v>
      </c>
      <c r="J54" s="57">
        <v>0.17710000000000001</v>
      </c>
      <c r="K54" s="51">
        <v>337348418439.38</v>
      </c>
      <c r="L54" s="34">
        <f t="shared" si="29"/>
        <v>6.3759309432190547E-2</v>
      </c>
      <c r="M54" s="41">
        <v>100</v>
      </c>
      <c r="N54" s="41">
        <v>100</v>
      </c>
      <c r="O54" s="35">
        <v>33933</v>
      </c>
      <c r="P54" s="57">
        <v>0.1764</v>
      </c>
      <c r="Q54" s="57">
        <v>0.1764</v>
      </c>
      <c r="R54" s="62">
        <f t="shared" si="19"/>
        <v>1.8277631352879027E-2</v>
      </c>
      <c r="S54" s="62">
        <f t="shared" si="20"/>
        <v>0</v>
      </c>
      <c r="T54" s="62">
        <f t="shared" si="21"/>
        <v>3.3754760091393755E-2</v>
      </c>
      <c r="U54" s="63">
        <f t="shared" si="22"/>
        <v>-7.0000000000000617E-4</v>
      </c>
      <c r="V54" s="64">
        <f t="shared" si="23"/>
        <v>-7.0000000000000617E-4</v>
      </c>
    </row>
    <row r="55" spans="1:22">
      <c r="A55" s="157">
        <v>47</v>
      </c>
      <c r="B55" s="149" t="s">
        <v>99</v>
      </c>
      <c r="C55" s="148" t="s">
        <v>42</v>
      </c>
      <c r="D55" s="51">
        <v>54484601985.010002</v>
      </c>
      <c r="E55" s="34">
        <f t="shared" si="28"/>
        <v>1.029766380207957E-2</v>
      </c>
      <c r="F55" s="41">
        <v>1</v>
      </c>
      <c r="G55" s="41">
        <v>1</v>
      </c>
      <c r="H55" s="35">
        <v>3273</v>
      </c>
      <c r="I55" s="57">
        <v>0.1656</v>
      </c>
      <c r="J55" s="57">
        <v>0.1656</v>
      </c>
      <c r="K55" s="51">
        <v>55560160966.769997</v>
      </c>
      <c r="L55" s="34">
        <f t="shared" si="29"/>
        <v>1.0500945910968219E-2</v>
      </c>
      <c r="M55" s="41">
        <v>1</v>
      </c>
      <c r="N55" s="41">
        <v>1</v>
      </c>
      <c r="O55" s="35">
        <v>3322</v>
      </c>
      <c r="P55" s="57">
        <v>0.16320000000000001</v>
      </c>
      <c r="Q55" s="57">
        <v>0.16320000000000001</v>
      </c>
      <c r="R55" s="62">
        <f t="shared" si="19"/>
        <v>1.9740604548343883E-2</v>
      </c>
      <c r="S55" s="62">
        <f t="shared" si="20"/>
        <v>0</v>
      </c>
      <c r="T55" s="62">
        <f t="shared" si="21"/>
        <v>1.4970974641002138E-2</v>
      </c>
      <c r="U55" s="63">
        <f t="shared" si="22"/>
        <v>-2.3999999999999855E-3</v>
      </c>
      <c r="V55" s="64">
        <f t="shared" si="23"/>
        <v>-2.3999999999999855E-3</v>
      </c>
    </row>
    <row r="56" spans="1:22">
      <c r="A56" s="157">
        <v>48</v>
      </c>
      <c r="B56" s="149" t="s">
        <v>100</v>
      </c>
      <c r="C56" s="148" t="s">
        <v>101</v>
      </c>
      <c r="D56" s="51">
        <v>5443949981.3540001</v>
      </c>
      <c r="E56" s="34">
        <f t="shared" si="28"/>
        <v>1.0289139430392509E-3</v>
      </c>
      <c r="F56" s="41">
        <v>100</v>
      </c>
      <c r="G56" s="41">
        <v>100</v>
      </c>
      <c r="H56" s="35">
        <v>941</v>
      </c>
      <c r="I56" s="57">
        <v>0.16980000000000001</v>
      </c>
      <c r="J56" s="57">
        <v>0.16980000000000001</v>
      </c>
      <c r="K56" s="51">
        <v>5678883479.3479996</v>
      </c>
      <c r="L56" s="34">
        <f t="shared" si="29"/>
        <v>1.073316693358586E-3</v>
      </c>
      <c r="M56" s="41">
        <v>100</v>
      </c>
      <c r="N56" s="41">
        <v>100</v>
      </c>
      <c r="O56" s="35">
        <v>951</v>
      </c>
      <c r="P56" s="57">
        <v>0.17</v>
      </c>
      <c r="Q56" s="57">
        <v>0.17</v>
      </c>
      <c r="R56" s="62">
        <f t="shared" si="19"/>
        <v>4.3154969975599894E-2</v>
      </c>
      <c r="S56" s="62">
        <f t="shared" si="20"/>
        <v>0</v>
      </c>
      <c r="T56" s="62">
        <f t="shared" si="21"/>
        <v>1.0626992561105207E-2</v>
      </c>
      <c r="U56" s="63">
        <f t="shared" si="22"/>
        <v>2.0000000000000573E-4</v>
      </c>
      <c r="V56" s="64">
        <f t="shared" si="23"/>
        <v>2.0000000000000573E-4</v>
      </c>
    </row>
    <row r="57" spans="1:22">
      <c r="A57" s="157">
        <v>49</v>
      </c>
      <c r="B57" s="149" t="s">
        <v>102</v>
      </c>
      <c r="C57" s="148" t="s">
        <v>44</v>
      </c>
      <c r="D57" s="55">
        <v>100432709278.78</v>
      </c>
      <c r="E57" s="34">
        <f t="shared" si="28"/>
        <v>1.8981918509185635E-2</v>
      </c>
      <c r="F57" s="41">
        <v>10</v>
      </c>
      <c r="G57" s="41">
        <v>10</v>
      </c>
      <c r="H57" s="35">
        <v>9675</v>
      </c>
      <c r="I57" s="57">
        <v>0.1865</v>
      </c>
      <c r="J57" s="57">
        <v>0.1865</v>
      </c>
      <c r="K57" s="55">
        <v>98254711573.330002</v>
      </c>
      <c r="L57" s="34">
        <f t="shared" si="29"/>
        <v>1.8570273983662712E-2</v>
      </c>
      <c r="M57" s="41">
        <v>10</v>
      </c>
      <c r="N57" s="41">
        <v>10</v>
      </c>
      <c r="O57" s="35">
        <v>7062</v>
      </c>
      <c r="P57" s="57">
        <v>0.18079999999999999</v>
      </c>
      <c r="Q57" s="57">
        <v>0.18079999999999999</v>
      </c>
      <c r="R57" s="62">
        <f t="shared" si="19"/>
        <v>-2.1686139118325835E-2</v>
      </c>
      <c r="S57" s="62">
        <f t="shared" si="20"/>
        <v>0</v>
      </c>
      <c r="T57" s="62">
        <f t="shared" si="21"/>
        <v>-0.27007751937984498</v>
      </c>
      <c r="U57" s="63">
        <f t="shared" si="22"/>
        <v>-5.7000000000000106E-3</v>
      </c>
      <c r="V57" s="64">
        <f t="shared" si="23"/>
        <v>-5.7000000000000106E-3</v>
      </c>
    </row>
    <row r="58" spans="1:22">
      <c r="A58" s="157">
        <v>50</v>
      </c>
      <c r="B58" s="149" t="s">
        <v>103</v>
      </c>
      <c r="C58" s="148" t="s">
        <v>104</v>
      </c>
      <c r="D58" s="51">
        <v>39255167567</v>
      </c>
      <c r="E58" s="34">
        <f t="shared" si="28"/>
        <v>7.4192800052109925E-3</v>
      </c>
      <c r="F58" s="41">
        <v>100</v>
      </c>
      <c r="G58" s="41">
        <v>100</v>
      </c>
      <c r="H58" s="35">
        <v>5877</v>
      </c>
      <c r="I58" s="57">
        <v>0.1762</v>
      </c>
      <c r="J58" s="57">
        <v>0.1762</v>
      </c>
      <c r="K58" s="51">
        <v>39769549715</v>
      </c>
      <c r="L58" s="34">
        <f t="shared" si="29"/>
        <v>7.5164989300615928E-3</v>
      </c>
      <c r="M58" s="41">
        <v>100</v>
      </c>
      <c r="N58" s="41">
        <v>100</v>
      </c>
      <c r="O58" s="35">
        <v>5926</v>
      </c>
      <c r="P58" s="57">
        <v>0.17469999999999999</v>
      </c>
      <c r="Q58" s="57">
        <v>0.17469999999999999</v>
      </c>
      <c r="R58" s="62">
        <f t="shared" si="19"/>
        <v>1.3103552471711195E-2</v>
      </c>
      <c r="S58" s="62">
        <f t="shared" si="20"/>
        <v>0</v>
      </c>
      <c r="T58" s="62">
        <f t="shared" si="21"/>
        <v>8.3375872043559632E-3</v>
      </c>
      <c r="U58" s="63">
        <f t="shared" si="22"/>
        <v>-1.5000000000000013E-3</v>
      </c>
      <c r="V58" s="64">
        <f t="shared" si="23"/>
        <v>-1.5000000000000013E-3</v>
      </c>
    </row>
    <row r="59" spans="1:22">
      <c r="A59" s="157">
        <v>51</v>
      </c>
      <c r="B59" s="149" t="s">
        <v>105</v>
      </c>
      <c r="C59" s="148" t="s">
        <v>106</v>
      </c>
      <c r="D59" s="51">
        <v>176924381.13999999</v>
      </c>
      <c r="E59" s="34">
        <f t="shared" si="28"/>
        <v>3.343894841834317E-5</v>
      </c>
      <c r="F59" s="41">
        <v>1</v>
      </c>
      <c r="G59" s="41">
        <v>1</v>
      </c>
      <c r="H59" s="35">
        <v>93</v>
      </c>
      <c r="I59" s="57">
        <v>0.1181</v>
      </c>
      <c r="J59" s="57">
        <v>0.1181</v>
      </c>
      <c r="K59" s="51">
        <v>176924381.13999999</v>
      </c>
      <c r="L59" s="34">
        <f t="shared" si="29"/>
        <v>3.343894841834317E-5</v>
      </c>
      <c r="M59" s="41">
        <v>1</v>
      </c>
      <c r="N59" s="41">
        <v>1</v>
      </c>
      <c r="O59" s="35">
        <v>93</v>
      </c>
      <c r="P59" s="57">
        <v>0.1181</v>
      </c>
      <c r="Q59" s="57">
        <v>0.1181</v>
      </c>
      <c r="R59" s="62">
        <f t="shared" si="19"/>
        <v>0</v>
      </c>
      <c r="S59" s="62">
        <f t="shared" si="20"/>
        <v>0</v>
      </c>
      <c r="T59" s="62">
        <f t="shared" si="21"/>
        <v>0</v>
      </c>
      <c r="U59" s="63">
        <f t="shared" si="22"/>
        <v>0</v>
      </c>
      <c r="V59" s="64">
        <f t="shared" si="23"/>
        <v>0</v>
      </c>
    </row>
    <row r="60" spans="1:22">
      <c r="A60" s="157">
        <v>52</v>
      </c>
      <c r="B60" s="149" t="s">
        <v>107</v>
      </c>
      <c r="C60" s="148" t="s">
        <v>46</v>
      </c>
      <c r="D60" s="55">
        <v>2627888280.0999999</v>
      </c>
      <c r="E60" s="34">
        <f t="shared" si="28"/>
        <v>4.966744553872314E-4</v>
      </c>
      <c r="F60" s="41">
        <v>10</v>
      </c>
      <c r="G60" s="41">
        <v>10</v>
      </c>
      <c r="H60" s="35">
        <v>950</v>
      </c>
      <c r="I60" s="57">
        <v>0.14580000000000001</v>
      </c>
      <c r="J60" s="57">
        <v>0.14580000000000001</v>
      </c>
      <c r="K60" s="55">
        <v>2590190001.8200002</v>
      </c>
      <c r="L60" s="34">
        <f t="shared" si="29"/>
        <v>4.8954942957257135E-4</v>
      </c>
      <c r="M60" s="41">
        <v>10</v>
      </c>
      <c r="N60" s="41">
        <v>10</v>
      </c>
      <c r="O60" s="35">
        <v>965</v>
      </c>
      <c r="P60" s="57">
        <v>0.15210000000000001</v>
      </c>
      <c r="Q60" s="57">
        <v>0.15210000000000001</v>
      </c>
      <c r="R60" s="62">
        <f t="shared" si="19"/>
        <v>-1.4345464594318746E-2</v>
      </c>
      <c r="S60" s="62">
        <f t="shared" si="20"/>
        <v>0</v>
      </c>
      <c r="T60" s="62">
        <f t="shared" si="21"/>
        <v>1.5789473684210527E-2</v>
      </c>
      <c r="U60" s="63">
        <f t="shared" si="22"/>
        <v>6.3E-3</v>
      </c>
      <c r="V60" s="64">
        <f t="shared" si="23"/>
        <v>6.3E-3</v>
      </c>
    </row>
    <row r="61" spans="1:22">
      <c r="A61" s="157">
        <v>53</v>
      </c>
      <c r="B61" s="149" t="s">
        <v>108</v>
      </c>
      <c r="C61" s="148" t="s">
        <v>109</v>
      </c>
      <c r="D61" s="55">
        <v>1361063887</v>
      </c>
      <c r="E61" s="34">
        <f t="shared" si="28"/>
        <v>2.5724292388762773E-4</v>
      </c>
      <c r="F61" s="41">
        <v>1</v>
      </c>
      <c r="G61" s="41">
        <v>1</v>
      </c>
      <c r="H61" s="35">
        <v>213</v>
      </c>
      <c r="I61" s="57">
        <v>0.21360000000000001</v>
      </c>
      <c r="J61" s="57">
        <v>0.21360000000000001</v>
      </c>
      <c r="K61" s="55">
        <v>1404609840</v>
      </c>
      <c r="L61" s="34">
        <f t="shared" si="29"/>
        <v>2.6547316816946225E-4</v>
      </c>
      <c r="M61" s="41">
        <v>1</v>
      </c>
      <c r="N61" s="41">
        <v>1</v>
      </c>
      <c r="O61" s="35">
        <v>217</v>
      </c>
      <c r="P61" s="57">
        <v>0.20960000000000001</v>
      </c>
      <c r="Q61" s="57">
        <v>0.20960000000000001</v>
      </c>
      <c r="R61" s="62">
        <f t="shared" si="19"/>
        <v>3.1994055103454523E-2</v>
      </c>
      <c r="S61" s="62">
        <f t="shared" si="20"/>
        <v>0</v>
      </c>
      <c r="T61" s="62">
        <f t="shared" si="21"/>
        <v>1.8779342723004695E-2</v>
      </c>
      <c r="U61" s="63">
        <f t="shared" si="22"/>
        <v>-4.0000000000000036E-3</v>
      </c>
      <c r="V61" s="64">
        <f t="shared" si="23"/>
        <v>-4.0000000000000036E-3</v>
      </c>
    </row>
    <row r="62" spans="1:22">
      <c r="A62" s="157">
        <v>54</v>
      </c>
      <c r="B62" s="149" t="s">
        <v>110</v>
      </c>
      <c r="C62" s="148" t="s">
        <v>111</v>
      </c>
      <c r="D62" s="55">
        <v>2109714563.99</v>
      </c>
      <c r="E62" s="34">
        <f t="shared" si="28"/>
        <v>3.9873891901232944E-4</v>
      </c>
      <c r="F62" s="41">
        <v>1</v>
      </c>
      <c r="G62" s="41">
        <v>1</v>
      </c>
      <c r="H62" s="35">
        <v>2290</v>
      </c>
      <c r="I62" s="57">
        <v>0.1384</v>
      </c>
      <c r="J62" s="57">
        <v>0.1384</v>
      </c>
      <c r="K62" s="55">
        <v>2092847326.75</v>
      </c>
      <c r="L62" s="34">
        <f t="shared" si="29"/>
        <v>3.9555098825686159E-4</v>
      </c>
      <c r="M62" s="41">
        <v>1</v>
      </c>
      <c r="N62" s="41">
        <v>1</v>
      </c>
      <c r="O62" s="35">
        <v>2343</v>
      </c>
      <c r="P62" s="57">
        <v>0.1593</v>
      </c>
      <c r="Q62" s="57">
        <v>0.1593</v>
      </c>
      <c r="R62" s="62">
        <f t="shared" si="19"/>
        <v>-7.9950328484720834E-3</v>
      </c>
      <c r="S62" s="62">
        <f t="shared" si="20"/>
        <v>0</v>
      </c>
      <c r="T62" s="62">
        <f t="shared" si="21"/>
        <v>2.3144104803493451E-2</v>
      </c>
      <c r="U62" s="63">
        <f t="shared" si="22"/>
        <v>2.0900000000000002E-2</v>
      </c>
      <c r="V62" s="64">
        <f t="shared" si="23"/>
        <v>2.0900000000000002E-2</v>
      </c>
    </row>
    <row r="63" spans="1:22">
      <c r="A63" s="157">
        <v>55</v>
      </c>
      <c r="B63" s="149" t="s">
        <v>112</v>
      </c>
      <c r="C63" s="148" t="s">
        <v>113</v>
      </c>
      <c r="D63" s="55">
        <v>13759427138.854401</v>
      </c>
      <c r="E63" s="34">
        <f t="shared" si="28"/>
        <v>2.6005504238447862E-3</v>
      </c>
      <c r="F63" s="41">
        <v>100</v>
      </c>
      <c r="G63" s="41">
        <v>100</v>
      </c>
      <c r="H63" s="35">
        <v>157</v>
      </c>
      <c r="I63" s="57">
        <v>0.16700000000000001</v>
      </c>
      <c r="J63" s="57">
        <v>0.16700000000000001</v>
      </c>
      <c r="K63" s="55">
        <v>13854450473.3869</v>
      </c>
      <c r="L63" s="34">
        <f t="shared" si="29"/>
        <v>2.618509963177338E-3</v>
      </c>
      <c r="M63" s="41">
        <v>100</v>
      </c>
      <c r="N63" s="41">
        <v>100</v>
      </c>
      <c r="O63" s="35">
        <v>159</v>
      </c>
      <c r="P63" s="57">
        <v>0.1623</v>
      </c>
      <c r="Q63" s="57">
        <v>0.1623</v>
      </c>
      <c r="R63" s="62">
        <f t="shared" si="19"/>
        <v>6.9060531062495149E-3</v>
      </c>
      <c r="S63" s="62">
        <f t="shared" si="20"/>
        <v>0</v>
      </c>
      <c r="T63" s="62">
        <f t="shared" si="21"/>
        <v>1.2738853503184714E-2</v>
      </c>
      <c r="U63" s="63">
        <f t="shared" si="22"/>
        <v>-4.7000000000000097E-3</v>
      </c>
      <c r="V63" s="64">
        <f t="shared" si="23"/>
        <v>-4.7000000000000097E-3</v>
      </c>
    </row>
    <row r="64" spans="1:22">
      <c r="A64" s="157">
        <v>56</v>
      </c>
      <c r="B64" s="149" t="s">
        <v>330</v>
      </c>
      <c r="C64" s="148" t="s">
        <v>77</v>
      </c>
      <c r="D64" s="55">
        <v>73927782.159999996</v>
      </c>
      <c r="E64" s="34">
        <f t="shared" si="28"/>
        <v>1.3972451272131946E-5</v>
      </c>
      <c r="F64" s="41">
        <v>1000</v>
      </c>
      <c r="G64" s="41">
        <v>1000</v>
      </c>
      <c r="H64" s="35">
        <v>20</v>
      </c>
      <c r="I64" s="57">
        <v>0.2427</v>
      </c>
      <c r="J64" s="57">
        <v>0.2427</v>
      </c>
      <c r="K64" s="55">
        <v>74043249.629999995</v>
      </c>
      <c r="L64" s="34">
        <f t="shared" si="29"/>
        <v>1.3994274780844808E-5</v>
      </c>
      <c r="M64" s="41">
        <v>1000</v>
      </c>
      <c r="N64" s="41">
        <v>1000</v>
      </c>
      <c r="O64" s="35">
        <v>21</v>
      </c>
      <c r="P64" s="57">
        <v>0.24329999999999999</v>
      </c>
      <c r="Q64" s="57">
        <v>0.24329999999999999</v>
      </c>
      <c r="R64" s="62">
        <f t="shared" si="19"/>
        <v>1.5618954962032478E-3</v>
      </c>
      <c r="S64" s="62">
        <f t="shared" si="20"/>
        <v>0</v>
      </c>
      <c r="T64" s="62">
        <f t="shared" si="21"/>
        <v>0.05</v>
      </c>
      <c r="U64" s="63">
        <f t="shared" si="22"/>
        <v>5.9999999999998943E-4</v>
      </c>
      <c r="V64" s="64">
        <f t="shared" si="23"/>
        <v>5.9999999999998943E-4</v>
      </c>
    </row>
    <row r="65" spans="1:22">
      <c r="A65" s="157">
        <v>57</v>
      </c>
      <c r="B65" s="149" t="s">
        <v>332</v>
      </c>
      <c r="C65" s="148" t="s">
        <v>34</v>
      </c>
      <c r="D65" s="39">
        <v>1591197000</v>
      </c>
      <c r="E65" s="34">
        <f t="shared" si="28"/>
        <v>3.0073839492092966E-4</v>
      </c>
      <c r="F65" s="33">
        <v>1</v>
      </c>
      <c r="G65" s="33">
        <v>1</v>
      </c>
      <c r="H65" s="35">
        <v>345</v>
      </c>
      <c r="I65" s="57">
        <v>0.1772</v>
      </c>
      <c r="J65" s="57">
        <v>0.1772</v>
      </c>
      <c r="K65" s="39">
        <v>1630000000</v>
      </c>
      <c r="L65" s="34">
        <f t="shared" si="29"/>
        <v>3.0807221464162853E-4</v>
      </c>
      <c r="M65" s="33">
        <v>1</v>
      </c>
      <c r="N65" s="33">
        <v>1</v>
      </c>
      <c r="O65" s="35">
        <v>345</v>
      </c>
      <c r="P65" s="57">
        <v>0.1772</v>
      </c>
      <c r="Q65" s="57">
        <v>0.1772</v>
      </c>
      <c r="R65" s="62">
        <f t="shared" si="19"/>
        <v>2.4386043965643475E-2</v>
      </c>
      <c r="S65" s="62">
        <f t="shared" si="20"/>
        <v>0</v>
      </c>
      <c r="T65" s="62">
        <f t="shared" si="21"/>
        <v>0</v>
      </c>
      <c r="U65" s="63">
        <f t="shared" si="22"/>
        <v>0</v>
      </c>
      <c r="V65" s="64">
        <f t="shared" si="23"/>
        <v>0</v>
      </c>
    </row>
    <row r="66" spans="1:22">
      <c r="A66" s="157">
        <v>58</v>
      </c>
      <c r="B66" s="149" t="s">
        <v>114</v>
      </c>
      <c r="C66" s="148" t="s">
        <v>50</v>
      </c>
      <c r="D66" s="51">
        <v>2582464486731.77</v>
      </c>
      <c r="E66" s="34">
        <f t="shared" si="28"/>
        <v>0.48808929672442503</v>
      </c>
      <c r="F66" s="41">
        <v>100</v>
      </c>
      <c r="G66" s="41">
        <v>100</v>
      </c>
      <c r="H66" s="35">
        <v>292242</v>
      </c>
      <c r="I66" s="57">
        <v>0.1547</v>
      </c>
      <c r="J66" s="57">
        <v>0.1547</v>
      </c>
      <c r="K66" s="51">
        <v>2590334064076.6099</v>
      </c>
      <c r="L66" s="34">
        <f t="shared" ref="L66:L73" si="35">(K66/$K$74)</f>
        <v>0.48957665753480445</v>
      </c>
      <c r="M66" s="41">
        <v>100</v>
      </c>
      <c r="N66" s="41">
        <v>100</v>
      </c>
      <c r="O66" s="35">
        <v>294630</v>
      </c>
      <c r="P66" s="57">
        <v>0.1547</v>
      </c>
      <c r="Q66" s="57">
        <v>0.1547</v>
      </c>
      <c r="R66" s="62">
        <f t="shared" si="19"/>
        <v>3.0473129002440468E-3</v>
      </c>
      <c r="S66" s="62">
        <f t="shared" si="20"/>
        <v>0</v>
      </c>
      <c r="T66" s="62">
        <f t="shared" si="21"/>
        <v>8.1713100786334619E-3</v>
      </c>
      <c r="U66" s="63">
        <f t="shared" si="22"/>
        <v>0</v>
      </c>
      <c r="V66" s="64">
        <f t="shared" si="23"/>
        <v>0</v>
      </c>
    </row>
    <row r="67" spans="1:22">
      <c r="A67" s="157">
        <v>59</v>
      </c>
      <c r="B67" s="149" t="s">
        <v>115</v>
      </c>
      <c r="C67" s="149" t="s">
        <v>116</v>
      </c>
      <c r="D67" s="51">
        <v>8847721070.7999992</v>
      </c>
      <c r="E67" s="34">
        <f t="shared" si="28"/>
        <v>1.6722313035661084E-3</v>
      </c>
      <c r="F67" s="41">
        <v>100</v>
      </c>
      <c r="G67" s="41">
        <v>100</v>
      </c>
      <c r="H67" s="35">
        <v>1129</v>
      </c>
      <c r="I67" s="57">
        <v>0.2014</v>
      </c>
      <c r="J67" s="57">
        <v>0.2014</v>
      </c>
      <c r="K67" s="51">
        <v>9009329387.9400005</v>
      </c>
      <c r="L67" s="34">
        <f t="shared" si="35"/>
        <v>1.7027754950788856E-3</v>
      </c>
      <c r="M67" s="41">
        <v>100</v>
      </c>
      <c r="N67" s="41">
        <v>100</v>
      </c>
      <c r="O67" s="35">
        <v>1180</v>
      </c>
      <c r="P67" s="57">
        <v>0.2026</v>
      </c>
      <c r="Q67" s="57">
        <v>0.2026</v>
      </c>
      <c r="R67" s="62">
        <f t="shared" si="19"/>
        <v>1.8265530281391305E-2</v>
      </c>
      <c r="S67" s="62">
        <f t="shared" si="20"/>
        <v>0</v>
      </c>
      <c r="T67" s="62">
        <f t="shared" si="21"/>
        <v>4.5172719220549155E-2</v>
      </c>
      <c r="U67" s="63">
        <f t="shared" si="22"/>
        <v>1.2000000000000066E-3</v>
      </c>
      <c r="V67" s="64">
        <f t="shared" si="23"/>
        <v>1.2000000000000066E-3</v>
      </c>
    </row>
    <row r="68" spans="1:22">
      <c r="A68" s="157">
        <v>60</v>
      </c>
      <c r="B68" s="158" t="s">
        <v>117</v>
      </c>
      <c r="C68" s="148" t="s">
        <v>118</v>
      </c>
      <c r="D68" s="51">
        <v>15142976362.709999</v>
      </c>
      <c r="E68" s="34">
        <f t="shared" si="28"/>
        <v>2.8620431069484057E-3</v>
      </c>
      <c r="F68" s="41">
        <v>1</v>
      </c>
      <c r="G68" s="41">
        <v>1</v>
      </c>
      <c r="H68" s="35">
        <v>760</v>
      </c>
      <c r="I68" s="57">
        <v>0.19536899999999999</v>
      </c>
      <c r="J68" s="57">
        <v>0.19536899999999999</v>
      </c>
      <c r="K68" s="51">
        <v>15717944706.65</v>
      </c>
      <c r="L68" s="34">
        <f t="shared" si="35"/>
        <v>2.9707129051486669E-3</v>
      </c>
      <c r="M68" s="41">
        <v>1</v>
      </c>
      <c r="N68" s="41">
        <v>1</v>
      </c>
      <c r="O68" s="35">
        <v>776</v>
      </c>
      <c r="P68" s="57">
        <v>0.195272</v>
      </c>
      <c r="Q68" s="57">
        <v>0.195272</v>
      </c>
      <c r="R68" s="62">
        <f t="shared" si="19"/>
        <v>3.7969308685964542E-2</v>
      </c>
      <c r="S68" s="62">
        <f t="shared" si="20"/>
        <v>0</v>
      </c>
      <c r="T68" s="62">
        <f t="shared" si="21"/>
        <v>2.1052631578947368E-2</v>
      </c>
      <c r="U68" s="63">
        <f t="shared" si="22"/>
        <v>-9.6999999999985986E-5</v>
      </c>
      <c r="V68" s="64">
        <f t="shared" si="23"/>
        <v>-9.6999999999985986E-5</v>
      </c>
    </row>
    <row r="69" spans="1:22">
      <c r="A69" s="157">
        <v>61</v>
      </c>
      <c r="B69" s="149" t="s">
        <v>119</v>
      </c>
      <c r="C69" s="148" t="s">
        <v>53</v>
      </c>
      <c r="D69" s="51">
        <v>215889768002.67001</v>
      </c>
      <c r="E69" s="34">
        <f t="shared" si="28"/>
        <v>4.0803459476717756E-2</v>
      </c>
      <c r="F69" s="41">
        <v>1</v>
      </c>
      <c r="G69" s="41">
        <v>1</v>
      </c>
      <c r="H69" s="35">
        <v>82431</v>
      </c>
      <c r="I69" s="57">
        <v>0.158</v>
      </c>
      <c r="J69" s="57">
        <v>0.158</v>
      </c>
      <c r="K69" s="51">
        <v>215666354654.26001</v>
      </c>
      <c r="L69" s="34">
        <f t="shared" si="35"/>
        <v>4.0761234050321941E-2</v>
      </c>
      <c r="M69" s="41">
        <v>1</v>
      </c>
      <c r="N69" s="41">
        <v>1</v>
      </c>
      <c r="O69" s="35">
        <v>83076</v>
      </c>
      <c r="P69" s="57">
        <v>0.15409999999999999</v>
      </c>
      <c r="Q69" s="57">
        <v>0.15409999999999999</v>
      </c>
      <c r="R69" s="62">
        <f t="shared" si="19"/>
        <v>-1.0348491754701436E-3</v>
      </c>
      <c r="S69" s="62">
        <f t="shared" si="20"/>
        <v>0</v>
      </c>
      <c r="T69" s="62">
        <f t="shared" si="21"/>
        <v>7.8247261345852897E-3</v>
      </c>
      <c r="U69" s="63">
        <f t="shared" si="22"/>
        <v>-3.9000000000000146E-3</v>
      </c>
      <c r="V69" s="64">
        <f t="shared" si="23"/>
        <v>-3.9000000000000146E-3</v>
      </c>
    </row>
    <row r="70" spans="1:22">
      <c r="A70" s="157">
        <v>62</v>
      </c>
      <c r="B70" s="149" t="s">
        <v>120</v>
      </c>
      <c r="C70" s="148" t="s">
        <v>121</v>
      </c>
      <c r="D70" s="51">
        <v>2743034607.9299998</v>
      </c>
      <c r="E70" s="34">
        <f t="shared" si="28"/>
        <v>5.1843726779363575E-4</v>
      </c>
      <c r="F70" s="41">
        <v>1</v>
      </c>
      <c r="G70" s="41">
        <v>1</v>
      </c>
      <c r="H70" s="35">
        <v>158</v>
      </c>
      <c r="I70" s="57">
        <v>0.13539999999999999</v>
      </c>
      <c r="J70" s="57">
        <v>0.13539999999999999</v>
      </c>
      <c r="K70" s="51">
        <v>2698270874.5599999</v>
      </c>
      <c r="L70" s="34">
        <f t="shared" si="35"/>
        <v>5.0997686136730245E-4</v>
      </c>
      <c r="M70" s="41">
        <v>1</v>
      </c>
      <c r="N70" s="41">
        <v>1</v>
      </c>
      <c r="O70" s="35">
        <v>157</v>
      </c>
      <c r="P70" s="57">
        <v>0.153</v>
      </c>
      <c r="Q70" s="57">
        <v>0.153</v>
      </c>
      <c r="R70" s="62">
        <f t="shared" si="19"/>
        <v>-1.6319055268420521E-2</v>
      </c>
      <c r="S70" s="62">
        <f t="shared" si="20"/>
        <v>0</v>
      </c>
      <c r="T70" s="62">
        <f t="shared" si="21"/>
        <v>-6.3291139240506328E-3</v>
      </c>
      <c r="U70" s="63">
        <f t="shared" si="22"/>
        <v>1.7600000000000005E-2</v>
      </c>
      <c r="V70" s="64">
        <f t="shared" si="23"/>
        <v>1.7600000000000005E-2</v>
      </c>
    </row>
    <row r="71" spans="1:22">
      <c r="A71" s="157">
        <v>63</v>
      </c>
      <c r="B71" s="149" t="s">
        <v>122</v>
      </c>
      <c r="C71" s="148" t="s">
        <v>123</v>
      </c>
      <c r="D71" s="51">
        <v>8791297211.6200008</v>
      </c>
      <c r="E71" s="34">
        <f t="shared" si="28"/>
        <v>1.6615671175193539E-3</v>
      </c>
      <c r="F71" s="41">
        <v>1</v>
      </c>
      <c r="G71" s="41">
        <v>1</v>
      </c>
      <c r="H71" s="35">
        <v>567</v>
      </c>
      <c r="I71" s="57">
        <v>0.16270000000000001</v>
      </c>
      <c r="J71" s="57">
        <v>0.16270000000000001</v>
      </c>
      <c r="K71" s="51">
        <v>9270451755.7399998</v>
      </c>
      <c r="L71" s="34">
        <f t="shared" si="35"/>
        <v>1.7521279773737393E-3</v>
      </c>
      <c r="M71" s="41">
        <v>1</v>
      </c>
      <c r="N71" s="41">
        <v>1</v>
      </c>
      <c r="O71" s="35">
        <v>563</v>
      </c>
      <c r="P71" s="57">
        <v>0.15770000000000001</v>
      </c>
      <c r="Q71" s="57">
        <v>0.15770000000000001</v>
      </c>
      <c r="R71" s="62">
        <f t="shared" si="19"/>
        <v>5.4503281209361314E-2</v>
      </c>
      <c r="S71" s="62">
        <f t="shared" si="20"/>
        <v>0</v>
      </c>
      <c r="T71" s="62">
        <f t="shared" si="21"/>
        <v>-7.0546737213403876E-3</v>
      </c>
      <c r="U71" s="63">
        <f t="shared" si="22"/>
        <v>-5.0000000000000044E-3</v>
      </c>
      <c r="V71" s="64">
        <f t="shared" si="23"/>
        <v>-5.0000000000000044E-3</v>
      </c>
    </row>
    <row r="72" spans="1:22">
      <c r="A72" s="157">
        <v>64</v>
      </c>
      <c r="B72" s="149" t="s">
        <v>124</v>
      </c>
      <c r="C72" s="148" t="s">
        <v>125</v>
      </c>
      <c r="D72" s="51">
        <v>14383937618.790001</v>
      </c>
      <c r="E72" s="34">
        <f t="shared" si="28"/>
        <v>2.7185837530599188E-3</v>
      </c>
      <c r="F72" s="41">
        <v>1</v>
      </c>
      <c r="G72" s="41">
        <v>1</v>
      </c>
      <c r="H72" s="35">
        <v>6167</v>
      </c>
      <c r="I72" s="57">
        <v>0.18149999999999999</v>
      </c>
      <c r="J72" s="57">
        <v>0.18149999999999999</v>
      </c>
      <c r="K72" s="51">
        <v>14763981348.040001</v>
      </c>
      <c r="L72" s="34">
        <f t="shared" si="35"/>
        <v>2.7904125342444043E-3</v>
      </c>
      <c r="M72" s="41">
        <v>1</v>
      </c>
      <c r="N72" s="41">
        <v>1</v>
      </c>
      <c r="O72" s="35">
        <v>6248</v>
      </c>
      <c r="P72" s="57">
        <v>0.1792</v>
      </c>
      <c r="Q72" s="57">
        <v>0.1792</v>
      </c>
      <c r="R72" s="62">
        <f t="shared" si="19"/>
        <v>2.6421397208615666E-2</v>
      </c>
      <c r="S72" s="62">
        <f t="shared" si="20"/>
        <v>0</v>
      </c>
      <c r="T72" s="62">
        <f t="shared" si="21"/>
        <v>1.3134425166207232E-2</v>
      </c>
      <c r="U72" s="63">
        <f t="shared" si="22"/>
        <v>-2.2999999999999965E-3</v>
      </c>
      <c r="V72" s="64">
        <f t="shared" si="23"/>
        <v>-2.2999999999999965E-3</v>
      </c>
    </row>
    <row r="73" spans="1:22">
      <c r="A73" s="157">
        <v>65</v>
      </c>
      <c r="B73" s="149" t="s">
        <v>126</v>
      </c>
      <c r="C73" s="148" t="s">
        <v>127</v>
      </c>
      <c r="D73" s="51">
        <v>148532671349.20001</v>
      </c>
      <c r="E73" s="34">
        <f t="shared" si="28"/>
        <v>2.8072876692751662E-2</v>
      </c>
      <c r="F73" s="41">
        <v>1</v>
      </c>
      <c r="G73" s="41">
        <v>1</v>
      </c>
      <c r="H73" s="35">
        <v>7831</v>
      </c>
      <c r="I73" s="57">
        <v>0.1671</v>
      </c>
      <c r="J73" s="57">
        <v>0.1671</v>
      </c>
      <c r="K73" s="51">
        <v>148363056654.23999</v>
      </c>
      <c r="L73" s="34">
        <f t="shared" si="35"/>
        <v>2.804081928495283E-2</v>
      </c>
      <c r="M73" s="41">
        <v>1</v>
      </c>
      <c r="N73" s="41">
        <v>1</v>
      </c>
      <c r="O73" s="35">
        <v>7874</v>
      </c>
      <c r="P73" s="57">
        <v>0.16850000000000001</v>
      </c>
      <c r="Q73" s="57">
        <v>0.16850000000000001</v>
      </c>
      <c r="R73" s="62">
        <f t="shared" si="19"/>
        <v>-1.141935261914587E-3</v>
      </c>
      <c r="S73" s="62">
        <f t="shared" si="20"/>
        <v>0</v>
      </c>
      <c r="T73" s="62">
        <f t="shared" si="21"/>
        <v>5.4909973183501467E-3</v>
      </c>
      <c r="U73" s="63">
        <f t="shared" si="22"/>
        <v>1.4000000000000123E-3</v>
      </c>
      <c r="V73" s="64">
        <f t="shared" si="23"/>
        <v>1.4000000000000123E-3</v>
      </c>
    </row>
    <row r="74" spans="1:22">
      <c r="A74" s="42"/>
      <c r="B74" s="43"/>
      <c r="C74" s="44" t="s">
        <v>56</v>
      </c>
      <c r="D74" s="66">
        <f>SUM(D29:D73)</f>
        <v>5272968475352.1689</v>
      </c>
      <c r="E74" s="46">
        <f>(D74/$D$234)</f>
        <v>0.64226044662260151</v>
      </c>
      <c r="F74" s="47"/>
      <c r="G74" s="52"/>
      <c r="H74" s="49">
        <f>SUM(H29:H73)</f>
        <v>668339</v>
      </c>
      <c r="I74" s="70"/>
      <c r="J74" s="70"/>
      <c r="K74" s="66">
        <f>SUM(K29:K73)</f>
        <v>5290967255505.7646</v>
      </c>
      <c r="L74" s="46">
        <f>(K74/$K$234)</f>
        <v>0.64176488697814116</v>
      </c>
      <c r="M74" s="47"/>
      <c r="N74" s="52"/>
      <c r="O74" s="49">
        <f>SUM(O29:O73)</f>
        <v>671714</v>
      </c>
      <c r="P74" s="70"/>
      <c r="Q74" s="70"/>
      <c r="R74" s="62">
        <f t="shared" si="19"/>
        <v>3.4134056059179469E-3</v>
      </c>
      <c r="S74" s="62" t="e">
        <f t="shared" si="20"/>
        <v>#DIV/0!</v>
      </c>
      <c r="T74" s="62">
        <f t="shared" si="21"/>
        <v>5.0498324951858261E-3</v>
      </c>
      <c r="U74" s="63">
        <f t="shared" si="22"/>
        <v>0</v>
      </c>
      <c r="V74" s="64">
        <f t="shared" si="23"/>
        <v>0</v>
      </c>
    </row>
    <row r="75" spans="1:22" ht="3" customHeight="1">
      <c r="A75" s="42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</row>
    <row r="76" spans="1:22" ht="15" customHeight="1">
      <c r="A76" s="169" t="s">
        <v>128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</row>
    <row r="77" spans="1:22">
      <c r="A77" s="157">
        <v>66</v>
      </c>
      <c r="B77" s="149" t="s">
        <v>129</v>
      </c>
      <c r="C77" s="148" t="s">
        <v>22</v>
      </c>
      <c r="D77" s="39">
        <v>767533607.74000001</v>
      </c>
      <c r="E77" s="34">
        <f>(D77/$D$116)</f>
        <v>3.1419631903504956E-3</v>
      </c>
      <c r="F77" s="67">
        <v>1.7513000000000001</v>
      </c>
      <c r="G77" s="67">
        <v>1.7513000000000001</v>
      </c>
      <c r="H77" s="35">
        <v>545</v>
      </c>
      <c r="I77" s="57">
        <v>2.003E-3</v>
      </c>
      <c r="J77" s="57">
        <v>4.9099999999999998E-2</v>
      </c>
      <c r="K77" s="39">
        <v>783734792.75</v>
      </c>
      <c r="L77" s="34">
        <f t="shared" ref="L77:L100" si="36">(K77/$K$116)</f>
        <v>3.1849779154224942E-3</v>
      </c>
      <c r="M77" s="67">
        <v>1.7814000000000001</v>
      </c>
      <c r="N77" s="67">
        <v>1.7814000000000001</v>
      </c>
      <c r="O77" s="35">
        <v>550</v>
      </c>
      <c r="P77" s="57">
        <v>1.4175999999999999E-2</v>
      </c>
      <c r="Q77" s="57">
        <v>6.7199999999999996E-2</v>
      </c>
      <c r="R77" s="62">
        <f>((K77-D77)/D77)</f>
        <v>2.1108111549283583E-2</v>
      </c>
      <c r="S77" s="62">
        <f>((N77-G77)/G77)</f>
        <v>1.7187232341689038E-2</v>
      </c>
      <c r="T77" s="62">
        <f>((O77-H77)/H77)</f>
        <v>9.1743119266055051E-3</v>
      </c>
      <c r="U77" s="63">
        <f>P77-I77</f>
        <v>1.2173E-2</v>
      </c>
      <c r="V77" s="64">
        <f>Q77-J77</f>
        <v>1.8099999999999998E-2</v>
      </c>
    </row>
    <row r="78" spans="1:22">
      <c r="A78" s="157">
        <v>67</v>
      </c>
      <c r="B78" s="149" t="s">
        <v>130</v>
      </c>
      <c r="C78" s="148" t="s">
        <v>24</v>
      </c>
      <c r="D78" s="39">
        <v>1215828771.28</v>
      </c>
      <c r="E78" s="34">
        <f>(D78/$D$116)</f>
        <v>4.9770970373259234E-3</v>
      </c>
      <c r="F78" s="67">
        <v>1.3494999999999999</v>
      </c>
      <c r="G78" s="67">
        <v>1.3494999999999999</v>
      </c>
      <c r="H78" s="35">
        <v>1490</v>
      </c>
      <c r="I78" s="57">
        <v>6.9599999999999995E-2</v>
      </c>
      <c r="J78" s="57">
        <v>0.10929999999999999</v>
      </c>
      <c r="K78" s="39">
        <v>1223835832.8</v>
      </c>
      <c r="L78" s="34">
        <f t="shared" si="36"/>
        <v>4.9734809984556426E-3</v>
      </c>
      <c r="M78" s="67">
        <v>1.355</v>
      </c>
      <c r="N78" s="67">
        <v>1.355</v>
      </c>
      <c r="O78" s="35">
        <v>1495</v>
      </c>
      <c r="P78" s="57">
        <v>0.21249999999999999</v>
      </c>
      <c r="Q78" s="57">
        <v>0.1222</v>
      </c>
      <c r="R78" s="62">
        <f t="shared" ref="R78:R116" si="37">((K78-D78)/D78)</f>
        <v>6.5856818897041796E-3</v>
      </c>
      <c r="S78" s="62">
        <f t="shared" ref="S78:S116" si="38">((N78-G78)/G78)</f>
        <v>4.0755835494628093E-3</v>
      </c>
      <c r="T78" s="62">
        <f t="shared" ref="T78:T116" si="39">((O78-H78)/H78)</f>
        <v>3.3557046979865771E-3</v>
      </c>
      <c r="U78" s="63">
        <f t="shared" ref="U78:U116" si="40">P78-I78</f>
        <v>0.1429</v>
      </c>
      <c r="V78" s="64">
        <f t="shared" ref="V78:V116" si="41">Q78-J78</f>
        <v>1.2900000000000009E-2</v>
      </c>
    </row>
    <row r="79" spans="1:22">
      <c r="A79" s="157">
        <v>68</v>
      </c>
      <c r="B79" s="149" t="s">
        <v>131</v>
      </c>
      <c r="C79" s="148" t="s">
        <v>24</v>
      </c>
      <c r="D79" s="39">
        <v>670246954.13</v>
      </c>
      <c r="E79" s="34">
        <f>(D79/$D$116)</f>
        <v>2.7437121151239049E-3</v>
      </c>
      <c r="F79" s="67">
        <v>1.2017</v>
      </c>
      <c r="G79" s="67">
        <v>1.2017</v>
      </c>
      <c r="H79" s="35">
        <v>698</v>
      </c>
      <c r="I79" s="57">
        <v>0.12609999999999999</v>
      </c>
      <c r="J79" s="57">
        <v>0.1187</v>
      </c>
      <c r="K79" s="39">
        <v>672679880.79999995</v>
      </c>
      <c r="L79" s="34">
        <f t="shared" si="36"/>
        <v>2.7336677972142199E-3</v>
      </c>
      <c r="M79" s="67">
        <v>1.2045999999999999</v>
      </c>
      <c r="N79" s="67">
        <v>1.2045999999999999</v>
      </c>
      <c r="O79" s="35">
        <v>703</v>
      </c>
      <c r="P79" s="57">
        <v>0.1258</v>
      </c>
      <c r="Q79" s="57">
        <v>0.1198</v>
      </c>
      <c r="R79" s="62">
        <f t="shared" si="37"/>
        <v>3.6298958988302552E-3</v>
      </c>
      <c r="S79" s="62">
        <f t="shared" si="38"/>
        <v>2.4132478988099382E-3</v>
      </c>
      <c r="T79" s="62">
        <f t="shared" si="39"/>
        <v>7.1633237822349575E-3</v>
      </c>
      <c r="U79" s="63">
        <f t="shared" si="40"/>
        <v>-2.9999999999999472E-4</v>
      </c>
      <c r="V79" s="64">
        <f t="shared" si="41"/>
        <v>1.1000000000000038E-3</v>
      </c>
    </row>
    <row r="80" spans="1:22">
      <c r="A80" s="157">
        <v>69</v>
      </c>
      <c r="B80" s="149" t="s">
        <v>132</v>
      </c>
      <c r="C80" s="148" t="s">
        <v>64</v>
      </c>
      <c r="D80" s="39">
        <v>333778959.61000001</v>
      </c>
      <c r="E80" s="34">
        <f>(D80/$D$116)</f>
        <v>1.366352162605701E-3</v>
      </c>
      <c r="F80" s="38">
        <v>1297</v>
      </c>
      <c r="G80" s="38">
        <v>1297</v>
      </c>
      <c r="H80" s="35">
        <v>109</v>
      </c>
      <c r="I80" s="57">
        <v>-1E-3</v>
      </c>
      <c r="J80" s="57">
        <v>0.1867</v>
      </c>
      <c r="K80" s="39">
        <v>341606390.63999999</v>
      </c>
      <c r="L80" s="34">
        <f t="shared" si="36"/>
        <v>1.3882359441233184E-3</v>
      </c>
      <c r="M80" s="38">
        <v>1307.05</v>
      </c>
      <c r="N80" s="38">
        <v>1307.05</v>
      </c>
      <c r="O80" s="35">
        <v>109</v>
      </c>
      <c r="P80" s="57">
        <v>2.2700000000000001E-2</v>
      </c>
      <c r="Q80" s="57">
        <v>0.2203</v>
      </c>
      <c r="R80" s="62">
        <f t="shared" si="37"/>
        <v>2.3450942022067055E-2</v>
      </c>
      <c r="S80" s="62">
        <f t="shared" si="38"/>
        <v>7.7486507324594873E-3</v>
      </c>
      <c r="T80" s="62">
        <f t="shared" si="39"/>
        <v>0</v>
      </c>
      <c r="U80" s="63">
        <f t="shared" si="40"/>
        <v>2.3700000000000002E-2</v>
      </c>
      <c r="V80" s="64">
        <f t="shared" si="41"/>
        <v>3.3599999999999991E-2</v>
      </c>
    </row>
    <row r="81" spans="1:22" ht="15" customHeight="1">
      <c r="A81" s="157">
        <v>70</v>
      </c>
      <c r="B81" s="149" t="s">
        <v>133</v>
      </c>
      <c r="C81" s="148" t="s">
        <v>28</v>
      </c>
      <c r="D81" s="39">
        <v>1786407590.7</v>
      </c>
      <c r="E81" s="34">
        <f>(D81/$K$116)</f>
        <v>7.2596862828540115E-3</v>
      </c>
      <c r="F81" s="38">
        <v>1.1343000000000001</v>
      </c>
      <c r="G81" s="38">
        <v>1.1343000000000001</v>
      </c>
      <c r="H81" s="35">
        <v>1081</v>
      </c>
      <c r="I81" s="57">
        <v>8.3999999999999995E-3</v>
      </c>
      <c r="J81" s="57">
        <v>4.6699999999999998E-2</v>
      </c>
      <c r="K81" s="39">
        <v>1808451393.05</v>
      </c>
      <c r="L81" s="34">
        <f t="shared" si="36"/>
        <v>7.3492689124707673E-3</v>
      </c>
      <c r="M81" s="38">
        <v>1.1151</v>
      </c>
      <c r="N81" s="38">
        <v>1.1151</v>
      </c>
      <c r="O81" s="35">
        <v>1081</v>
      </c>
      <c r="P81" s="57">
        <v>-1.6899999999999998E-2</v>
      </c>
      <c r="Q81" s="57">
        <v>2.98E-2</v>
      </c>
      <c r="R81" s="62">
        <f t="shared" si="37"/>
        <v>1.233973840279199E-2</v>
      </c>
      <c r="S81" s="62">
        <f t="shared" si="38"/>
        <v>-1.6926738957947725E-2</v>
      </c>
      <c r="T81" s="62">
        <f t="shared" si="39"/>
        <v>0</v>
      </c>
      <c r="U81" s="63">
        <f t="shared" si="40"/>
        <v>-2.5299999999999996E-2</v>
      </c>
      <c r="V81" s="64">
        <f t="shared" si="41"/>
        <v>-1.6899999999999998E-2</v>
      </c>
    </row>
    <row r="82" spans="1:22">
      <c r="A82" s="157">
        <v>71</v>
      </c>
      <c r="B82" s="149" t="s">
        <v>134</v>
      </c>
      <c r="C82" s="148" t="s">
        <v>135</v>
      </c>
      <c r="D82" s="39">
        <v>490333925.31999999</v>
      </c>
      <c r="E82" s="34">
        <f t="shared" ref="E82:E100" si="42">(D82/$D$116)</f>
        <v>2.0072230437854477E-3</v>
      </c>
      <c r="F82" s="38">
        <v>2.7936999999999999</v>
      </c>
      <c r="G82" s="38">
        <v>2.7936999999999999</v>
      </c>
      <c r="H82" s="35">
        <v>1390</v>
      </c>
      <c r="I82" s="57">
        <v>0.1404</v>
      </c>
      <c r="J82" s="57">
        <v>0.14030000000000001</v>
      </c>
      <c r="K82" s="39">
        <v>491688380.19221401</v>
      </c>
      <c r="L82" s="34">
        <f t="shared" si="36"/>
        <v>1.998146116095164E-3</v>
      </c>
      <c r="M82" s="38">
        <v>2.8014000000000001</v>
      </c>
      <c r="N82" s="38">
        <v>2.8014000000000001</v>
      </c>
      <c r="O82" s="35">
        <v>1390</v>
      </c>
      <c r="P82" s="57">
        <v>0.14369999999999999</v>
      </c>
      <c r="Q82" s="57">
        <v>0.14099999999999999</v>
      </c>
      <c r="R82" s="62">
        <f t="shared" si="37"/>
        <v>2.7623111562800388E-3</v>
      </c>
      <c r="S82" s="62">
        <f t="shared" si="38"/>
        <v>2.7562014532699513E-3</v>
      </c>
      <c r="T82" s="62">
        <f t="shared" si="39"/>
        <v>0</v>
      </c>
      <c r="U82" s="63">
        <f t="shared" si="40"/>
        <v>3.2999999999999974E-3</v>
      </c>
      <c r="V82" s="64">
        <f t="shared" si="41"/>
        <v>6.9999999999997842E-4</v>
      </c>
    </row>
    <row r="83" spans="1:22">
      <c r="A83" s="157">
        <v>72</v>
      </c>
      <c r="B83" s="148" t="s">
        <v>136</v>
      </c>
      <c r="C83" s="148" t="s">
        <v>137</v>
      </c>
      <c r="D83" s="39">
        <v>1875116773.3299999</v>
      </c>
      <c r="E83" s="34">
        <f t="shared" si="42"/>
        <v>7.6759477630683757E-3</v>
      </c>
      <c r="F83" s="38">
        <v>1157.44</v>
      </c>
      <c r="G83" s="38">
        <v>1157.44</v>
      </c>
      <c r="H83" s="35">
        <v>273</v>
      </c>
      <c r="I83" s="57">
        <v>2.16E-3</v>
      </c>
      <c r="J83" s="57">
        <v>3.4340000000000002E-2</v>
      </c>
      <c r="K83" s="39">
        <v>1983601828.3599999</v>
      </c>
      <c r="L83" s="34">
        <f t="shared" si="36"/>
        <v>8.0610534006668056E-3</v>
      </c>
      <c r="M83" s="38">
        <v>1160.6199999999999</v>
      </c>
      <c r="N83" s="38">
        <v>1160.6199999999999</v>
      </c>
      <c r="O83" s="35">
        <v>287</v>
      </c>
      <c r="P83" s="57">
        <v>1.9E-3</v>
      </c>
      <c r="Q83" s="57">
        <v>3.7190000000000001E-2</v>
      </c>
      <c r="R83" s="62">
        <f t="shared" ref="R83" si="43">((K83-D83)/D83)</f>
        <v>5.7855092852346746E-2</v>
      </c>
      <c r="S83" s="62">
        <f t="shared" si="38"/>
        <v>2.7474426320153408E-3</v>
      </c>
      <c r="T83" s="62">
        <f t="shared" ref="T83" si="44">((O83-H83)/H83)</f>
        <v>5.128205128205128E-2</v>
      </c>
      <c r="U83" s="63">
        <f t="shared" si="40"/>
        <v>-2.6000000000000003E-4</v>
      </c>
      <c r="V83" s="64">
        <f t="shared" si="41"/>
        <v>2.8499999999999984E-3</v>
      </c>
    </row>
    <row r="84" spans="1:22">
      <c r="A84" s="157">
        <v>73</v>
      </c>
      <c r="B84" s="149" t="s">
        <v>138</v>
      </c>
      <c r="C84" s="148" t="s">
        <v>69</v>
      </c>
      <c r="D84" s="39">
        <v>240191249.52000001</v>
      </c>
      <c r="E84" s="34">
        <f t="shared" si="42"/>
        <v>9.8324302287981931E-4</v>
      </c>
      <c r="F84" s="38">
        <v>11.8546</v>
      </c>
      <c r="G84" s="38">
        <v>11.917999999999999</v>
      </c>
      <c r="H84" s="35">
        <v>46</v>
      </c>
      <c r="I84" s="57">
        <v>9.5600000000000008E-3</v>
      </c>
      <c r="J84" s="57">
        <v>0.2447</v>
      </c>
      <c r="K84" s="39">
        <v>212643367.18000001</v>
      </c>
      <c r="L84" s="34">
        <f t="shared" si="36"/>
        <v>8.6415000915419861E-4</v>
      </c>
      <c r="M84" s="38">
        <v>11.980399999999999</v>
      </c>
      <c r="N84" s="38">
        <v>12.0357</v>
      </c>
      <c r="O84" s="35">
        <v>46</v>
      </c>
      <c r="P84" s="57">
        <v>9.7999999999999997E-3</v>
      </c>
      <c r="Q84" s="57">
        <v>0.287997</v>
      </c>
      <c r="R84" s="62">
        <f t="shared" si="37"/>
        <v>-0.11469144856464129</v>
      </c>
      <c r="S84" s="62">
        <f t="shared" si="38"/>
        <v>9.8758180902836917E-3</v>
      </c>
      <c r="T84" s="62">
        <f t="shared" si="39"/>
        <v>0</v>
      </c>
      <c r="U84" s="63">
        <f t="shared" si="40"/>
        <v>2.3999999999999889E-4</v>
      </c>
      <c r="V84" s="64">
        <f t="shared" si="41"/>
        <v>4.3297000000000002E-2</v>
      </c>
    </row>
    <row r="85" spans="1:22">
      <c r="A85" s="157">
        <v>74</v>
      </c>
      <c r="B85" s="149" t="s">
        <v>139</v>
      </c>
      <c r="C85" s="148" t="s">
        <v>71</v>
      </c>
      <c r="D85" s="39">
        <v>2076574861.9420099</v>
      </c>
      <c r="E85" s="34">
        <f t="shared" si="42"/>
        <v>8.5006333435227524E-3</v>
      </c>
      <c r="F85" s="39">
        <v>4851.2611841225298</v>
      </c>
      <c r="G85" s="39">
        <v>4851.2611841225298</v>
      </c>
      <c r="H85" s="35">
        <v>1187</v>
      </c>
      <c r="I85" s="57">
        <v>0.1036</v>
      </c>
      <c r="J85" s="57">
        <v>0.14849999999999999</v>
      </c>
      <c r="K85" s="39">
        <v>2081331028.8836401</v>
      </c>
      <c r="L85" s="34">
        <f t="shared" si="36"/>
        <v>8.4582098727783855E-3</v>
      </c>
      <c r="M85" s="39">
        <v>4878.2374537329097</v>
      </c>
      <c r="N85" s="39">
        <v>4878.2374537329097</v>
      </c>
      <c r="O85" s="35">
        <v>1191</v>
      </c>
      <c r="P85" s="57">
        <v>0.28989999999999999</v>
      </c>
      <c r="Q85" s="57">
        <v>0.1663</v>
      </c>
      <c r="R85" s="62">
        <f t="shared" si="37"/>
        <v>2.2903903099270712E-3</v>
      </c>
      <c r="S85" s="62">
        <f t="shared" si="38"/>
        <v>5.5606714597575685E-3</v>
      </c>
      <c r="T85" s="62">
        <f t="shared" si="39"/>
        <v>3.3698399326032012E-3</v>
      </c>
      <c r="U85" s="63">
        <f t="shared" si="40"/>
        <v>0.18629999999999999</v>
      </c>
      <c r="V85" s="64">
        <f t="shared" si="41"/>
        <v>1.780000000000001E-2</v>
      </c>
    </row>
    <row r="86" spans="1:22">
      <c r="A86" s="157">
        <v>75</v>
      </c>
      <c r="B86" s="149" t="s">
        <v>140</v>
      </c>
      <c r="C86" s="148" t="s">
        <v>73</v>
      </c>
      <c r="D86" s="39">
        <v>377261833.00999999</v>
      </c>
      <c r="E86" s="34">
        <f t="shared" si="42"/>
        <v>1.5443529514385867E-3</v>
      </c>
      <c r="F86" s="67">
        <v>113.88</v>
      </c>
      <c r="G86" s="67">
        <v>113.88</v>
      </c>
      <c r="H86" s="35">
        <v>97</v>
      </c>
      <c r="I86" s="57">
        <v>2.3E-3</v>
      </c>
      <c r="J86" s="57">
        <v>0.1215</v>
      </c>
      <c r="K86" s="39">
        <v>380744977.74000001</v>
      </c>
      <c r="L86" s="34">
        <f t="shared" si="36"/>
        <v>1.5472891553721688E-3</v>
      </c>
      <c r="M86" s="67">
        <v>114.14</v>
      </c>
      <c r="N86" s="67">
        <v>114.14</v>
      </c>
      <c r="O86" s="35">
        <v>97</v>
      </c>
      <c r="P86" s="57">
        <v>2.3E-3</v>
      </c>
      <c r="Q86" s="57">
        <v>0.1215</v>
      </c>
      <c r="R86" s="62">
        <f t="shared" si="37"/>
        <v>9.2326984211723636E-3</v>
      </c>
      <c r="S86" s="62">
        <f t="shared" si="38"/>
        <v>2.2831050228310952E-3</v>
      </c>
      <c r="T86" s="62">
        <f t="shared" si="39"/>
        <v>0</v>
      </c>
      <c r="U86" s="63">
        <f t="shared" si="40"/>
        <v>0</v>
      </c>
      <c r="V86" s="64">
        <f t="shared" si="41"/>
        <v>0</v>
      </c>
    </row>
    <row r="87" spans="1:22" ht="13.5" customHeight="1">
      <c r="A87" s="157">
        <v>76</v>
      </c>
      <c r="B87" s="149" t="s">
        <v>141</v>
      </c>
      <c r="C87" s="148" t="s">
        <v>75</v>
      </c>
      <c r="D87" s="39">
        <v>1488963860.3599999</v>
      </c>
      <c r="E87" s="34">
        <f t="shared" si="42"/>
        <v>6.0951984301878884E-3</v>
      </c>
      <c r="F87" s="67">
        <v>1.544</v>
      </c>
      <c r="G87" s="67">
        <v>1.544</v>
      </c>
      <c r="H87" s="35">
        <v>2652</v>
      </c>
      <c r="I87" s="57">
        <v>1.15E-2</v>
      </c>
      <c r="J87" s="57">
        <v>7.5600000000000001E-2</v>
      </c>
      <c r="K87" s="39">
        <v>1501258009.02</v>
      </c>
      <c r="L87" s="34">
        <f t="shared" si="36"/>
        <v>6.1008821457350614E-3</v>
      </c>
      <c r="M87" s="67">
        <v>1.5583</v>
      </c>
      <c r="N87" s="67">
        <v>1.5583</v>
      </c>
      <c r="O87" s="35">
        <v>2523</v>
      </c>
      <c r="P87" s="57">
        <v>9.2999999999999992E-3</v>
      </c>
      <c r="Q87" s="57">
        <v>8.5199999999999998E-2</v>
      </c>
      <c r="R87" s="62">
        <f t="shared" si="37"/>
        <v>8.2568482602577205E-3</v>
      </c>
      <c r="S87" s="62">
        <f t="shared" si="38"/>
        <v>9.2616580310880686E-3</v>
      </c>
      <c r="T87" s="62">
        <f t="shared" si="39"/>
        <v>-4.8642533936651584E-2</v>
      </c>
      <c r="U87" s="63">
        <f t="shared" si="40"/>
        <v>-2.2000000000000006E-3</v>
      </c>
      <c r="V87" s="64">
        <f t="shared" si="41"/>
        <v>9.5999999999999974E-3</v>
      </c>
    </row>
    <row r="88" spans="1:22" ht="13.5" customHeight="1">
      <c r="A88" s="157">
        <v>77</v>
      </c>
      <c r="B88" s="149" t="s">
        <v>142</v>
      </c>
      <c r="C88" s="148" t="s">
        <v>75</v>
      </c>
      <c r="D88" s="39">
        <v>130536704.81999999</v>
      </c>
      <c r="E88" s="34">
        <f t="shared" si="42"/>
        <v>5.3436294827759829E-4</v>
      </c>
      <c r="F88" s="67">
        <v>1.0335000000000001</v>
      </c>
      <c r="G88" s="67">
        <v>1.0335000000000001</v>
      </c>
      <c r="H88" s="35">
        <v>96</v>
      </c>
      <c r="I88" s="57">
        <v>4.2700000000000002E-2</v>
      </c>
      <c r="J88" s="57">
        <v>1.9099999999999999E-2</v>
      </c>
      <c r="K88" s="39">
        <v>132775284.87</v>
      </c>
      <c r="L88" s="34">
        <f t="shared" si="36"/>
        <v>5.3957838025927099E-4</v>
      </c>
      <c r="M88" s="67">
        <v>1.0465</v>
      </c>
      <c r="N88" s="67">
        <v>1.0465</v>
      </c>
      <c r="O88" s="35">
        <v>96</v>
      </c>
      <c r="P88" s="57">
        <v>1.26E-2</v>
      </c>
      <c r="Q88" s="57">
        <v>5.5800000000000002E-2</v>
      </c>
      <c r="R88" s="62">
        <f t="shared" ref="R88" si="45">((K88-D88)/D88)</f>
        <v>1.714904672281134E-2</v>
      </c>
      <c r="S88" s="62">
        <f t="shared" ref="S88" si="46">((N88-G88)/G88)</f>
        <v>1.2578616352201161E-2</v>
      </c>
      <c r="T88" s="62">
        <f t="shared" ref="T88" si="47">((O88-H88)/H88)</f>
        <v>0</v>
      </c>
      <c r="U88" s="63">
        <f t="shared" ref="U88" si="48">P88-I88</f>
        <v>-3.0100000000000002E-2</v>
      </c>
      <c r="V88" s="64">
        <f t="shared" ref="V88" si="49">Q88-J88</f>
        <v>3.6700000000000003E-2</v>
      </c>
    </row>
    <row r="89" spans="1:22">
      <c r="A89" s="157">
        <v>78</v>
      </c>
      <c r="B89" s="149" t="s">
        <v>143</v>
      </c>
      <c r="C89" s="148" t="s">
        <v>30</v>
      </c>
      <c r="D89" s="39">
        <v>237641442.55000001</v>
      </c>
      <c r="E89" s="34">
        <f t="shared" si="42"/>
        <v>9.7280517421566943E-4</v>
      </c>
      <c r="F89" s="67">
        <v>143.15129999999999</v>
      </c>
      <c r="G89" s="67">
        <v>143.15129999999999</v>
      </c>
      <c r="H89" s="35">
        <v>419</v>
      </c>
      <c r="I89" s="57">
        <v>8.0500000000000005E-4</v>
      </c>
      <c r="J89" s="57">
        <v>4.1200000000000001E-2</v>
      </c>
      <c r="K89" s="39">
        <v>238356235.56999999</v>
      </c>
      <c r="L89" s="34">
        <f t="shared" si="36"/>
        <v>9.6864316005408266E-4</v>
      </c>
      <c r="M89" s="67">
        <v>143.68899999999999</v>
      </c>
      <c r="N89" s="67">
        <v>143.68899999999999</v>
      </c>
      <c r="O89" s="35">
        <v>425</v>
      </c>
      <c r="P89" s="57">
        <v>9.0499999999999999E-4</v>
      </c>
      <c r="Q89" s="57">
        <v>4.1799999999999997E-2</v>
      </c>
      <c r="R89" s="62">
        <f t="shared" si="37"/>
        <v>3.0078634952301628E-3</v>
      </c>
      <c r="S89" s="62">
        <f t="shared" si="38"/>
        <v>3.7561656792498635E-3</v>
      </c>
      <c r="T89" s="62">
        <f t="shared" si="39"/>
        <v>1.4319809069212411E-2</v>
      </c>
      <c r="U89" s="63">
        <f t="shared" si="40"/>
        <v>9.9999999999999937E-5</v>
      </c>
      <c r="V89" s="64">
        <f t="shared" si="41"/>
        <v>5.9999999999999637E-4</v>
      </c>
    </row>
    <row r="90" spans="1:22">
      <c r="A90" s="157">
        <v>79</v>
      </c>
      <c r="B90" s="149" t="s">
        <v>144</v>
      </c>
      <c r="C90" s="148" t="s">
        <v>77</v>
      </c>
      <c r="D90" s="39">
        <v>2685705845.5799999</v>
      </c>
      <c r="E90" s="34">
        <f t="shared" si="42"/>
        <v>1.0994162108117086E-2</v>
      </c>
      <c r="F90" s="38">
        <v>1320.843721</v>
      </c>
      <c r="G90" s="38">
        <v>1320.843721</v>
      </c>
      <c r="H90" s="35">
        <v>329</v>
      </c>
      <c r="I90" s="57">
        <v>1.9400000000000001E-2</v>
      </c>
      <c r="J90" s="57">
        <v>0.2364</v>
      </c>
      <c r="K90" s="39">
        <v>2687510144.0500002</v>
      </c>
      <c r="L90" s="34">
        <f t="shared" si="36"/>
        <v>1.0921628764545081E-2</v>
      </c>
      <c r="M90" s="38">
        <v>1324.5730249999999</v>
      </c>
      <c r="N90" s="38">
        <v>1324.5730249999999</v>
      </c>
      <c r="O90" s="35">
        <v>316</v>
      </c>
      <c r="P90" s="57">
        <v>1.9199999999999998E-2</v>
      </c>
      <c r="Q90" s="57">
        <v>0.22020000000000001</v>
      </c>
      <c r="R90" s="62">
        <f t="shared" si="37"/>
        <v>6.7181537135561258E-4</v>
      </c>
      <c r="S90" s="62">
        <f t="shared" si="38"/>
        <v>2.823425618570932E-3</v>
      </c>
      <c r="T90" s="62">
        <f t="shared" si="39"/>
        <v>-3.9513677811550151E-2</v>
      </c>
      <c r="U90" s="63">
        <f t="shared" si="40"/>
        <v>-2.0000000000000226E-4</v>
      </c>
      <c r="V90" s="64">
        <f t="shared" si="41"/>
        <v>-1.6199999999999992E-2</v>
      </c>
    </row>
    <row r="91" spans="1:22">
      <c r="A91" s="157">
        <v>80</v>
      </c>
      <c r="B91" s="149" t="s">
        <v>145</v>
      </c>
      <c r="C91" s="148" t="s">
        <v>79</v>
      </c>
      <c r="D91" s="39">
        <v>145727495.74000001</v>
      </c>
      <c r="E91" s="34">
        <f t="shared" si="42"/>
        <v>5.9654772484196033E-4</v>
      </c>
      <c r="F91" s="38">
        <v>988.75</v>
      </c>
      <c r="G91" s="38">
        <v>994.67</v>
      </c>
      <c r="H91" s="35">
        <v>70</v>
      </c>
      <c r="I91" s="57">
        <v>1.9E-3</v>
      </c>
      <c r="J91" s="57">
        <v>1.24E-2</v>
      </c>
      <c r="K91" s="39">
        <v>147454903.16</v>
      </c>
      <c r="L91" s="34">
        <f t="shared" si="36"/>
        <v>5.9923409606133318E-4</v>
      </c>
      <c r="M91" s="38">
        <v>999.45</v>
      </c>
      <c r="N91" s="38">
        <v>1006.2</v>
      </c>
      <c r="O91" s="35">
        <v>70</v>
      </c>
      <c r="P91" s="57">
        <v>1.1299999999999999E-2</v>
      </c>
      <c r="Q91" s="57">
        <v>2.3800000000000002E-2</v>
      </c>
      <c r="R91" s="62">
        <f t="shared" si="37"/>
        <v>1.1853682184190856E-2</v>
      </c>
      <c r="S91" s="62">
        <f t="shared" si="38"/>
        <v>1.1591784209838526E-2</v>
      </c>
      <c r="T91" s="62">
        <f t="shared" si="39"/>
        <v>0</v>
      </c>
      <c r="U91" s="63">
        <f t="shared" si="40"/>
        <v>9.3999999999999986E-3</v>
      </c>
      <c r="V91" s="64">
        <f t="shared" si="41"/>
        <v>1.1400000000000002E-2</v>
      </c>
    </row>
    <row r="92" spans="1:22">
      <c r="A92" s="157">
        <v>81</v>
      </c>
      <c r="B92" s="149" t="s">
        <v>146</v>
      </c>
      <c r="C92" s="148" t="s">
        <v>82</v>
      </c>
      <c r="D92" s="39">
        <v>732711129.96000004</v>
      </c>
      <c r="E92" s="34">
        <f t="shared" si="42"/>
        <v>2.9994144572680209E-3</v>
      </c>
      <c r="F92" s="68">
        <v>1.2160599999999999</v>
      </c>
      <c r="G92" s="68">
        <v>1.2160599999999999</v>
      </c>
      <c r="H92" s="35">
        <v>58</v>
      </c>
      <c r="I92" s="57">
        <v>0.13557</v>
      </c>
      <c r="J92" s="57">
        <v>0.1356</v>
      </c>
      <c r="K92" s="39">
        <v>735013558.94000006</v>
      </c>
      <c r="L92" s="34">
        <f t="shared" si="36"/>
        <v>2.9869822986239884E-3</v>
      </c>
      <c r="M92" s="68">
        <v>1.2181</v>
      </c>
      <c r="N92" s="68">
        <v>1.2181</v>
      </c>
      <c r="O92" s="35">
        <v>59</v>
      </c>
      <c r="P92" s="57">
        <v>0.13557</v>
      </c>
      <c r="Q92" s="57">
        <v>0.1356</v>
      </c>
      <c r="R92" s="62">
        <f t="shared" si="37"/>
        <v>3.1423420306522609E-3</v>
      </c>
      <c r="S92" s="62">
        <f t="shared" si="38"/>
        <v>1.6775488051576748E-3</v>
      </c>
      <c r="T92" s="62">
        <f t="shared" si="39"/>
        <v>1.7241379310344827E-2</v>
      </c>
      <c r="U92" s="63">
        <f t="shared" si="40"/>
        <v>0</v>
      </c>
      <c r="V92" s="64">
        <f t="shared" si="41"/>
        <v>0</v>
      </c>
    </row>
    <row r="93" spans="1:22">
      <c r="A93" s="157">
        <v>82</v>
      </c>
      <c r="B93" s="149" t="s">
        <v>147</v>
      </c>
      <c r="C93" s="148" t="s">
        <v>32</v>
      </c>
      <c r="D93" s="68">
        <v>11548550097.450001</v>
      </c>
      <c r="E93" s="34">
        <f t="shared" si="42"/>
        <v>4.7274958310878315E-2</v>
      </c>
      <c r="F93" s="68">
        <v>1683.64</v>
      </c>
      <c r="G93" s="68">
        <v>1683.64</v>
      </c>
      <c r="H93" s="35">
        <v>2038</v>
      </c>
      <c r="I93" s="57">
        <v>-1.1000000000000001E-3</v>
      </c>
      <c r="J93" s="57">
        <v>1.04E-2</v>
      </c>
      <c r="K93" s="68">
        <v>11540921828.34</v>
      </c>
      <c r="L93" s="34">
        <f t="shared" si="36"/>
        <v>4.6900535087773539E-2</v>
      </c>
      <c r="M93" s="68">
        <v>1685.54</v>
      </c>
      <c r="N93" s="68">
        <v>1685.54</v>
      </c>
      <c r="O93" s="35">
        <v>2029</v>
      </c>
      <c r="P93" s="57">
        <v>1.1000000000000001E-3</v>
      </c>
      <c r="Q93" s="57">
        <v>1.1599999999999999E-2</v>
      </c>
      <c r="R93" s="62">
        <f t="shared" si="37"/>
        <v>-6.6053911925142744E-4</v>
      </c>
      <c r="S93" s="62">
        <f t="shared" si="38"/>
        <v>1.1285072818416429E-3</v>
      </c>
      <c r="T93" s="62">
        <f t="shared" si="39"/>
        <v>-4.416094210009814E-3</v>
      </c>
      <c r="U93" s="63">
        <f t="shared" si="40"/>
        <v>2.2000000000000001E-3</v>
      </c>
      <c r="V93" s="64">
        <f t="shared" si="41"/>
        <v>1.1999999999999997E-3</v>
      </c>
    </row>
    <row r="94" spans="1:22">
      <c r="A94" s="157">
        <v>83</v>
      </c>
      <c r="B94" s="149" t="s">
        <v>148</v>
      </c>
      <c r="C94" s="148" t="s">
        <v>92</v>
      </c>
      <c r="D94" s="39">
        <v>24242353.829999998</v>
      </c>
      <c r="E94" s="34">
        <f t="shared" si="42"/>
        <v>9.9238108420542619E-5</v>
      </c>
      <c r="F94" s="67">
        <v>0.74060000000000004</v>
      </c>
      <c r="G94" s="67">
        <v>0.74060000000000004</v>
      </c>
      <c r="H94" s="35">
        <v>744</v>
      </c>
      <c r="I94" s="57">
        <v>2.3E-3</v>
      </c>
      <c r="J94" s="57">
        <v>1.54E-2</v>
      </c>
      <c r="K94" s="39">
        <v>24298085.859999999</v>
      </c>
      <c r="L94" s="34">
        <f t="shared" si="36"/>
        <v>9.8743691829214874E-5</v>
      </c>
      <c r="M94" s="67">
        <v>0.74229999999999996</v>
      </c>
      <c r="N94" s="67">
        <v>0.74229999999999996</v>
      </c>
      <c r="O94" s="35">
        <v>744</v>
      </c>
      <c r="P94" s="57">
        <v>2.3E-3</v>
      </c>
      <c r="Q94" s="57">
        <v>1.77E-2</v>
      </c>
      <c r="R94" s="62">
        <f t="shared" si="37"/>
        <v>2.2989529148375273E-3</v>
      </c>
      <c r="S94" s="62">
        <f t="shared" si="38"/>
        <v>2.2954361328651413E-3</v>
      </c>
      <c r="T94" s="62">
        <f t="shared" si="39"/>
        <v>0</v>
      </c>
      <c r="U94" s="63">
        <f t="shared" si="40"/>
        <v>0</v>
      </c>
      <c r="V94" s="64">
        <f t="shared" si="41"/>
        <v>2.3E-3</v>
      </c>
    </row>
    <row r="95" spans="1:22">
      <c r="A95" s="157">
        <v>84</v>
      </c>
      <c r="B95" s="149" t="s">
        <v>149</v>
      </c>
      <c r="C95" s="148" t="s">
        <v>38</v>
      </c>
      <c r="D95" s="39">
        <v>11768911414.790001</v>
      </c>
      <c r="E95" s="34">
        <f t="shared" si="42"/>
        <v>4.8177025843397309E-2</v>
      </c>
      <c r="F95" s="67">
        <v>1</v>
      </c>
      <c r="G95" s="67">
        <v>1</v>
      </c>
      <c r="H95" s="35">
        <v>5548</v>
      </c>
      <c r="I95" s="57">
        <v>0.06</v>
      </c>
      <c r="J95" s="57">
        <v>0.06</v>
      </c>
      <c r="K95" s="39">
        <v>11901946396.01</v>
      </c>
      <c r="L95" s="34">
        <f t="shared" si="36"/>
        <v>4.8367683523176344E-2</v>
      </c>
      <c r="M95" s="67">
        <v>1</v>
      </c>
      <c r="N95" s="67">
        <v>1</v>
      </c>
      <c r="O95" s="35">
        <v>5639</v>
      </c>
      <c r="P95" s="57">
        <v>0.06</v>
      </c>
      <c r="Q95" s="57">
        <v>0.06</v>
      </c>
      <c r="R95" s="62">
        <f t="shared" si="37"/>
        <v>1.1303932584012327E-2</v>
      </c>
      <c r="S95" s="62">
        <f t="shared" si="38"/>
        <v>0</v>
      </c>
      <c r="T95" s="62">
        <f t="shared" si="39"/>
        <v>1.6402307137707281E-2</v>
      </c>
      <c r="U95" s="63">
        <f t="shared" si="40"/>
        <v>0</v>
      </c>
      <c r="V95" s="64">
        <f t="shared" si="41"/>
        <v>0</v>
      </c>
    </row>
    <row r="96" spans="1:22">
      <c r="A96" s="157">
        <v>85</v>
      </c>
      <c r="B96" s="149" t="s">
        <v>150</v>
      </c>
      <c r="C96" s="148" t="s">
        <v>151</v>
      </c>
      <c r="D96" s="39">
        <v>1632859249.9400001</v>
      </c>
      <c r="E96" s="34">
        <f t="shared" si="42"/>
        <v>6.6842462748194125E-3</v>
      </c>
      <c r="F96" s="39">
        <v>274.69</v>
      </c>
      <c r="G96" s="39">
        <v>274.69</v>
      </c>
      <c r="H96" s="35">
        <v>562</v>
      </c>
      <c r="I96" s="57">
        <v>3.0000000000000001E-3</v>
      </c>
      <c r="J96" s="57">
        <v>0.16839999999999999</v>
      </c>
      <c r="K96" s="39">
        <v>1562944031.02</v>
      </c>
      <c r="L96" s="34">
        <f t="shared" si="36"/>
        <v>6.3515646719897517E-3</v>
      </c>
      <c r="M96" s="39">
        <v>275.47000000000003</v>
      </c>
      <c r="N96" s="39">
        <v>275.47000000000003</v>
      </c>
      <c r="O96" s="35">
        <v>562</v>
      </c>
      <c r="P96" s="57">
        <v>3.0000000000000001E-3</v>
      </c>
      <c r="Q96" s="57">
        <v>0.16789999999999999</v>
      </c>
      <c r="R96" s="62">
        <f t="shared" si="37"/>
        <v>-4.2817664120510773E-2</v>
      </c>
      <c r="S96" s="62">
        <f t="shared" si="38"/>
        <v>2.8395646000947596E-3</v>
      </c>
      <c r="T96" s="62">
        <f t="shared" si="39"/>
        <v>0</v>
      </c>
      <c r="U96" s="63">
        <f t="shared" si="40"/>
        <v>0</v>
      </c>
      <c r="V96" s="64">
        <f t="shared" si="41"/>
        <v>-5.0000000000000044E-4</v>
      </c>
    </row>
    <row r="97" spans="1:22">
      <c r="A97" s="157">
        <v>86</v>
      </c>
      <c r="B97" s="149" t="s">
        <v>152</v>
      </c>
      <c r="C97" s="148" t="s">
        <v>42</v>
      </c>
      <c r="D97" s="39">
        <v>1093628251.1099999</v>
      </c>
      <c r="E97" s="34">
        <f t="shared" si="42"/>
        <v>4.4768589600039915E-3</v>
      </c>
      <c r="F97" s="67">
        <v>3.71</v>
      </c>
      <c r="G97" s="67">
        <v>3.74</v>
      </c>
      <c r="H97" s="53">
        <v>800</v>
      </c>
      <c r="I97" s="60">
        <v>2.4199999999999999E-2</v>
      </c>
      <c r="J97" s="60">
        <v>0.19539999999999999</v>
      </c>
      <c r="K97" s="39">
        <v>1115713876.52</v>
      </c>
      <c r="L97" s="34">
        <f t="shared" si="36"/>
        <v>4.5340899619600557E-3</v>
      </c>
      <c r="M97" s="67">
        <v>3.76</v>
      </c>
      <c r="N97" s="67">
        <v>3.78</v>
      </c>
      <c r="O97" s="53">
        <v>802</v>
      </c>
      <c r="P97" s="60">
        <v>3.6600000000000001E-2</v>
      </c>
      <c r="Q97" s="60">
        <v>0.24990000000000001</v>
      </c>
      <c r="R97" s="62">
        <f t="shared" si="37"/>
        <v>2.0194819754869937E-2</v>
      </c>
      <c r="S97" s="62">
        <f t="shared" si="38"/>
        <v>1.0695187165775291E-2</v>
      </c>
      <c r="T97" s="62">
        <f t="shared" si="39"/>
        <v>2.5000000000000001E-3</v>
      </c>
      <c r="U97" s="63">
        <f t="shared" si="40"/>
        <v>1.2400000000000001E-2</v>
      </c>
      <c r="V97" s="64">
        <f t="shared" si="41"/>
        <v>5.4500000000000021E-2</v>
      </c>
    </row>
    <row r="98" spans="1:22">
      <c r="A98" s="157">
        <v>87</v>
      </c>
      <c r="B98" s="149" t="s">
        <v>153</v>
      </c>
      <c r="C98" s="148" t="s">
        <v>44</v>
      </c>
      <c r="D98" s="39">
        <v>761934510.09000003</v>
      </c>
      <c r="E98" s="34">
        <f t="shared" si="42"/>
        <v>3.1190428145675014E-3</v>
      </c>
      <c r="F98" s="67">
        <v>113.52</v>
      </c>
      <c r="G98" s="67">
        <v>113.52</v>
      </c>
      <c r="H98" s="53">
        <v>261</v>
      </c>
      <c r="I98" s="60">
        <v>0.1384</v>
      </c>
      <c r="J98" s="60">
        <v>0.16020000000000001</v>
      </c>
      <c r="K98" s="39">
        <v>745316512.00999999</v>
      </c>
      <c r="L98" s="34">
        <f t="shared" si="36"/>
        <v>3.0288519186729371E-3</v>
      </c>
      <c r="M98" s="67">
        <v>111.08928</v>
      </c>
      <c r="N98" s="67">
        <v>111.08928</v>
      </c>
      <c r="O98" s="53">
        <v>253</v>
      </c>
      <c r="P98" s="60">
        <v>0.1384</v>
      </c>
      <c r="Q98" s="60">
        <v>0.16020000000000001</v>
      </c>
      <c r="R98" s="62">
        <f t="shared" si="37"/>
        <v>-2.1810270909027492E-2</v>
      </c>
      <c r="S98" s="62">
        <f t="shared" si="38"/>
        <v>-2.1412262156448147E-2</v>
      </c>
      <c r="T98" s="62">
        <f t="shared" si="39"/>
        <v>-3.0651340996168581E-2</v>
      </c>
      <c r="U98" s="63">
        <f t="shared" si="40"/>
        <v>0</v>
      </c>
      <c r="V98" s="64">
        <f t="shared" si="41"/>
        <v>0</v>
      </c>
    </row>
    <row r="99" spans="1:22">
      <c r="A99" s="157">
        <v>88</v>
      </c>
      <c r="B99" s="148" t="s">
        <v>154</v>
      </c>
      <c r="C99" s="151" t="s">
        <v>48</v>
      </c>
      <c r="D99" s="39">
        <v>1129240055.6400001</v>
      </c>
      <c r="E99" s="34">
        <f t="shared" si="42"/>
        <v>4.6226388683322803E-3</v>
      </c>
      <c r="F99" s="67">
        <v>113.99</v>
      </c>
      <c r="G99" s="67">
        <v>114.6</v>
      </c>
      <c r="H99" s="35">
        <v>2735</v>
      </c>
      <c r="I99" s="57">
        <v>1.5299999999999999E-2</v>
      </c>
      <c r="J99" s="57">
        <v>3.9399999999999998E-2</v>
      </c>
      <c r="K99" s="39">
        <v>1149236803.9000001</v>
      </c>
      <c r="L99" s="34">
        <f t="shared" si="36"/>
        <v>4.6703219939602872E-3</v>
      </c>
      <c r="M99" s="67">
        <v>115.91</v>
      </c>
      <c r="N99" s="67">
        <v>116.57</v>
      </c>
      <c r="O99" s="35">
        <v>2735</v>
      </c>
      <c r="P99" s="57">
        <v>1.7500000000000002E-2</v>
      </c>
      <c r="Q99" s="57">
        <v>5.0799999999999998E-2</v>
      </c>
      <c r="R99" s="62">
        <f t="shared" si="37"/>
        <v>1.7708146430093444E-2</v>
      </c>
      <c r="S99" s="62">
        <f t="shared" si="38"/>
        <v>1.7190226876090741E-2</v>
      </c>
      <c r="T99" s="62">
        <f t="shared" si="39"/>
        <v>0</v>
      </c>
      <c r="U99" s="63">
        <f t="shared" si="40"/>
        <v>2.2000000000000023E-3</v>
      </c>
      <c r="V99" s="64">
        <f t="shared" si="41"/>
        <v>1.14E-2</v>
      </c>
    </row>
    <row r="100" spans="1:22">
      <c r="A100" s="157">
        <v>89</v>
      </c>
      <c r="B100" s="149" t="s">
        <v>155</v>
      </c>
      <c r="C100" s="148" t="s">
        <v>20</v>
      </c>
      <c r="D100" s="141">
        <v>1666854708.3699999</v>
      </c>
      <c r="E100" s="143">
        <f t="shared" si="42"/>
        <v>6.8234095348369888E-3</v>
      </c>
      <c r="F100" s="144">
        <v>395.66849999999999</v>
      </c>
      <c r="G100" s="144">
        <v>395.66849999999999</v>
      </c>
      <c r="H100" s="37">
        <v>89</v>
      </c>
      <c r="I100" s="58">
        <v>3.3999999999999998E-3</v>
      </c>
      <c r="J100" s="58">
        <v>2.9499999999999998E-2</v>
      </c>
      <c r="K100" s="141">
        <v>1668667905.2</v>
      </c>
      <c r="L100" s="143">
        <f t="shared" si="36"/>
        <v>6.7812102708723551E-3</v>
      </c>
      <c r="M100" s="144">
        <v>397.09730000000002</v>
      </c>
      <c r="N100" s="144">
        <v>397.09730000000002</v>
      </c>
      <c r="O100" s="37">
        <v>89</v>
      </c>
      <c r="P100" s="58">
        <v>3.5999999999999999E-3</v>
      </c>
      <c r="Q100" s="58">
        <v>3.3099999999999997E-2</v>
      </c>
      <c r="R100" s="63">
        <f t="shared" si="37"/>
        <v>1.0877953674638318E-3</v>
      </c>
      <c r="S100" s="63">
        <f t="shared" si="38"/>
        <v>3.6111037396204747E-3</v>
      </c>
      <c r="T100" s="63">
        <f t="shared" si="39"/>
        <v>0</v>
      </c>
      <c r="U100" s="63">
        <f t="shared" si="40"/>
        <v>2.0000000000000009E-4</v>
      </c>
      <c r="V100" s="64">
        <f t="shared" si="41"/>
        <v>3.599999999999999E-3</v>
      </c>
    </row>
    <row r="101" spans="1:22">
      <c r="A101" s="157">
        <v>90</v>
      </c>
      <c r="B101" s="149" t="s">
        <v>156</v>
      </c>
      <c r="C101" s="148" t="s">
        <v>104</v>
      </c>
      <c r="D101" s="51">
        <v>3524231420</v>
      </c>
      <c r="E101" s="34">
        <f>(D101/$K$74)</f>
        <v>6.6608452666810502E-4</v>
      </c>
      <c r="F101" s="67">
        <v>104.17</v>
      </c>
      <c r="G101" s="67">
        <v>104.17</v>
      </c>
      <c r="H101" s="35">
        <v>438</v>
      </c>
      <c r="I101" s="57">
        <v>8.3000000000000001E-3</v>
      </c>
      <c r="J101" s="57">
        <v>0.22109999999999999</v>
      </c>
      <c r="K101" s="51">
        <v>5037264687</v>
      </c>
      <c r="L101" s="34">
        <f t="shared" ref="L101:L115" si="50">(K101/$K$116)</f>
        <v>2.0470670602664276E-2</v>
      </c>
      <c r="M101" s="67">
        <v>104.92</v>
      </c>
      <c r="N101" s="67">
        <v>104.92</v>
      </c>
      <c r="O101" s="35">
        <v>465</v>
      </c>
      <c r="P101" s="57">
        <v>7.1999999999999998E-3</v>
      </c>
      <c r="Q101" s="57">
        <v>0.2429</v>
      </c>
      <c r="R101" s="62">
        <f t="shared" si="37"/>
        <v>0.42932290382905675</v>
      </c>
      <c r="S101" s="62">
        <f t="shared" si="38"/>
        <v>7.1997696073725637E-3</v>
      </c>
      <c r="T101" s="62">
        <f t="shared" si="39"/>
        <v>6.1643835616438353E-2</v>
      </c>
      <c r="U101" s="63">
        <f t="shared" si="40"/>
        <v>-1.1000000000000003E-3</v>
      </c>
      <c r="V101" s="64">
        <f t="shared" si="41"/>
        <v>2.1800000000000014E-2</v>
      </c>
    </row>
    <row r="102" spans="1:22">
      <c r="A102" s="157">
        <v>91</v>
      </c>
      <c r="B102" s="149" t="s">
        <v>157</v>
      </c>
      <c r="C102" s="148" t="s">
        <v>46</v>
      </c>
      <c r="D102" s="39">
        <v>60778126.759999998</v>
      </c>
      <c r="E102" s="34">
        <f t="shared" ref="E102:E115" si="51">(D102/$D$116)</f>
        <v>2.4880035888026484E-4</v>
      </c>
      <c r="F102" s="39">
        <v>12.409058999999999</v>
      </c>
      <c r="G102" s="39">
        <v>13.025116000000001</v>
      </c>
      <c r="H102" s="35">
        <v>55</v>
      </c>
      <c r="I102" s="57">
        <v>-5.5999999999999999E-3</v>
      </c>
      <c r="J102" s="57">
        <v>-4.3499999999999997E-2</v>
      </c>
      <c r="K102" s="39">
        <v>61199216.640000001</v>
      </c>
      <c r="L102" s="34">
        <f t="shared" si="50"/>
        <v>2.4870422398324339E-4</v>
      </c>
      <c r="M102" s="39">
        <v>12.495032999999999</v>
      </c>
      <c r="N102" s="39">
        <v>13.12</v>
      </c>
      <c r="O102" s="35">
        <v>55</v>
      </c>
      <c r="P102" s="57">
        <v>-8.5000000000000006E-3</v>
      </c>
      <c r="Q102" s="57">
        <v>-5.1999999999999998E-2</v>
      </c>
      <c r="R102" s="62">
        <f t="shared" si="37"/>
        <v>6.9283129054437268E-3</v>
      </c>
      <c r="S102" s="62">
        <f t="shared" si="38"/>
        <v>7.2846951996434145E-3</v>
      </c>
      <c r="T102" s="62">
        <f t="shared" si="39"/>
        <v>0</v>
      </c>
      <c r="U102" s="63">
        <f t="shared" si="40"/>
        <v>-2.9000000000000007E-3</v>
      </c>
      <c r="V102" s="64">
        <f t="shared" si="41"/>
        <v>-8.5000000000000006E-3</v>
      </c>
    </row>
    <row r="103" spans="1:22">
      <c r="A103" s="157">
        <v>92</v>
      </c>
      <c r="B103" s="149" t="s">
        <v>158</v>
      </c>
      <c r="C103" s="148" t="s">
        <v>159</v>
      </c>
      <c r="D103" s="39">
        <v>936501040.88</v>
      </c>
      <c r="E103" s="34">
        <f t="shared" si="51"/>
        <v>3.8336455478919333E-3</v>
      </c>
      <c r="F103" s="39">
        <v>159.78</v>
      </c>
      <c r="G103" s="39">
        <v>159.78</v>
      </c>
      <c r="H103" s="35">
        <v>183</v>
      </c>
      <c r="I103" s="57">
        <v>0.19620000000000001</v>
      </c>
      <c r="J103" s="57">
        <v>0.19639999999999999</v>
      </c>
      <c r="K103" s="39">
        <v>944830512.69000006</v>
      </c>
      <c r="L103" s="34">
        <f t="shared" si="50"/>
        <v>3.8396461973774776E-3</v>
      </c>
      <c r="M103" s="39">
        <v>160.56</v>
      </c>
      <c r="N103" s="39">
        <v>160.56</v>
      </c>
      <c r="O103" s="35">
        <v>184</v>
      </c>
      <c r="P103" s="57">
        <v>0.33460000000000001</v>
      </c>
      <c r="Q103" s="57">
        <v>0.20710000000000001</v>
      </c>
      <c r="R103" s="62">
        <f t="shared" si="37"/>
        <v>8.8942472527025959E-3</v>
      </c>
      <c r="S103" s="62">
        <f t="shared" si="38"/>
        <v>4.8817123544874271E-3</v>
      </c>
      <c r="T103" s="62">
        <f t="shared" si="39"/>
        <v>5.4644808743169399E-3</v>
      </c>
      <c r="U103" s="63">
        <f t="shared" si="40"/>
        <v>0.1384</v>
      </c>
      <c r="V103" s="64">
        <f t="shared" si="41"/>
        <v>1.0700000000000015E-2</v>
      </c>
    </row>
    <row r="104" spans="1:22">
      <c r="A104" s="157">
        <v>93</v>
      </c>
      <c r="B104" s="149" t="s">
        <v>160</v>
      </c>
      <c r="C104" s="148" t="s">
        <v>161</v>
      </c>
      <c r="D104" s="39">
        <v>10541843666.5602</v>
      </c>
      <c r="E104" s="34">
        <f t="shared" si="51"/>
        <v>4.3153921111401899E-2</v>
      </c>
      <c r="F104" s="39">
        <v>1.02202469549506</v>
      </c>
      <c r="G104" s="39">
        <v>1.02202469549506</v>
      </c>
      <c r="H104" s="35">
        <v>5286</v>
      </c>
      <c r="I104" s="57">
        <v>0.16139999999999999</v>
      </c>
      <c r="J104" s="57">
        <v>0.16139999999999999</v>
      </c>
      <c r="K104" s="39">
        <v>10913717839.6684</v>
      </c>
      <c r="L104" s="34">
        <f t="shared" si="50"/>
        <v>4.4351674336836885E-2</v>
      </c>
      <c r="M104" s="39">
        <v>1.02202469549506</v>
      </c>
      <c r="N104" s="39">
        <v>1.02202469549506</v>
      </c>
      <c r="O104" s="35">
        <v>5280</v>
      </c>
      <c r="P104" s="57">
        <v>0.16109999999999999</v>
      </c>
      <c r="Q104" s="57">
        <v>0.16109999999999999</v>
      </c>
      <c r="R104" s="62">
        <f t="shared" si="37"/>
        <v>3.5276009099605869E-2</v>
      </c>
      <c r="S104" s="62">
        <f t="shared" si="38"/>
        <v>0</v>
      </c>
      <c r="T104" s="62">
        <f t="shared" si="39"/>
        <v>-1.1350737797956867E-3</v>
      </c>
      <c r="U104" s="63">
        <f t="shared" si="40"/>
        <v>-2.9999999999999472E-4</v>
      </c>
      <c r="V104" s="64">
        <f t="shared" si="41"/>
        <v>-2.9999999999999472E-4</v>
      </c>
    </row>
    <row r="105" spans="1:22" ht="14.25" customHeight="1">
      <c r="A105" s="157">
        <v>94</v>
      </c>
      <c r="B105" s="149" t="s">
        <v>162</v>
      </c>
      <c r="C105" s="148" t="s">
        <v>50</v>
      </c>
      <c r="D105" s="39">
        <v>4840283585.1400003</v>
      </c>
      <c r="E105" s="34">
        <f t="shared" si="51"/>
        <v>1.9814106772663011E-2</v>
      </c>
      <c r="F105" s="39">
        <v>5176.1000000000004</v>
      </c>
      <c r="G105" s="39">
        <v>5176.1000000000004</v>
      </c>
      <c r="H105" s="35">
        <v>10</v>
      </c>
      <c r="I105" s="57">
        <v>0</v>
      </c>
      <c r="J105" s="57">
        <v>0</v>
      </c>
      <c r="K105" s="39">
        <v>4842872357.1300001</v>
      </c>
      <c r="L105" s="34">
        <f t="shared" si="50"/>
        <v>1.9680690008092191E-2</v>
      </c>
      <c r="M105" s="39">
        <v>5178.87</v>
      </c>
      <c r="N105" s="39">
        <v>5178.87</v>
      </c>
      <c r="O105" s="35">
        <v>10</v>
      </c>
      <c r="P105" s="57">
        <v>5.0000000000000001E-4</v>
      </c>
      <c r="Q105" s="57">
        <v>5.0000000000000001E-4</v>
      </c>
      <c r="R105" s="62">
        <f t="shared" si="37"/>
        <v>5.3483890860185905E-4</v>
      </c>
      <c r="S105" s="62">
        <f t="shared" si="38"/>
        <v>5.3515194837803115E-4</v>
      </c>
      <c r="T105" s="62">
        <f t="shared" si="39"/>
        <v>0</v>
      </c>
      <c r="U105" s="63">
        <f t="shared" si="40"/>
        <v>5.0000000000000001E-4</v>
      </c>
      <c r="V105" s="64">
        <f t="shared" si="41"/>
        <v>5.0000000000000001E-4</v>
      </c>
    </row>
    <row r="106" spans="1:22" ht="13.5" customHeight="1">
      <c r="A106" s="157">
        <v>95</v>
      </c>
      <c r="B106" s="149" t="s">
        <v>163</v>
      </c>
      <c r="C106" s="148" t="s">
        <v>50</v>
      </c>
      <c r="D106" s="39">
        <v>15484290507.77</v>
      </c>
      <c r="E106" s="34">
        <f t="shared" si="51"/>
        <v>6.3386241740423371E-2</v>
      </c>
      <c r="F106" s="67">
        <v>259.24</v>
      </c>
      <c r="G106" s="67">
        <v>259.24</v>
      </c>
      <c r="H106" s="35">
        <v>5978</v>
      </c>
      <c r="I106" s="57">
        <v>0</v>
      </c>
      <c r="J106" s="57">
        <v>0</v>
      </c>
      <c r="K106" s="39">
        <v>15465111130.34</v>
      </c>
      <c r="L106" s="34">
        <f t="shared" si="50"/>
        <v>6.2847838153077207E-2</v>
      </c>
      <c r="M106" s="67">
        <v>259.24</v>
      </c>
      <c r="N106" s="67">
        <v>259.24</v>
      </c>
      <c r="O106" s="35">
        <v>5969</v>
      </c>
      <c r="P106" s="57">
        <v>0</v>
      </c>
      <c r="Q106" s="57">
        <v>0</v>
      </c>
      <c r="R106" s="62">
        <f t="shared" si="37"/>
        <v>-1.2386345645204805E-3</v>
      </c>
      <c r="S106" s="62">
        <f t="shared" si="38"/>
        <v>0</v>
      </c>
      <c r="T106" s="62">
        <f t="shared" si="39"/>
        <v>-1.5055202408832385E-3</v>
      </c>
      <c r="U106" s="63">
        <f t="shared" si="40"/>
        <v>0</v>
      </c>
      <c r="V106" s="64">
        <f t="shared" si="41"/>
        <v>0</v>
      </c>
    </row>
    <row r="107" spans="1:22" ht="13.5" customHeight="1">
      <c r="A107" s="157">
        <v>96</v>
      </c>
      <c r="B107" s="149" t="s">
        <v>164</v>
      </c>
      <c r="C107" s="148" t="s">
        <v>50</v>
      </c>
      <c r="D107" s="39">
        <v>933821909.64999998</v>
      </c>
      <c r="E107" s="34">
        <f t="shared" si="51"/>
        <v>3.8226782995240548E-3</v>
      </c>
      <c r="F107" s="38">
        <v>10223.450000000001</v>
      </c>
      <c r="G107" s="38">
        <v>10264.48</v>
      </c>
      <c r="H107" s="35">
        <v>25</v>
      </c>
      <c r="I107" s="57">
        <v>2.7E-2</v>
      </c>
      <c r="J107" s="57">
        <v>8.9200000000000002E-2</v>
      </c>
      <c r="K107" s="39">
        <v>961672588.16999996</v>
      </c>
      <c r="L107" s="34">
        <f t="shared" si="50"/>
        <v>3.9080898073204006E-3</v>
      </c>
      <c r="M107" s="38">
        <v>10310.719999999999</v>
      </c>
      <c r="N107" s="38">
        <v>10350.98</v>
      </c>
      <c r="O107" s="35">
        <v>27</v>
      </c>
      <c r="P107" s="57">
        <v>8.3999999999999995E-3</v>
      </c>
      <c r="Q107" s="57">
        <v>9.8400000000000001E-2</v>
      </c>
      <c r="R107" s="62">
        <f t="shared" si="37"/>
        <v>2.9824400383193537E-2</v>
      </c>
      <c r="S107" s="62">
        <f t="shared" si="38"/>
        <v>8.4271195423440848E-3</v>
      </c>
      <c r="T107" s="62">
        <f t="shared" si="39"/>
        <v>0.08</v>
      </c>
      <c r="U107" s="63">
        <f t="shared" si="40"/>
        <v>-1.8599999999999998E-2</v>
      </c>
      <c r="V107" s="64">
        <f t="shared" si="41"/>
        <v>9.1999999999999998E-3</v>
      </c>
    </row>
    <row r="108" spans="1:22" ht="15" customHeight="1">
      <c r="A108" s="157">
        <v>97</v>
      </c>
      <c r="B108" s="149" t="s">
        <v>165</v>
      </c>
      <c r="C108" s="148" t="s">
        <v>50</v>
      </c>
      <c r="D108" s="39">
        <v>6845573406.5100002</v>
      </c>
      <c r="E108" s="34">
        <f t="shared" si="51"/>
        <v>2.8022928824482991E-2</v>
      </c>
      <c r="F108" s="67">
        <v>164.85</v>
      </c>
      <c r="G108" s="67">
        <v>164.85</v>
      </c>
      <c r="H108" s="35">
        <v>5760</v>
      </c>
      <c r="I108" s="57">
        <v>3.0000000000000001E-3</v>
      </c>
      <c r="J108" s="57">
        <v>2.12E-2</v>
      </c>
      <c r="K108" s="39">
        <v>6859326169.2600002</v>
      </c>
      <c r="L108" s="34">
        <f t="shared" si="50"/>
        <v>2.7875248828900075E-2</v>
      </c>
      <c r="M108" s="67">
        <v>165.35</v>
      </c>
      <c r="N108" s="67">
        <v>165.35</v>
      </c>
      <c r="O108" s="35">
        <v>5791</v>
      </c>
      <c r="P108" s="57">
        <v>3.0000000000000001E-3</v>
      </c>
      <c r="Q108" s="57">
        <v>2.4299999999999999E-2</v>
      </c>
      <c r="R108" s="62">
        <f t="shared" si="37"/>
        <v>2.0090008438038813E-3</v>
      </c>
      <c r="S108" s="62">
        <f t="shared" si="38"/>
        <v>3.0330603579011226E-3</v>
      </c>
      <c r="T108" s="62">
        <f t="shared" si="39"/>
        <v>5.3819444444444444E-3</v>
      </c>
      <c r="U108" s="63">
        <f t="shared" si="40"/>
        <v>0</v>
      </c>
      <c r="V108" s="64">
        <f t="shared" si="41"/>
        <v>3.0999999999999986E-3</v>
      </c>
    </row>
    <row r="109" spans="1:22" ht="15" customHeight="1">
      <c r="A109" s="157">
        <v>98</v>
      </c>
      <c r="B109" s="149" t="s">
        <v>166</v>
      </c>
      <c r="C109" s="148" t="s">
        <v>50</v>
      </c>
      <c r="D109" s="39">
        <v>5645087398.5</v>
      </c>
      <c r="E109" s="34">
        <f t="shared" si="51"/>
        <v>2.3108638675280894E-2</v>
      </c>
      <c r="F109" s="67">
        <v>388.08</v>
      </c>
      <c r="G109" s="67">
        <v>388.08</v>
      </c>
      <c r="H109" s="35">
        <v>11444</v>
      </c>
      <c r="I109" s="57">
        <v>0</v>
      </c>
      <c r="J109" s="57">
        <v>7.4000000000000003E-3</v>
      </c>
      <c r="K109" s="39">
        <v>5648698742.9899998</v>
      </c>
      <c r="L109" s="34">
        <f t="shared" si="50"/>
        <v>2.2955444767445477E-2</v>
      </c>
      <c r="M109" s="67">
        <v>388.08</v>
      </c>
      <c r="N109" s="67">
        <v>388.08</v>
      </c>
      <c r="O109" s="35">
        <v>11484</v>
      </c>
      <c r="P109" s="57">
        <v>0</v>
      </c>
      <c r="Q109" s="57">
        <v>7.4000000000000003E-3</v>
      </c>
      <c r="R109" s="62">
        <f t="shared" si="37"/>
        <v>6.3973225480253319E-4</v>
      </c>
      <c r="S109" s="62">
        <f t="shared" si="38"/>
        <v>0</v>
      </c>
      <c r="T109" s="62">
        <f t="shared" si="39"/>
        <v>3.495281370150297E-3</v>
      </c>
      <c r="U109" s="63">
        <f t="shared" si="40"/>
        <v>0</v>
      </c>
      <c r="V109" s="64">
        <f t="shared" si="41"/>
        <v>0</v>
      </c>
    </row>
    <row r="110" spans="1:22" ht="15" customHeight="1">
      <c r="A110" s="157">
        <v>99</v>
      </c>
      <c r="B110" s="149" t="s">
        <v>167</v>
      </c>
      <c r="C110" s="148" t="s">
        <v>118</v>
      </c>
      <c r="D110" s="39">
        <v>116108726.54000001</v>
      </c>
      <c r="E110" s="34">
        <f t="shared" si="51"/>
        <v>4.7530080922623242E-4</v>
      </c>
      <c r="F110" s="67">
        <v>116.42959999999999</v>
      </c>
      <c r="G110" s="67">
        <v>116.42959999999999</v>
      </c>
      <c r="H110" s="35">
        <v>27</v>
      </c>
      <c r="I110" s="57">
        <v>3.8E-3</v>
      </c>
      <c r="J110" s="57">
        <v>0.38719999999999999</v>
      </c>
      <c r="K110" s="39">
        <v>117443534.91</v>
      </c>
      <c r="L110" s="34">
        <f t="shared" si="50"/>
        <v>4.772725014350854E-4</v>
      </c>
      <c r="M110" s="67">
        <v>117.59520000000001</v>
      </c>
      <c r="N110" s="67">
        <v>117.59520000000001</v>
      </c>
      <c r="O110" s="35">
        <v>27</v>
      </c>
      <c r="P110" s="57">
        <v>1.23E-2</v>
      </c>
      <c r="Q110" s="57">
        <v>0.24340000000000001</v>
      </c>
      <c r="R110" s="62">
        <f t="shared" ref="R110" si="52">((K110-D110)/D110)</f>
        <v>1.1496193350636242E-2</v>
      </c>
      <c r="S110" s="62">
        <f t="shared" ref="S110" si="53">((N110-G110)/G110)</f>
        <v>1.0011199901056192E-2</v>
      </c>
      <c r="T110" s="62">
        <f t="shared" ref="T110" si="54">((O110-H110)/H110)</f>
        <v>0</v>
      </c>
      <c r="U110" s="63">
        <f t="shared" ref="U110" si="55">P110-I110</f>
        <v>8.5000000000000006E-3</v>
      </c>
      <c r="V110" s="64">
        <f t="shared" ref="V110" si="56">Q110-J110</f>
        <v>-0.14379999999999998</v>
      </c>
    </row>
    <row r="111" spans="1:22">
      <c r="A111" s="157">
        <v>100</v>
      </c>
      <c r="B111" s="149" t="s">
        <v>168</v>
      </c>
      <c r="C111" s="148" t="s">
        <v>53</v>
      </c>
      <c r="D111" s="39">
        <v>80602198942.179993</v>
      </c>
      <c r="E111" s="34">
        <f t="shared" si="51"/>
        <v>0.32995186084858014</v>
      </c>
      <c r="F111" s="39">
        <v>1.9999</v>
      </c>
      <c r="G111" s="39">
        <v>1.9999</v>
      </c>
      <c r="H111" s="35">
        <v>6929</v>
      </c>
      <c r="I111" s="57">
        <v>1.5E-3</v>
      </c>
      <c r="J111" s="57">
        <v>8.2799999999999999E-2</v>
      </c>
      <c r="K111" s="39">
        <v>79732370504.610001</v>
      </c>
      <c r="L111" s="34">
        <f t="shared" si="50"/>
        <v>0.32402011694595234</v>
      </c>
      <c r="M111" s="39">
        <v>2.0030999999999999</v>
      </c>
      <c r="N111" s="39">
        <v>2.0030999999999999</v>
      </c>
      <c r="O111" s="35">
        <v>6941</v>
      </c>
      <c r="P111" s="57">
        <v>9.0499999999999997E-2</v>
      </c>
      <c r="Q111" s="57">
        <v>8.3400000000000002E-2</v>
      </c>
      <c r="R111" s="62">
        <f t="shared" si="37"/>
        <v>-1.0791621680122694E-2</v>
      </c>
      <c r="S111" s="62">
        <f t="shared" si="38"/>
        <v>1.6000800040001349E-3</v>
      </c>
      <c r="T111" s="62">
        <f t="shared" si="39"/>
        <v>1.7318516380430077E-3</v>
      </c>
      <c r="U111" s="63">
        <f t="shared" si="40"/>
        <v>8.8999999999999996E-2</v>
      </c>
      <c r="V111" s="64">
        <f t="shared" si="41"/>
        <v>6.0000000000000331E-4</v>
      </c>
    </row>
    <row r="112" spans="1:22">
      <c r="A112" s="157">
        <v>101</v>
      </c>
      <c r="B112" s="149" t="s">
        <v>169</v>
      </c>
      <c r="C112" s="148" t="s">
        <v>53</v>
      </c>
      <c r="D112" s="39">
        <v>67273037365.18</v>
      </c>
      <c r="E112" s="34">
        <f t="shared" si="51"/>
        <v>0.27538782012014495</v>
      </c>
      <c r="F112" s="39">
        <v>131.67930000000001</v>
      </c>
      <c r="G112" s="39">
        <v>131.67930000000001</v>
      </c>
      <c r="H112" s="35">
        <v>1375</v>
      </c>
      <c r="I112" s="57">
        <v>2.8E-3</v>
      </c>
      <c r="J112" s="57">
        <v>0.15970000000000001</v>
      </c>
      <c r="K112" s="39">
        <v>67743627291.040001</v>
      </c>
      <c r="L112" s="34">
        <f t="shared" si="50"/>
        <v>0.27529970447720048</v>
      </c>
      <c r="M112" s="39">
        <v>132.0488</v>
      </c>
      <c r="N112" s="39">
        <v>132.0488</v>
      </c>
      <c r="O112" s="35">
        <v>1396</v>
      </c>
      <c r="P112" s="57">
        <v>0.1593</v>
      </c>
      <c r="Q112" s="57">
        <v>0.15939999999999999</v>
      </c>
      <c r="R112" s="62">
        <f t="shared" ref="R112:R114" si="57">((K112-D112)/D112)</f>
        <v>6.9952234103164528E-3</v>
      </c>
      <c r="S112" s="62">
        <f t="shared" ref="S112:S114" si="58">((N112-G112)/G112)</f>
        <v>2.8060598742550113E-3</v>
      </c>
      <c r="T112" s="62">
        <f t="shared" ref="T112:T114" si="59">((O112-H112)/H112)</f>
        <v>1.5272727272727273E-2</v>
      </c>
      <c r="U112" s="63">
        <f t="shared" ref="U112:U114" si="60">P112-I112</f>
        <v>0.1565</v>
      </c>
      <c r="V112" s="64">
        <f t="shared" ref="V112:V114" si="61">Q112-J112</f>
        <v>-3.0000000000002247E-4</v>
      </c>
    </row>
    <row r="113" spans="1:28">
      <c r="A113" s="157">
        <v>102</v>
      </c>
      <c r="B113" s="149" t="s">
        <v>170</v>
      </c>
      <c r="C113" s="149" t="s">
        <v>171</v>
      </c>
      <c r="D113" s="39">
        <v>116491809.84</v>
      </c>
      <c r="E113" s="34">
        <f t="shared" si="51"/>
        <v>4.7686899284099564E-4</v>
      </c>
      <c r="F113" s="39">
        <v>117.57</v>
      </c>
      <c r="G113" s="39">
        <v>117.57</v>
      </c>
      <c r="H113" s="69">
        <v>88</v>
      </c>
      <c r="I113" s="71">
        <v>1.9E-3</v>
      </c>
      <c r="J113" s="71">
        <v>7.7999999999999996E-3</v>
      </c>
      <c r="K113" s="39">
        <v>116491809.84</v>
      </c>
      <c r="L113" s="34">
        <f t="shared" si="50"/>
        <v>4.7340483681493014E-4</v>
      </c>
      <c r="M113" s="39">
        <v>116.23</v>
      </c>
      <c r="N113" s="39">
        <v>116.23</v>
      </c>
      <c r="O113" s="69">
        <v>88</v>
      </c>
      <c r="P113" s="71">
        <v>-1.14E-2</v>
      </c>
      <c r="Q113" s="71">
        <v>-3.5999999999999999E-3</v>
      </c>
      <c r="R113" s="62">
        <f t="shared" si="57"/>
        <v>0</v>
      </c>
      <c r="S113" s="62">
        <f t="shared" si="58"/>
        <v>-1.1397465339797476E-2</v>
      </c>
      <c r="T113" s="62">
        <f t="shared" si="59"/>
        <v>0</v>
      </c>
      <c r="U113" s="63">
        <f t="shared" si="60"/>
        <v>-1.3300000000000001E-2</v>
      </c>
      <c r="V113" s="64">
        <f t="shared" si="61"/>
        <v>-1.14E-2</v>
      </c>
    </row>
    <row r="114" spans="1:28">
      <c r="A114" s="157">
        <v>103</v>
      </c>
      <c r="B114" s="149" t="s">
        <v>172</v>
      </c>
      <c r="C114" s="148" t="s">
        <v>125</v>
      </c>
      <c r="D114" s="39">
        <v>467544890.19</v>
      </c>
      <c r="E114" s="34">
        <f t="shared" si="51"/>
        <v>1.9139342173418773E-3</v>
      </c>
      <c r="F114" s="39">
        <v>1.41</v>
      </c>
      <c r="G114" s="39">
        <v>1.41</v>
      </c>
      <c r="H114" s="35">
        <v>851</v>
      </c>
      <c r="I114" s="57">
        <v>1.67E-2</v>
      </c>
      <c r="J114" s="57">
        <v>2.6200000000000001E-2</v>
      </c>
      <c r="K114" s="39">
        <v>479549082.93000001</v>
      </c>
      <c r="L114" s="34">
        <f t="shared" si="50"/>
        <v>1.9488138750787395E-3</v>
      </c>
      <c r="M114" s="39">
        <v>1.43</v>
      </c>
      <c r="N114" s="39">
        <v>1.43</v>
      </c>
      <c r="O114" s="35">
        <v>859</v>
      </c>
      <c r="P114" s="57">
        <v>1.41E-2</v>
      </c>
      <c r="Q114" s="57">
        <v>4.1500000000000002E-2</v>
      </c>
      <c r="R114" s="62">
        <f t="shared" si="57"/>
        <v>2.567495227061891E-2</v>
      </c>
      <c r="S114" s="62">
        <f t="shared" si="58"/>
        <v>1.4184397163120581E-2</v>
      </c>
      <c r="T114" s="62">
        <f t="shared" si="59"/>
        <v>9.4007050528789656E-3</v>
      </c>
      <c r="U114" s="63">
        <f t="shared" si="60"/>
        <v>-2.5999999999999999E-3</v>
      </c>
      <c r="V114" s="64">
        <f t="shared" si="61"/>
        <v>1.5300000000000001E-2</v>
      </c>
    </row>
    <row r="115" spans="1:28">
      <c r="A115" s="157">
        <v>104</v>
      </c>
      <c r="B115" s="149" t="s">
        <v>173</v>
      </c>
      <c r="C115" s="148" t="s">
        <v>127</v>
      </c>
      <c r="D115" s="39">
        <v>2016148592.1900001</v>
      </c>
      <c r="E115" s="34">
        <f t="shared" si="51"/>
        <v>8.2532733408122033E-3</v>
      </c>
      <c r="F115" s="67">
        <v>31.732199999999999</v>
      </c>
      <c r="G115" s="67">
        <v>31.732199999999999</v>
      </c>
      <c r="H115" s="35">
        <v>1329</v>
      </c>
      <c r="I115" s="57">
        <v>0.15010000000000001</v>
      </c>
      <c r="J115" s="57">
        <v>0.15010000000000001</v>
      </c>
      <c r="K115" s="39">
        <v>2016377906.1500001</v>
      </c>
      <c r="L115" s="34">
        <f t="shared" si="50"/>
        <v>8.1942503505546983E-3</v>
      </c>
      <c r="M115" s="67">
        <v>30.8292</v>
      </c>
      <c r="N115" s="67">
        <v>30.8292</v>
      </c>
      <c r="O115" s="35">
        <v>1329</v>
      </c>
      <c r="P115" s="57">
        <v>0.14599999999999999</v>
      </c>
      <c r="Q115" s="57">
        <v>0.14599999999999999</v>
      </c>
      <c r="R115" s="62">
        <f t="shared" si="37"/>
        <v>1.1373862069905798E-4</v>
      </c>
      <c r="S115" s="62">
        <f t="shared" si="38"/>
        <v>-2.8456898670750807E-2</v>
      </c>
      <c r="T115" s="62">
        <f t="shared" si="39"/>
        <v>0</v>
      </c>
      <c r="U115" s="63">
        <f t="shared" si="40"/>
        <v>-4.1000000000000203E-3</v>
      </c>
      <c r="V115" s="64">
        <f t="shared" si="41"/>
        <v>-4.1000000000000203E-3</v>
      </c>
    </row>
    <row r="116" spans="1:28">
      <c r="A116" s="42"/>
      <c r="B116" s="43"/>
      <c r="C116" s="44" t="s">
        <v>56</v>
      </c>
      <c r="D116" s="66">
        <f>SUM(D77:D115)</f>
        <v>244284723034.70218</v>
      </c>
      <c r="E116" s="46">
        <f>(D116/$D$234)</f>
        <v>2.9754476259952933E-2</v>
      </c>
      <c r="F116" s="47"/>
      <c r="G116" s="52"/>
      <c r="H116" s="49">
        <f>SUM(H77:H115)</f>
        <v>63095</v>
      </c>
      <c r="I116" s="60"/>
      <c r="J116" s="60"/>
      <c r="K116" s="66">
        <f>SUM(K77:K115)</f>
        <v>246072284820.23425</v>
      </c>
      <c r="L116" s="46">
        <f>(K116/$K$234)</f>
        <v>2.9847198901444522E-2</v>
      </c>
      <c r="M116" s="47"/>
      <c r="N116" s="52"/>
      <c r="O116" s="49">
        <f>SUM(O77:O115)</f>
        <v>63196</v>
      </c>
      <c r="P116" s="60"/>
      <c r="Q116" s="60"/>
      <c r="R116" s="62">
        <f t="shared" si="37"/>
        <v>7.3175340779625406E-3</v>
      </c>
      <c r="S116" s="62" t="e">
        <f t="shared" si="38"/>
        <v>#DIV/0!</v>
      </c>
      <c r="T116" s="62">
        <f t="shared" si="39"/>
        <v>1.6007607575877646E-3</v>
      </c>
      <c r="U116" s="63">
        <f t="shared" si="40"/>
        <v>0</v>
      </c>
      <c r="V116" s="64">
        <f t="shared" si="41"/>
        <v>0</v>
      </c>
    </row>
    <row r="117" spans="1:28" ht="3.75" customHeight="1">
      <c r="A117" s="42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</row>
    <row r="118" spans="1:28" ht="15" customHeight="1">
      <c r="A118" s="169" t="s">
        <v>174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</row>
    <row r="119" spans="1:28">
      <c r="A119" s="168" t="s">
        <v>175</v>
      </c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Z119" s="72"/>
      <c r="AB119" s="74"/>
    </row>
    <row r="120" spans="1:28" ht="16.5" customHeight="1">
      <c r="A120" s="157">
        <v>105</v>
      </c>
      <c r="B120" s="149" t="s">
        <v>176</v>
      </c>
      <c r="C120" s="148" t="s">
        <v>20</v>
      </c>
      <c r="D120" s="39">
        <v>3456462537.5599999</v>
      </c>
      <c r="E120" s="34">
        <f t="shared" ref="E120:E125" si="62">(D120/$D$158)</f>
        <v>1.8980281882506353E-3</v>
      </c>
      <c r="F120" s="39">
        <v>116.0479</v>
      </c>
      <c r="G120" s="39">
        <v>116.0479</v>
      </c>
      <c r="H120" s="35">
        <v>192</v>
      </c>
      <c r="I120" s="57">
        <v>2E-3</v>
      </c>
      <c r="J120" s="57">
        <v>1.32E-2</v>
      </c>
      <c r="K120" s="39">
        <v>3407118694.0599999</v>
      </c>
      <c r="L120" s="34">
        <f t="shared" ref="L120:L136" si="63">(K120/$K$158)</f>
        <v>1.8578382395076864E-3</v>
      </c>
      <c r="M120" s="147">
        <v>116.0615</v>
      </c>
      <c r="N120" s="39">
        <v>116.0615</v>
      </c>
      <c r="O120" s="35">
        <v>192</v>
      </c>
      <c r="P120" s="57">
        <v>1E-4</v>
      </c>
      <c r="Q120" s="57">
        <v>1.3299999999999999E-2</v>
      </c>
      <c r="R120" s="62">
        <f>((K120-D120)/D120)</f>
        <v>-1.4275821873895676E-2</v>
      </c>
      <c r="S120" s="62">
        <f>((N120-G120)/G120)</f>
        <v>1.1719298668908895E-4</v>
      </c>
      <c r="T120" s="62">
        <f>((O120-H120)/H120)</f>
        <v>0</v>
      </c>
      <c r="U120" s="62">
        <f>P120-I120</f>
        <v>-1.9E-3</v>
      </c>
      <c r="V120" s="109">
        <f>Q120-J120</f>
        <v>9.9999999999999395E-5</v>
      </c>
      <c r="X120" s="72"/>
      <c r="Y120" s="75"/>
      <c r="Z120" s="72"/>
      <c r="AA120" s="76"/>
    </row>
    <row r="121" spans="1:28" ht="16.5" customHeight="1">
      <c r="A121" s="157">
        <v>106</v>
      </c>
      <c r="B121" s="149" t="s">
        <v>177</v>
      </c>
      <c r="C121" s="148" t="s">
        <v>60</v>
      </c>
      <c r="D121" s="39">
        <v>5459590591.46134</v>
      </c>
      <c r="E121" s="34">
        <f t="shared" si="62"/>
        <v>2.9979948361357591E-3</v>
      </c>
      <c r="F121" s="39">
        <v>137217.28092799999</v>
      </c>
      <c r="G121" s="39">
        <v>137217.28092799999</v>
      </c>
      <c r="H121" s="35">
        <v>103</v>
      </c>
      <c r="I121" s="57">
        <v>7.4130000000000003E-3</v>
      </c>
      <c r="J121" s="57">
        <v>1.9167E-2</v>
      </c>
      <c r="K121" s="39">
        <f>4039316.51*W139</f>
        <v>5507185548.8780537</v>
      </c>
      <c r="L121" s="34">
        <f t="shared" si="63"/>
        <v>3.0029655035521334E-3</v>
      </c>
      <c r="M121" s="39">
        <f>101.88*W139</f>
        <v>138902.723352</v>
      </c>
      <c r="N121" s="39">
        <f>101.88*W139</f>
        <v>138902.723352</v>
      </c>
      <c r="O121" s="35">
        <v>103</v>
      </c>
      <c r="P121" s="57">
        <v>-3.3300000000000002E-4</v>
      </c>
      <c r="Q121" s="57">
        <v>1.8834E-2</v>
      </c>
      <c r="R121" s="63">
        <f>((K121-D121)/D121)</f>
        <v>8.7176788477786246E-3</v>
      </c>
      <c r="S121" s="63">
        <f>((N121-G121)/G121)</f>
        <v>1.2283018673751344E-2</v>
      </c>
      <c r="T121" s="63">
        <f>((O121-H121)/H121)</f>
        <v>0</v>
      </c>
      <c r="U121" s="63">
        <f>P121-I121</f>
        <v>-7.7460000000000003E-3</v>
      </c>
      <c r="V121" s="64">
        <f>Q121-J121</f>
        <v>-3.3299999999999996E-4</v>
      </c>
      <c r="X121" s="72"/>
      <c r="Y121" s="75"/>
      <c r="Z121" s="72"/>
      <c r="AA121" s="76"/>
    </row>
    <row r="122" spans="1:28">
      <c r="A122" s="157">
        <v>107</v>
      </c>
      <c r="B122" s="149" t="s">
        <v>178</v>
      </c>
      <c r="C122" s="148" t="s">
        <v>24</v>
      </c>
      <c r="D122" s="39">
        <v>16935710827.87179</v>
      </c>
      <c r="E122" s="34">
        <f t="shared" si="62"/>
        <v>9.2998133756871867E-3</v>
      </c>
      <c r="F122" s="39">
        <v>1640.4950628999998</v>
      </c>
      <c r="G122" s="39">
        <v>1640.4950628999998</v>
      </c>
      <c r="H122" s="35">
        <v>330</v>
      </c>
      <c r="I122" s="57">
        <v>7.7100000000000002E-2</v>
      </c>
      <c r="J122" s="57">
        <v>6.6400000000000001E-2</v>
      </c>
      <c r="K122" s="39">
        <f>12706908.37*FX_RATE</f>
        <v>17324540419.879498</v>
      </c>
      <c r="L122" s="34">
        <f t="shared" si="63"/>
        <v>9.4467485767555925E-3</v>
      </c>
      <c r="M122" s="39">
        <f>1.2189*W139</f>
        <v>1661.8426530600002</v>
      </c>
      <c r="N122" s="39">
        <f>1.2189*W139</f>
        <v>1661.8426530600002</v>
      </c>
      <c r="O122" s="35">
        <v>331</v>
      </c>
      <c r="P122" s="57">
        <v>1.7100000000000001E-2</v>
      </c>
      <c r="Q122" s="57">
        <v>6.0499999999999998E-2</v>
      </c>
      <c r="R122" s="63">
        <f t="shared" ref="R122:R134" si="64">((K122-D122)/D122)</f>
        <v>2.2959153941610463E-2</v>
      </c>
      <c r="S122" s="63">
        <f t="shared" ref="S122:S134" si="65">((N122-G122)/G122)</f>
        <v>1.3012895096595442E-2</v>
      </c>
      <c r="T122" s="63">
        <f t="shared" ref="T122:T134" si="66">((O122-H122)/H122)</f>
        <v>3.0303030303030303E-3</v>
      </c>
      <c r="U122" s="63">
        <f t="shared" ref="U122:U134" si="67">P122-I122</f>
        <v>-0.06</v>
      </c>
      <c r="V122" s="64">
        <f t="shared" ref="V122:V134" si="68">Q122-J122</f>
        <v>-5.9000000000000025E-3</v>
      </c>
    </row>
    <row r="123" spans="1:28">
      <c r="A123" s="157">
        <v>108</v>
      </c>
      <c r="B123" s="149" t="s">
        <v>179</v>
      </c>
      <c r="C123" s="148" t="s">
        <v>24</v>
      </c>
      <c r="D123" s="39">
        <v>4122225694.6811099</v>
      </c>
      <c r="E123" s="34">
        <f t="shared" si="62"/>
        <v>2.2636150346819683E-3</v>
      </c>
      <c r="F123" s="39">
        <v>1417.1400108400001</v>
      </c>
      <c r="G123" s="39">
        <v>1417.1400108400001</v>
      </c>
      <c r="H123" s="35">
        <v>114</v>
      </c>
      <c r="I123" s="57">
        <v>0.22389999999999999</v>
      </c>
      <c r="J123" s="57">
        <v>5.62E-2</v>
      </c>
      <c r="K123" s="39">
        <f>3081304.97*W139</f>
        <v>4201037022.0951385</v>
      </c>
      <c r="L123" s="34">
        <f t="shared" si="63"/>
        <v>2.2907470875149971E-3</v>
      </c>
      <c r="M123" s="39">
        <f>1.052*W139</f>
        <v>1434.2919608000002</v>
      </c>
      <c r="N123" s="39">
        <f>1.052*W139</f>
        <v>1434.2919608000002</v>
      </c>
      <c r="O123" s="35">
        <v>116</v>
      </c>
      <c r="P123" s="57">
        <v>-2.9700000000000001E-2</v>
      </c>
      <c r="Q123" s="57">
        <v>4.58E-2</v>
      </c>
      <c r="R123" s="63">
        <f t="shared" si="64"/>
        <v>1.9118634750086235E-2</v>
      </c>
      <c r="S123" s="63">
        <f t="shared" ref="S123" si="69">((N123-G123)/G123)</f>
        <v>1.2103214805030758E-2</v>
      </c>
      <c r="T123" s="63">
        <f t="shared" ref="T123" si="70">((O123-H123)/H123)</f>
        <v>1.7543859649122806E-2</v>
      </c>
      <c r="U123" s="63">
        <f t="shared" ref="U123" si="71">P123-I123</f>
        <v>-0.25359999999999999</v>
      </c>
      <c r="V123" s="64">
        <f t="shared" ref="V123" si="72">Q123-J123</f>
        <v>-1.04E-2</v>
      </c>
    </row>
    <row r="124" spans="1:28">
      <c r="A124" s="157">
        <v>109</v>
      </c>
      <c r="B124" s="149" t="s">
        <v>180</v>
      </c>
      <c r="C124" s="148" t="s">
        <v>28</v>
      </c>
      <c r="D124" s="39">
        <v>49094664304.611534</v>
      </c>
      <c r="E124" s="34">
        <f t="shared" si="62"/>
        <v>2.695908193138848E-2</v>
      </c>
      <c r="F124" s="39">
        <v>1718.17792308</v>
      </c>
      <c r="G124" s="39">
        <v>1718.17792308</v>
      </c>
      <c r="H124" s="35">
        <v>659</v>
      </c>
      <c r="I124" s="57">
        <v>1.09E-2</v>
      </c>
      <c r="J124" s="57">
        <v>2.3300000000000001E-2</v>
      </c>
      <c r="K124" s="39">
        <f>36058058.73*W139</f>
        <v>49161391405.411842</v>
      </c>
      <c r="L124" s="34">
        <f t="shared" si="63"/>
        <v>2.6806789273179997E-2</v>
      </c>
      <c r="M124" s="39">
        <f xml:space="preserve"> 1.2722*W139</f>
        <v>1734.5116278800001</v>
      </c>
      <c r="N124" s="39">
        <f xml:space="preserve"> 1.2722*W139</f>
        <v>1734.5116278800001</v>
      </c>
      <c r="O124" s="35">
        <v>659</v>
      </c>
      <c r="P124" s="57">
        <v>3.0999999999999999E-3</v>
      </c>
      <c r="Q124" s="57">
        <v>2.01E-2</v>
      </c>
      <c r="R124" s="63">
        <f t="shared" si="64"/>
        <v>1.3591517885995698E-3</v>
      </c>
      <c r="S124" s="63">
        <f t="shared" ref="S124:T127" si="73">((N124-G124)/G124)</f>
        <v>9.5064105879793474E-3</v>
      </c>
      <c r="T124" s="63">
        <f t="shared" si="73"/>
        <v>0</v>
      </c>
      <c r="U124" s="63">
        <f t="shared" si="67"/>
        <v>-7.7999999999999996E-3</v>
      </c>
      <c r="V124" s="64">
        <f t="shared" si="68"/>
        <v>-3.2000000000000015E-3</v>
      </c>
    </row>
    <row r="125" spans="1:28">
      <c r="A125" s="157">
        <v>110</v>
      </c>
      <c r="B125" s="149" t="s">
        <v>181</v>
      </c>
      <c r="C125" s="148" t="s">
        <v>69</v>
      </c>
      <c r="D125" s="39">
        <v>1441498016.9104159</v>
      </c>
      <c r="E125" s="34">
        <f t="shared" si="62"/>
        <v>7.9156184673558516E-4</v>
      </c>
      <c r="F125" s="39">
        <v>1475.7050787400001</v>
      </c>
      <c r="G125" s="39">
        <v>1494.4189740000002</v>
      </c>
      <c r="H125" s="35">
        <v>72</v>
      </c>
      <c r="I125" s="57">
        <v>-6.9999999999999994E-5</v>
      </c>
      <c r="J125" s="57">
        <v>0.1401</v>
      </c>
      <c r="K125" s="39">
        <f>1081942.18 *W139</f>
        <v>1475114991.277972</v>
      </c>
      <c r="L125" s="34">
        <f t="shared" si="63"/>
        <v>8.0435267583871338E-4</v>
      </c>
      <c r="M125" s="39">
        <f>1.097*W139</f>
        <v>1495.6447538</v>
      </c>
      <c r="N125" s="39">
        <f>1.11*W139</f>
        <v>1513.3688940000002</v>
      </c>
      <c r="O125" s="35">
        <v>73</v>
      </c>
      <c r="P125" s="57">
        <v>5.2999999999999998E-4</v>
      </c>
      <c r="Q125" s="57">
        <v>0.12770000000000001</v>
      </c>
      <c r="R125" s="63">
        <f t="shared" si="64"/>
        <v>2.3320860641631583E-2</v>
      </c>
      <c r="S125" s="63">
        <f t="shared" si="73"/>
        <v>1.2680459984577269E-2</v>
      </c>
      <c r="T125" s="63">
        <f t="shared" si="73"/>
        <v>1.3888888888888888E-2</v>
      </c>
      <c r="U125" s="63">
        <f t="shared" si="67"/>
        <v>5.9999999999999995E-4</v>
      </c>
      <c r="V125" s="64">
        <f t="shared" si="68"/>
        <v>-1.2399999999999994E-2</v>
      </c>
    </row>
    <row r="126" spans="1:28">
      <c r="A126" s="157">
        <v>111</v>
      </c>
      <c r="B126" s="149" t="s">
        <v>182</v>
      </c>
      <c r="C126" s="148" t="s">
        <v>30</v>
      </c>
      <c r="D126" s="39">
        <v>835520237.56283402</v>
      </c>
      <c r="E126" s="34">
        <v>0</v>
      </c>
      <c r="F126" s="39">
        <v>1926.9926824199999</v>
      </c>
      <c r="G126" s="39">
        <v>1926.9926824199999</v>
      </c>
      <c r="H126" s="35">
        <v>74</v>
      </c>
      <c r="I126" s="57">
        <v>4.3899999999999999E-4</v>
      </c>
      <c r="J126" s="57">
        <v>2.0500000000000001E-2</v>
      </c>
      <c r="K126" s="39">
        <f>585161.76*W139</f>
        <v>797806851.83990407</v>
      </c>
      <c r="L126" s="34">
        <f t="shared" si="63"/>
        <v>4.3502918746960307E-4</v>
      </c>
      <c r="M126" s="39">
        <f>1.4345*W139</f>
        <v>1955.7907013000004</v>
      </c>
      <c r="N126" s="39">
        <f>1.4345*W139</f>
        <v>1955.7907013000004</v>
      </c>
      <c r="O126" s="35">
        <v>76</v>
      </c>
      <c r="P126" s="57">
        <v>4.3899999999999999E-4</v>
      </c>
      <c r="Q126" s="57">
        <v>2.18E-2</v>
      </c>
      <c r="R126" s="63">
        <f t="shared" si="64"/>
        <v>-4.5137608914103386E-2</v>
      </c>
      <c r="S126" s="63">
        <f t="shared" si="73"/>
        <v>1.494453982245259E-2</v>
      </c>
      <c r="T126" s="63">
        <f t="shared" si="73"/>
        <v>2.7027027027027029E-2</v>
      </c>
      <c r="U126" s="63">
        <f t="shared" si="67"/>
        <v>0</v>
      </c>
      <c r="V126" s="64">
        <f t="shared" si="68"/>
        <v>1.2999999999999991E-3</v>
      </c>
    </row>
    <row r="127" spans="1:28">
      <c r="A127" s="157">
        <v>112</v>
      </c>
      <c r="B127" s="149" t="s">
        <v>183</v>
      </c>
      <c r="C127" s="148" t="s">
        <v>79</v>
      </c>
      <c r="D127" s="39">
        <v>1884929029.2206099</v>
      </c>
      <c r="E127" s="34">
        <f t="shared" ref="E127:E136" si="74">(D127/$D$158)</f>
        <v>1.0350606701029577E-3</v>
      </c>
      <c r="F127" s="39">
        <v>145402.92720000001</v>
      </c>
      <c r="G127" s="39">
        <v>145793.36098600001</v>
      </c>
      <c r="H127" s="35">
        <v>84</v>
      </c>
      <c r="I127" s="57">
        <v>6.9999999999999999E-4</v>
      </c>
      <c r="J127" s="57">
        <v>7.1999999999999998E-3</v>
      </c>
      <c r="K127" s="39">
        <f>1375509.75*W139</f>
        <v>1875363665.80515</v>
      </c>
      <c r="L127" s="34">
        <f>(K127/$K$158)</f>
        <v>1.0226008085337237E-3</v>
      </c>
      <c r="M127" s="39">
        <f>108.13*W139</f>
        <v>147423.944602</v>
      </c>
      <c r="N127" s="39">
        <f>108.49*W139</f>
        <v>147914.76694600002</v>
      </c>
      <c r="O127" s="35">
        <v>84</v>
      </c>
      <c r="P127" s="57">
        <v>1.5E-3</v>
      </c>
      <c r="Q127" s="57">
        <v>8.8000000000000005E-3</v>
      </c>
      <c r="R127" s="63">
        <f t="shared" si="64"/>
        <v>-5.074654412540406E-3</v>
      </c>
      <c r="S127" s="63">
        <f t="shared" si="73"/>
        <v>1.4550772035523032E-2</v>
      </c>
      <c r="T127" s="63">
        <f t="shared" si="73"/>
        <v>0</v>
      </c>
      <c r="U127" s="63">
        <f t="shared" si="67"/>
        <v>8.0000000000000004E-4</v>
      </c>
      <c r="V127" s="64">
        <f t="shared" si="68"/>
        <v>1.6000000000000007E-3</v>
      </c>
    </row>
    <row r="128" spans="1:28">
      <c r="A128" s="157">
        <v>113</v>
      </c>
      <c r="B128" s="149" t="s">
        <v>184</v>
      </c>
      <c r="C128" s="148" t="s">
        <v>82</v>
      </c>
      <c r="D128" s="39">
        <v>4744094867.0799999</v>
      </c>
      <c r="E128" s="34">
        <f t="shared" si="74"/>
        <v>2.6050986196452259E-3</v>
      </c>
      <c r="F128" s="39">
        <v>1607.21</v>
      </c>
      <c r="G128" s="39">
        <v>1607.21</v>
      </c>
      <c r="H128" s="35">
        <v>63</v>
      </c>
      <c r="I128" s="57">
        <v>6.5799999999999997E-2</v>
      </c>
      <c r="J128" s="57">
        <v>2.46E-2</v>
      </c>
      <c r="K128" s="39">
        <v>4888024872.54</v>
      </c>
      <c r="L128" s="34">
        <f t="shared" si="63"/>
        <v>2.6653487416513164E-3</v>
      </c>
      <c r="M128" s="39">
        <v>1634.17</v>
      </c>
      <c r="N128" s="39">
        <v>1634.17</v>
      </c>
      <c r="O128" s="35">
        <v>62</v>
      </c>
      <c r="P128" s="57">
        <v>6.5799999999999997E-2</v>
      </c>
      <c r="Q128" s="57">
        <v>2.9899999999999999E-2</v>
      </c>
      <c r="R128" s="63">
        <f t="shared" si="64"/>
        <v>3.033877051210598E-2</v>
      </c>
      <c r="S128" s="63">
        <f t="shared" si="65"/>
        <v>1.6774410313524703E-2</v>
      </c>
      <c r="T128" s="63">
        <f t="shared" si="66"/>
        <v>-1.5873015873015872E-2</v>
      </c>
      <c r="U128" s="63">
        <f t="shared" si="67"/>
        <v>0</v>
      </c>
      <c r="V128" s="64">
        <f t="shared" si="68"/>
        <v>5.2999999999999992E-3</v>
      </c>
      <c r="X128" s="73"/>
    </row>
    <row r="129" spans="1:25">
      <c r="A129" s="157">
        <v>114</v>
      </c>
      <c r="B129" s="149" t="s">
        <v>185</v>
      </c>
      <c r="C129" s="148" t="s">
        <v>32</v>
      </c>
      <c r="D129" s="39">
        <v>50159243010.590561</v>
      </c>
      <c r="E129" s="34">
        <f t="shared" si="74"/>
        <v>2.7543668158087748E-2</v>
      </c>
      <c r="F129" s="39">
        <v>173823.81417400003</v>
      </c>
      <c r="G129" s="39">
        <v>173864.20387599999</v>
      </c>
      <c r="H129" s="35">
        <v>2559</v>
      </c>
      <c r="I129" s="57">
        <v>-1.2999999999999999E-3</v>
      </c>
      <c r="J129" s="57">
        <v>9.4999999999999998E-3</v>
      </c>
      <c r="K129" s="39">
        <f>37145544.77*W139</f>
        <v>50644064869.912064</v>
      </c>
      <c r="L129" s="34">
        <f t="shared" si="63"/>
        <v>2.7615263443408991E-2</v>
      </c>
      <c r="M129" s="39">
        <f>129.36*W139</f>
        <v>176368.82894400004</v>
      </c>
      <c r="N129" s="39">
        <f>129.38*W139</f>
        <v>176396.09685200002</v>
      </c>
      <c r="O129" s="35">
        <v>2557</v>
      </c>
      <c r="P129" s="57">
        <v>1.9E-3</v>
      </c>
      <c r="Q129" s="57">
        <v>1.15E-2</v>
      </c>
      <c r="R129" s="63">
        <f t="shared" si="64"/>
        <v>9.6656534313952457E-3</v>
      </c>
      <c r="S129" s="63">
        <f t="shared" si="65"/>
        <v>1.4562474158313686E-2</v>
      </c>
      <c r="T129" s="63">
        <f t="shared" si="66"/>
        <v>-7.8155529503712393E-4</v>
      </c>
      <c r="U129" s="63">
        <f t="shared" si="67"/>
        <v>3.1999999999999997E-3</v>
      </c>
      <c r="V129" s="64">
        <f t="shared" si="68"/>
        <v>2E-3</v>
      </c>
    </row>
    <row r="130" spans="1:25">
      <c r="A130" s="157">
        <v>115</v>
      </c>
      <c r="B130" s="150" t="s">
        <v>186</v>
      </c>
      <c r="C130" s="150" t="s">
        <v>32</v>
      </c>
      <c r="D130" s="39">
        <v>148491413409.08334</v>
      </c>
      <c r="E130" s="34">
        <f t="shared" si="74"/>
        <v>8.1540269943899582E-2</v>
      </c>
      <c r="F130" s="39">
        <v>169488.65282600001</v>
      </c>
      <c r="G130" s="39">
        <v>169555.96899600001</v>
      </c>
      <c r="H130" s="35">
        <v>976</v>
      </c>
      <c r="I130" s="57">
        <v>-1.5E-3</v>
      </c>
      <c r="J130" s="57">
        <v>9.7000000000000003E-3</v>
      </c>
      <c r="K130" s="39">
        <f>110415971.54*W139</f>
        <v>150540627684.16693</v>
      </c>
      <c r="L130" s="34">
        <f t="shared" si="63"/>
        <v>8.2086994855427711E-2</v>
      </c>
      <c r="M130" s="39">
        <f>126.13*W139</f>
        <v>171965.06180200001</v>
      </c>
      <c r="N130" s="39">
        <f>126.18*W139</f>
        <v>172033.23157200002</v>
      </c>
      <c r="O130" s="35">
        <v>972</v>
      </c>
      <c r="P130" s="57">
        <v>1.9E-3</v>
      </c>
      <c r="Q130" s="57">
        <v>1.1599999999999999E-2</v>
      </c>
      <c r="R130" s="63">
        <f t="shared" si="64"/>
        <v>1.3800220686418731E-2</v>
      </c>
      <c r="S130" s="63">
        <f t="shared" si="65"/>
        <v>1.4610294115086266E-2</v>
      </c>
      <c r="T130" s="63">
        <f t="shared" si="66"/>
        <v>-4.0983606557377051E-3</v>
      </c>
      <c r="U130" s="63">
        <f t="shared" si="67"/>
        <v>3.4000000000000002E-3</v>
      </c>
      <c r="V130" s="64">
        <f t="shared" si="68"/>
        <v>1.8999999999999989E-3</v>
      </c>
      <c r="X130" s="72"/>
    </row>
    <row r="131" spans="1:25">
      <c r="A131" s="157">
        <v>116</v>
      </c>
      <c r="B131" s="149" t="s">
        <v>187</v>
      </c>
      <c r="C131" s="148" t="s">
        <v>88</v>
      </c>
      <c r="D131" s="39">
        <v>2206234843.9682937</v>
      </c>
      <c r="E131" s="34">
        <f t="shared" si="74"/>
        <v>1.2114975580521169E-3</v>
      </c>
      <c r="F131" s="39">
        <v>1346.3234</v>
      </c>
      <c r="G131" s="39">
        <v>1346.3234</v>
      </c>
      <c r="H131" s="35">
        <v>13</v>
      </c>
      <c r="I131" s="57">
        <v>8.1900000000000001E-2</v>
      </c>
      <c r="J131" s="57">
        <v>8.2199999999999995E-2</v>
      </c>
      <c r="K131" s="39">
        <f>1642267.57*W139</f>
        <v>2239060050.5071783</v>
      </c>
      <c r="L131" s="34">
        <f t="shared" si="63"/>
        <v>1.2209176597335744E-3</v>
      </c>
      <c r="M131" s="39">
        <f>1*W139</f>
        <v>1363.3954000000001</v>
      </c>
      <c r="N131" s="39">
        <f>1*W139</f>
        <v>1363.3954000000001</v>
      </c>
      <c r="O131" s="35">
        <v>13</v>
      </c>
      <c r="P131" s="57">
        <v>8.1699999999999995E-2</v>
      </c>
      <c r="Q131" s="57">
        <v>8.2100000000000006E-2</v>
      </c>
      <c r="R131" s="63">
        <f t="shared" ref="R131" si="75">((K131-D131)/D131)</f>
        <v>1.4878382792578349E-2</v>
      </c>
      <c r="S131" s="63">
        <f t="shared" ref="S131" si="76">((N131-G131)/G131)</f>
        <v>1.2680459984577343E-2</v>
      </c>
      <c r="T131" s="63">
        <f t="shared" si="66"/>
        <v>0</v>
      </c>
      <c r="U131" s="63">
        <f t="shared" si="67"/>
        <v>-2.0000000000000573E-4</v>
      </c>
      <c r="V131" s="64">
        <f t="shared" si="68"/>
        <v>-9.9999999999988987E-5</v>
      </c>
    </row>
    <row r="132" spans="1:25">
      <c r="A132" s="157">
        <v>117</v>
      </c>
      <c r="B132" s="149" t="s">
        <v>188</v>
      </c>
      <c r="C132" s="148" t="s">
        <v>36</v>
      </c>
      <c r="D132" s="39">
        <v>254358118.92197129</v>
      </c>
      <c r="E132" s="34">
        <f t="shared" si="74"/>
        <v>1.3967426939483454E-4</v>
      </c>
      <c r="F132" s="39">
        <v>137.17830000000001</v>
      </c>
      <c r="G132" s="39">
        <v>137.17830000000001</v>
      </c>
      <c r="H132" s="35">
        <v>11</v>
      </c>
      <c r="I132" s="57">
        <v>1.9E-3</v>
      </c>
      <c r="J132" s="57">
        <v>1.4E-2</v>
      </c>
      <c r="K132" s="39">
        <f>188927.9492*W139</f>
        <v>257583496.87071371</v>
      </c>
      <c r="L132" s="34">
        <f t="shared" si="63"/>
        <v>1.4045547376638975E-4</v>
      </c>
      <c r="M132" s="39">
        <f>137.4357*W139</f>
        <v>187379.20117578001</v>
      </c>
      <c r="N132" s="39">
        <f>137.4357*W139</f>
        <v>187379.20117578001</v>
      </c>
      <c r="O132" s="35">
        <v>11</v>
      </c>
      <c r="P132" s="57">
        <v>1.9E-3</v>
      </c>
      <c r="Q132" s="57">
        <v>1.5900000000000001E-2</v>
      </c>
      <c r="R132" s="63">
        <f t="shared" si="64"/>
        <v>1.2680459984577333E-2</v>
      </c>
      <c r="S132" s="63">
        <f t="shared" si="65"/>
        <v>1364.9536615906452</v>
      </c>
      <c r="T132" s="63">
        <f t="shared" si="66"/>
        <v>0</v>
      </c>
      <c r="U132" s="63">
        <f t="shared" si="67"/>
        <v>0</v>
      </c>
      <c r="V132" s="64">
        <f t="shared" si="68"/>
        <v>1.9000000000000006E-3</v>
      </c>
    </row>
    <row r="133" spans="1:25">
      <c r="A133" s="157">
        <v>118</v>
      </c>
      <c r="B133" s="149" t="s">
        <v>189</v>
      </c>
      <c r="C133" s="148" t="s">
        <v>42</v>
      </c>
      <c r="D133" s="39">
        <v>14358409854.343302</v>
      </c>
      <c r="E133" s="34">
        <f t="shared" si="74"/>
        <v>7.8845543227665359E-3</v>
      </c>
      <c r="F133" s="39">
        <v>2006.021866</v>
      </c>
      <c r="G133" s="39">
        <v>2006.021866</v>
      </c>
      <c r="H133" s="53">
        <v>118</v>
      </c>
      <c r="I133" s="60">
        <v>4.0000000000000002E-4</v>
      </c>
      <c r="J133" s="60">
        <v>4.4600000000000001E-2</v>
      </c>
      <c r="K133" s="39">
        <f xml:space="preserve"> 10706959.64*W139</f>
        <v>14597819521.161657</v>
      </c>
      <c r="L133" s="34">
        <f t="shared" si="63"/>
        <v>7.9599185573217129E-3</v>
      </c>
      <c r="M133" s="39">
        <f>1.49*W139</f>
        <v>2031.4591460000001</v>
      </c>
      <c r="N133" s="39">
        <f>1.49*W139</f>
        <v>2031.4591460000001</v>
      </c>
      <c r="O133" s="53">
        <v>118</v>
      </c>
      <c r="P133" s="60">
        <v>-1E-4</v>
      </c>
      <c r="Q133" s="60">
        <v>3.6400000000000002E-2</v>
      </c>
      <c r="R133" s="63">
        <f t="shared" si="64"/>
        <v>1.6673828735006897E-2</v>
      </c>
      <c r="S133" s="63">
        <f t="shared" si="65"/>
        <v>1.2680459984577307E-2</v>
      </c>
      <c r="T133" s="63">
        <f t="shared" si="66"/>
        <v>0</v>
      </c>
      <c r="U133" s="63">
        <f t="shared" si="67"/>
        <v>-5.0000000000000001E-4</v>
      </c>
      <c r="V133" s="64">
        <f t="shared" si="68"/>
        <v>-8.199999999999999E-3</v>
      </c>
    </row>
    <row r="134" spans="1:25">
      <c r="A134" s="157">
        <v>119</v>
      </c>
      <c r="B134" s="149" t="s">
        <v>190</v>
      </c>
      <c r="C134" s="148" t="s">
        <v>104</v>
      </c>
      <c r="D134" s="39">
        <v>37405214022.905403</v>
      </c>
      <c r="E134" s="34">
        <f t="shared" si="74"/>
        <v>2.0540118641974432E-2</v>
      </c>
      <c r="F134" s="39">
        <v>142629.50099599999</v>
      </c>
      <c r="G134" s="39">
        <v>142629.50099599999</v>
      </c>
      <c r="H134" s="35">
        <v>877</v>
      </c>
      <c r="I134" s="60">
        <v>4.1999999999999997E-3</v>
      </c>
      <c r="J134" s="57">
        <v>0.1278</v>
      </c>
      <c r="K134" s="39">
        <f>27877933*W139</f>
        <v>38008645613.708206</v>
      </c>
      <c r="L134" s="34">
        <f t="shared" si="63"/>
        <v>2.0725405127843686E-2</v>
      </c>
      <c r="M134" s="39">
        <f>105.85*W139</f>
        <v>144315.40309000001</v>
      </c>
      <c r="N134" s="39">
        <f>105.85*W139</f>
        <v>144315.40309000001</v>
      </c>
      <c r="O134" s="35">
        <v>882</v>
      </c>
      <c r="P134" s="60">
        <v>-8.0000000000000004E-4</v>
      </c>
      <c r="Q134" s="57">
        <v>0.1113</v>
      </c>
      <c r="R134" s="63">
        <f t="shared" si="64"/>
        <v>1.6132285473177257E-2</v>
      </c>
      <c r="S134" s="63">
        <f t="shared" si="65"/>
        <v>1.1820149984590494E-2</v>
      </c>
      <c r="T134" s="63">
        <f t="shared" si="66"/>
        <v>5.7012542759407071E-3</v>
      </c>
      <c r="U134" s="63">
        <f t="shared" si="67"/>
        <v>-5.0000000000000001E-3</v>
      </c>
      <c r="V134" s="64">
        <f t="shared" si="68"/>
        <v>-1.6500000000000001E-2</v>
      </c>
    </row>
    <row r="135" spans="1:25">
      <c r="A135" s="157">
        <v>120</v>
      </c>
      <c r="B135" s="149" t="s">
        <v>191</v>
      </c>
      <c r="C135" s="148" t="s">
        <v>46</v>
      </c>
      <c r="D135" s="39">
        <v>2830662316.0718598</v>
      </c>
      <c r="E135" s="34">
        <f t="shared" si="74"/>
        <v>1.5543859680064466E-3</v>
      </c>
      <c r="F135" s="39">
        <v>226303.500306</v>
      </c>
      <c r="G135" s="39">
        <v>235135.38181000002</v>
      </c>
      <c r="H135" s="35">
        <v>48</v>
      </c>
      <c r="I135" s="57">
        <v>1.2999999999999999E-3</v>
      </c>
      <c r="J135" s="57">
        <v>1.0699999999999999E-2</v>
      </c>
      <c r="K135" s="39">
        <f>2104355.37*W139</f>
        <v>2869068431.4232984</v>
      </c>
      <c r="L135" s="34">
        <f t="shared" si="63"/>
        <v>1.5644494724986746E-3</v>
      </c>
      <c r="M135" s="39">
        <f>168.21*W139</f>
        <v>229336.74023400003</v>
      </c>
      <c r="N135" s="39">
        <f>174.82*W139</f>
        <v>238348.78382800001</v>
      </c>
      <c r="O135" s="35">
        <v>48</v>
      </c>
      <c r="P135" s="57">
        <v>8.0000000000000004E-4</v>
      </c>
      <c r="Q135" s="57">
        <v>1.15E-2</v>
      </c>
      <c r="R135" s="63">
        <f t="shared" ref="R135:R136" si="77">((K135-D135)/D135)</f>
        <v>1.3567890148315217E-2</v>
      </c>
      <c r="S135" s="63">
        <f t="shared" ref="S135:S136" si="78">((N135-G135)/G135)</f>
        <v>1.3666178153471462E-2</v>
      </c>
      <c r="T135" s="63">
        <f t="shared" ref="T135:T136" si="79">((O135-H135)/H135)</f>
        <v>0</v>
      </c>
      <c r="U135" s="63">
        <f t="shared" ref="U135:U136" si="80">P135-I135</f>
        <v>-4.999999999999999E-4</v>
      </c>
      <c r="V135" s="64">
        <f t="shared" ref="V135:V136" si="81">Q135-J135</f>
        <v>8.0000000000000036E-4</v>
      </c>
    </row>
    <row r="136" spans="1:25">
      <c r="A136" s="157">
        <v>121</v>
      </c>
      <c r="B136" s="149" t="s">
        <v>192</v>
      </c>
      <c r="C136" s="148" t="s">
        <v>53</v>
      </c>
      <c r="D136" s="33">
        <v>149724744197.448</v>
      </c>
      <c r="E136" s="34">
        <f t="shared" si="74"/>
        <v>8.2217522069827728E-2</v>
      </c>
      <c r="F136" s="39">
        <v>169407.48037500001</v>
      </c>
      <c r="G136" s="39">
        <v>169407.48037500001</v>
      </c>
      <c r="H136" s="35">
        <v>4251</v>
      </c>
      <c r="I136" s="57">
        <v>1.1000000000000001E-3</v>
      </c>
      <c r="J136" s="57">
        <v>5.7599999999999998E-2</v>
      </c>
      <c r="K136" s="33">
        <f>114250450.87*1364.56</f>
        <v>155901595239.16721</v>
      </c>
      <c r="L136" s="34">
        <f t="shared" si="63"/>
        <v>8.501023041566913E-2</v>
      </c>
      <c r="M136" s="39">
        <f>125.8837*1364.56</f>
        <v>171775.861672</v>
      </c>
      <c r="N136" s="39">
        <f>125.8837*1364.56</f>
        <v>171775.861672</v>
      </c>
      <c r="O136" s="35">
        <v>4064</v>
      </c>
      <c r="P136" s="57">
        <v>5.6099999999999997E-2</v>
      </c>
      <c r="Q136" s="57">
        <v>5.74E-2</v>
      </c>
      <c r="R136" s="63">
        <f t="shared" si="77"/>
        <v>4.125471093524493E-2</v>
      </c>
      <c r="S136" s="63">
        <f t="shared" si="78"/>
        <v>1.3980382045452431E-2</v>
      </c>
      <c r="T136" s="63">
        <f t="shared" si="79"/>
        <v>-4.398964949423665E-2</v>
      </c>
      <c r="U136" s="63">
        <f t="shared" si="80"/>
        <v>5.5E-2</v>
      </c>
      <c r="V136" s="64">
        <f t="shared" si="81"/>
        <v>-1.9999999999999879E-4</v>
      </c>
    </row>
    <row r="137" spans="1:25" ht="6" customHeight="1">
      <c r="A137" s="77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</row>
    <row r="138" spans="1:25">
      <c r="A138" s="168" t="s">
        <v>193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</row>
    <row r="139" spans="1:25">
      <c r="A139" s="157">
        <v>122</v>
      </c>
      <c r="B139" s="149" t="s">
        <v>194</v>
      </c>
      <c r="C139" s="148" t="s">
        <v>64</v>
      </c>
      <c r="D139" s="33">
        <v>1525401591.2865839</v>
      </c>
      <c r="E139" s="34">
        <f>(D139/$D$158)</f>
        <v>8.3763535325574257E-4</v>
      </c>
      <c r="F139" s="39">
        <v>165584.31496600001</v>
      </c>
      <c r="G139" s="39">
        <v>165584.31496600001</v>
      </c>
      <c r="H139" s="35">
        <v>23</v>
      </c>
      <c r="I139" s="57">
        <v>3.8999999999999998E-3</v>
      </c>
      <c r="J139" s="57">
        <v>7.2099999999999997E-2</v>
      </c>
      <c r="K139" s="33">
        <f>1131776.09*W139</f>
        <v>1543058314.9359863</v>
      </c>
      <c r="L139" s="34">
        <f t="shared" ref="L139:L156" si="82">(K139/$K$158)</f>
        <v>8.4140090225688093E-4</v>
      </c>
      <c r="M139" s="39">
        <f>122.86*W139</f>
        <v>167506.75884400003</v>
      </c>
      <c r="N139" s="39">
        <f>122.86*W139</f>
        <v>167506.75884400003</v>
      </c>
      <c r="O139" s="35">
        <v>23</v>
      </c>
      <c r="P139" s="57">
        <v>-1.2999999999999999E-3</v>
      </c>
      <c r="Q139" s="57">
        <v>5.6000000000000001E-2</v>
      </c>
      <c r="R139" s="63">
        <f>((K139-D139)/D139)</f>
        <v>1.1575131263964398E-2</v>
      </c>
      <c r="S139" s="63">
        <f>((N139-G139)/G139)</f>
        <v>1.1610060278926552E-2</v>
      </c>
      <c r="T139" s="63">
        <f>((O139-H139)/H139)</f>
        <v>0</v>
      </c>
      <c r="U139" s="63">
        <f>P139-I139</f>
        <v>-5.1999999999999998E-3</v>
      </c>
      <c r="V139" s="64">
        <f>Q139-J139</f>
        <v>-1.6099999999999996E-2</v>
      </c>
      <c r="W139" s="84">
        <v>1363.3954000000001</v>
      </c>
      <c r="Y139" s="124"/>
    </row>
    <row r="140" spans="1:25">
      <c r="A140" s="157">
        <v>123</v>
      </c>
      <c r="B140" s="148" t="s">
        <v>195</v>
      </c>
      <c r="C140" s="148" t="s">
        <v>26</v>
      </c>
      <c r="D140" s="39">
        <v>27808444768.994381</v>
      </c>
      <c r="E140" s="34">
        <f t="shared" ref="E140:E157" si="83">(D140/$D$158)</f>
        <v>1.5270297730529372E-2</v>
      </c>
      <c r="F140" s="33">
        <v>183840.46027000001</v>
      </c>
      <c r="G140" s="33">
        <v>183840.46027000001</v>
      </c>
      <c r="H140" s="35">
        <v>666</v>
      </c>
      <c r="I140" s="57">
        <v>5.0000000000000001E-4</v>
      </c>
      <c r="J140" s="57">
        <v>6.8999999999999999E-3</v>
      </c>
      <c r="K140" s="39">
        <f>20409043.31*W139</f>
        <v>27825595767.254776</v>
      </c>
      <c r="L140" s="34">
        <f t="shared" si="82"/>
        <v>1.5172778084783324E-2</v>
      </c>
      <c r="M140" s="33">
        <f>136.68*W139</f>
        <v>186348.88327200004</v>
      </c>
      <c r="N140" s="33">
        <f>136.68*W139</f>
        <v>186348.88327200004</v>
      </c>
      <c r="O140" s="35">
        <v>669</v>
      </c>
      <c r="P140" s="57">
        <v>5.0000000000000001E-4</v>
      </c>
      <c r="Q140" s="57">
        <v>7.7999999999999996E-3</v>
      </c>
      <c r="R140" s="63">
        <f t="shared" ref="R140:R158" si="84">((K140-D140)/D140)</f>
        <v>6.1675503261217693E-4</v>
      </c>
      <c r="S140" s="63">
        <f t="shared" ref="S140:S158" si="85">((N140-G140)/G140)</f>
        <v>1.3644564413709542E-2</v>
      </c>
      <c r="T140" s="63">
        <f t="shared" ref="T140:T158" si="86">((O140-H140)/H140)</f>
        <v>4.5045045045045045E-3</v>
      </c>
      <c r="U140" s="63">
        <f t="shared" ref="U140:U158" si="87">P140-I140</f>
        <v>0</v>
      </c>
      <c r="V140" s="64">
        <f t="shared" ref="V140:V158" si="88">Q140-J140</f>
        <v>8.9999999999999976E-4</v>
      </c>
    </row>
    <row r="141" spans="1:25">
      <c r="A141" s="157">
        <v>124</v>
      </c>
      <c r="B141" s="148" t="s">
        <v>196</v>
      </c>
      <c r="C141" s="148" t="s">
        <v>137</v>
      </c>
      <c r="D141" s="39">
        <v>489229197.173765</v>
      </c>
      <c r="E141" s="34">
        <f t="shared" si="83"/>
        <v>2.6864772774494889E-4</v>
      </c>
      <c r="F141" s="33">
        <v>134632.34</v>
      </c>
      <c r="G141" s="33">
        <v>134632.34</v>
      </c>
      <c r="H141" s="35">
        <v>20</v>
      </c>
      <c r="I141" s="57">
        <v>1.5E-3</v>
      </c>
      <c r="J141" s="57">
        <v>3.8999999999999999E-4</v>
      </c>
      <c r="K141" s="39">
        <f>366617.846137228*W139</f>
        <v>499845084.98140448</v>
      </c>
      <c r="L141" s="34">
        <f t="shared" si="82"/>
        <v>2.7255619662661188E-4</v>
      </c>
      <c r="M141" s="33">
        <f>100*W139</f>
        <v>136339.54</v>
      </c>
      <c r="N141" s="33">
        <f>100*W139</f>
        <v>136339.54</v>
      </c>
      <c r="O141" s="35">
        <v>19</v>
      </c>
      <c r="P141" s="57">
        <v>5.9999999999999995E-4</v>
      </c>
      <c r="Q141" s="57">
        <v>3.3E-4</v>
      </c>
      <c r="R141" s="63">
        <v>0</v>
      </c>
      <c r="S141" s="63">
        <f t="shared" ref="S141" si="89">((N141-G141)/G141)</f>
        <v>1.2680459984577343E-2</v>
      </c>
      <c r="T141" s="63">
        <f t="shared" ref="T141" si="90">((O141-H141)/H141)</f>
        <v>-0.05</v>
      </c>
      <c r="U141" s="63">
        <f t="shared" ref="U141" si="91">P141-I141</f>
        <v>-9.0000000000000008E-4</v>
      </c>
      <c r="V141" s="64">
        <f t="shared" ref="V141" si="92">Q141-J141</f>
        <v>-5.9999999999999995E-5</v>
      </c>
    </row>
    <row r="142" spans="1:25">
      <c r="A142" s="157">
        <v>125</v>
      </c>
      <c r="B142" s="149" t="s">
        <v>197</v>
      </c>
      <c r="C142" s="148" t="s">
        <v>73</v>
      </c>
      <c r="D142" s="33">
        <v>16953847368.07</v>
      </c>
      <c r="E142" s="34">
        <f t="shared" si="83"/>
        <v>9.3097725938645782E-3</v>
      </c>
      <c r="F142" s="33">
        <v>160652.93</v>
      </c>
      <c r="G142" s="33">
        <v>160652.93</v>
      </c>
      <c r="H142" s="35">
        <v>464</v>
      </c>
      <c r="I142" s="57">
        <v>1.1999999999999999E-3</v>
      </c>
      <c r="J142" s="57">
        <v>6.7799999999999999E-2</v>
      </c>
      <c r="K142" s="33">
        <v>17298086445.189999</v>
      </c>
      <c r="L142" s="34">
        <f t="shared" ref="L142:L143" si="93">(K142/$K$116)</f>
        <v>7.029676851997757E-2</v>
      </c>
      <c r="M142" s="33">
        <v>164252.62</v>
      </c>
      <c r="N142" s="33">
        <v>164252.62</v>
      </c>
      <c r="O142" s="35">
        <v>467</v>
      </c>
      <c r="P142" s="57">
        <v>1.1000000000000001E-3</v>
      </c>
      <c r="Q142" s="57">
        <v>6.7799999999999999E-2</v>
      </c>
      <c r="R142" s="63">
        <f t="shared" si="84"/>
        <v>2.0304481316041633E-2</v>
      </c>
      <c r="S142" s="63">
        <f t="shared" si="85"/>
        <v>2.240662526354174E-2</v>
      </c>
      <c r="T142" s="63">
        <f t="shared" si="86"/>
        <v>6.4655172413793103E-3</v>
      </c>
      <c r="U142" s="63">
        <f t="shared" si="87"/>
        <v>-9.9999999999999829E-5</v>
      </c>
      <c r="V142" s="64">
        <f t="shared" si="88"/>
        <v>0</v>
      </c>
    </row>
    <row r="143" spans="1:25">
      <c r="A143" s="157">
        <v>126</v>
      </c>
      <c r="B143" s="149" t="s">
        <v>198</v>
      </c>
      <c r="C143" s="148" t="s">
        <v>75</v>
      </c>
      <c r="D143" s="39">
        <v>129837113.019752</v>
      </c>
      <c r="E143" s="34">
        <f t="shared" ref="E143" si="94">(D143/$D$116)</f>
        <v>5.3149911057396671E-4</v>
      </c>
      <c r="F143" s="38">
        <v>1443.66258182</v>
      </c>
      <c r="G143" s="38">
        <v>1443.66258182</v>
      </c>
      <c r="H143" s="35">
        <v>5</v>
      </c>
      <c r="I143" s="57">
        <v>0.12889999999999999</v>
      </c>
      <c r="J143" s="57">
        <v>-8.2000000000000007E-3</v>
      </c>
      <c r="K143" s="39">
        <f>96333.23*W139</f>
        <v>131340282.64914201</v>
      </c>
      <c r="L143" s="34">
        <f t="shared" si="93"/>
        <v>5.3374675146813629E-4</v>
      </c>
      <c r="M143" s="38">
        <f>1.0712*W139</f>
        <v>1460.46915248</v>
      </c>
      <c r="N143" s="38">
        <f>1.0712*W139</f>
        <v>1460.46915248</v>
      </c>
      <c r="O143" s="35">
        <v>5</v>
      </c>
      <c r="P143" s="57">
        <v>-1E-3</v>
      </c>
      <c r="Q143" s="57">
        <v>0.1278</v>
      </c>
      <c r="R143" s="62">
        <f t="shared" si="84"/>
        <v>1.1577349452936007E-2</v>
      </c>
      <c r="S143" s="62">
        <f t="shared" si="85"/>
        <v>1.1641619635810112E-2</v>
      </c>
      <c r="T143" s="62">
        <f t="shared" si="86"/>
        <v>0</v>
      </c>
      <c r="U143" s="63">
        <f t="shared" si="87"/>
        <v>-0.12989999999999999</v>
      </c>
      <c r="V143" s="64">
        <f t="shared" si="88"/>
        <v>0.13600000000000001</v>
      </c>
    </row>
    <row r="144" spans="1:25">
      <c r="A144" s="157">
        <v>127</v>
      </c>
      <c r="B144" s="149" t="s">
        <v>199</v>
      </c>
      <c r="C144" s="148" t="s">
        <v>71</v>
      </c>
      <c r="D144" s="33">
        <v>10976150098.0427</v>
      </c>
      <c r="E144" s="34">
        <f t="shared" si="83"/>
        <v>6.0272726980751725E-3</v>
      </c>
      <c r="F144" s="33">
        <v>1822.19071254759</v>
      </c>
      <c r="G144" s="33">
        <v>1822.19071254759</v>
      </c>
      <c r="H144" s="35">
        <v>327</v>
      </c>
      <c r="I144" s="57">
        <v>6.9000000000000006E-2</v>
      </c>
      <c r="J144" s="57">
        <v>7.2800000000000004E-2</v>
      </c>
      <c r="K144" s="33">
        <v>10941317732.389099</v>
      </c>
      <c r="L144" s="34">
        <f t="shared" si="82"/>
        <v>5.9660963703068544E-3</v>
      </c>
      <c r="M144" s="33">
        <v>1848.2035648757201</v>
      </c>
      <c r="N144" s="33">
        <v>1848.2035648757201</v>
      </c>
      <c r="O144" s="35">
        <v>326</v>
      </c>
      <c r="P144" s="57">
        <v>6.9599999999999995E-2</v>
      </c>
      <c r="Q144" s="57">
        <v>7.2499999999999995E-2</v>
      </c>
      <c r="R144" s="63">
        <f t="shared" si="84"/>
        <v>-3.173459304261164E-3</v>
      </c>
      <c r="S144" s="63">
        <f t="shared" si="85"/>
        <v>1.4275592641871008E-2</v>
      </c>
      <c r="T144" s="62">
        <f t="shared" si="86"/>
        <v>-3.0581039755351682E-3</v>
      </c>
      <c r="U144" s="63">
        <f t="shared" si="87"/>
        <v>5.9999999999998943E-4</v>
      </c>
      <c r="V144" s="64">
        <f t="shared" si="88"/>
        <v>-3.0000000000000859E-4</v>
      </c>
    </row>
    <row r="145" spans="1:24">
      <c r="A145" s="157">
        <v>128</v>
      </c>
      <c r="B145" s="149" t="s">
        <v>200</v>
      </c>
      <c r="C145" s="148" t="s">
        <v>94</v>
      </c>
      <c r="D145" s="33">
        <v>406679331.93843997</v>
      </c>
      <c r="E145" s="34">
        <f t="shared" si="83"/>
        <v>2.23317576050742E-4</v>
      </c>
      <c r="F145" s="33">
        <v>1400.176336</v>
      </c>
      <c r="G145" s="33">
        <v>1400.176336</v>
      </c>
      <c r="H145" s="35">
        <v>12</v>
      </c>
      <c r="I145" s="57">
        <v>5.9999999999999995E-4</v>
      </c>
      <c r="J145" s="57">
        <v>3.3999999999999998E-3</v>
      </c>
      <c r="K145" s="33">
        <f>302388.84*W139</f>
        <v>412275553.46733606</v>
      </c>
      <c r="L145" s="34">
        <f t="shared" si="82"/>
        <v>2.2480616533294284E-4</v>
      </c>
      <c r="M145" s="33">
        <f>1.04*W139</f>
        <v>1417.9312160000002</v>
      </c>
      <c r="N145" s="33">
        <f>1.04*W139</f>
        <v>1417.9312160000002</v>
      </c>
      <c r="O145" s="35">
        <v>12</v>
      </c>
      <c r="P145" s="57">
        <v>5.9999999999999995E-4</v>
      </c>
      <c r="Q145" s="57">
        <v>4.1999999999999997E-3</v>
      </c>
      <c r="R145" s="63">
        <f t="shared" si="84"/>
        <v>1.3760771913885229E-2</v>
      </c>
      <c r="S145" s="63">
        <f t="shared" si="85"/>
        <v>1.2680459984577388E-2</v>
      </c>
      <c r="T145" s="62">
        <f t="shared" si="86"/>
        <v>0</v>
      </c>
      <c r="U145" s="63">
        <f t="shared" si="87"/>
        <v>0</v>
      </c>
      <c r="V145" s="64">
        <f t="shared" si="88"/>
        <v>7.9999999999999993E-4</v>
      </c>
    </row>
    <row r="146" spans="1:24">
      <c r="A146" s="157">
        <v>129</v>
      </c>
      <c r="B146" s="149" t="s">
        <v>201</v>
      </c>
      <c r="C146" s="148" t="s">
        <v>38</v>
      </c>
      <c r="D146" s="33">
        <v>127088370599.399</v>
      </c>
      <c r="E146" s="34">
        <f t="shared" si="83"/>
        <v>6.9787335223596467E-2</v>
      </c>
      <c r="F146" s="33">
        <v>100</v>
      </c>
      <c r="G146" s="33">
        <v>100</v>
      </c>
      <c r="H146" s="35">
        <v>2686</v>
      </c>
      <c r="I146" s="57">
        <v>5.2600000000000001E-2</v>
      </c>
      <c r="J146" s="57">
        <v>5.2299999999999999E-2</v>
      </c>
      <c r="K146" s="33">
        <v>123381316547.57001</v>
      </c>
      <c r="L146" s="34">
        <f t="shared" si="82"/>
        <v>6.7277529345398671E-2</v>
      </c>
      <c r="M146" s="33">
        <v>100</v>
      </c>
      <c r="N146" s="33">
        <v>100</v>
      </c>
      <c r="O146" s="35">
        <v>2765</v>
      </c>
      <c r="P146" s="57">
        <v>5.1999999999999998E-2</v>
      </c>
      <c r="Q146" s="57">
        <v>5.2299999999999999E-2</v>
      </c>
      <c r="R146" s="63">
        <f t="shared" si="84"/>
        <v>-2.9169105200932723E-2</v>
      </c>
      <c r="S146" s="63">
        <f t="shared" si="85"/>
        <v>0</v>
      </c>
      <c r="T146" s="63">
        <f t="shared" si="86"/>
        <v>2.9411764705882353E-2</v>
      </c>
      <c r="U146" s="63">
        <f t="shared" si="87"/>
        <v>-6.0000000000000331E-4</v>
      </c>
      <c r="V146" s="64">
        <f t="shared" si="88"/>
        <v>0</v>
      </c>
    </row>
    <row r="147" spans="1:24" ht="15.6">
      <c r="A147" s="157">
        <v>130</v>
      </c>
      <c r="B147" s="149" t="s">
        <v>202</v>
      </c>
      <c r="C147" s="148" t="s">
        <v>151</v>
      </c>
      <c r="D147" s="33">
        <v>1487547675.9472499</v>
      </c>
      <c r="E147" s="34">
        <f t="shared" si="83"/>
        <v>8.1684884173740039E-4</v>
      </c>
      <c r="F147" s="33">
        <v>1534.8086759999999</v>
      </c>
      <c r="G147" s="33">
        <v>1534.8086759999999</v>
      </c>
      <c r="H147" s="35">
        <v>53</v>
      </c>
      <c r="I147" s="57">
        <v>1.9E-3</v>
      </c>
      <c r="J147" s="57">
        <v>0.14560000000000001</v>
      </c>
      <c r="K147" s="33">
        <f>998582.06*W139</f>
        <v>1361462187.1265242</v>
      </c>
      <c r="L147" s="34">
        <f t="shared" si="82"/>
        <v>7.4237992274738267E-4</v>
      </c>
      <c r="M147" s="33">
        <f>1.14*W139</f>
        <v>1554.2707559999999</v>
      </c>
      <c r="N147" s="33">
        <f>1.14*W139</f>
        <v>1554.2707559999999</v>
      </c>
      <c r="O147" s="35">
        <v>53</v>
      </c>
      <c r="P147" s="57">
        <v>1.9E-3</v>
      </c>
      <c r="Q147" s="57">
        <v>0.12559999999999999</v>
      </c>
      <c r="R147" s="63">
        <f t="shared" si="84"/>
        <v>-8.4760637161048424E-2</v>
      </c>
      <c r="S147" s="63">
        <f t="shared" si="85"/>
        <v>1.2680459984577267E-2</v>
      </c>
      <c r="T147" s="63">
        <f t="shared" si="86"/>
        <v>0</v>
      </c>
      <c r="U147" s="63">
        <f t="shared" si="87"/>
        <v>0</v>
      </c>
      <c r="V147" s="64">
        <f t="shared" si="88"/>
        <v>-2.0000000000000018E-2</v>
      </c>
      <c r="X147" s="85"/>
    </row>
    <row r="148" spans="1:24" ht="15.6">
      <c r="A148" s="157">
        <v>131</v>
      </c>
      <c r="B148" s="149" t="s">
        <v>329</v>
      </c>
      <c r="C148" s="148" t="s">
        <v>44</v>
      </c>
      <c r="D148" s="39">
        <v>11158719015.324211</v>
      </c>
      <c r="E148" s="34">
        <f t="shared" si="83"/>
        <v>6.1275257595602029E-3</v>
      </c>
      <c r="F148" s="33">
        <v>14446.050082</v>
      </c>
      <c r="G148" s="33">
        <v>14446.050082</v>
      </c>
      <c r="H148" s="35">
        <v>182</v>
      </c>
      <c r="I148" s="57">
        <v>5.5100000000000003E-2</v>
      </c>
      <c r="J148" s="57">
        <v>7.4999999999999997E-2</v>
      </c>
      <c r="K148" s="39">
        <f>8389078.5*W139</f>
        <v>11437631037.138901</v>
      </c>
      <c r="L148" s="34">
        <f t="shared" si="82"/>
        <v>6.2367267530839959E-3</v>
      </c>
      <c r="M148" s="33">
        <f>10.8*W139</f>
        <v>14724.670320000003</v>
      </c>
      <c r="N148" s="33">
        <f>10.8*W139</f>
        <v>14724.670320000003</v>
      </c>
      <c r="O148" s="35">
        <v>187</v>
      </c>
      <c r="P148" s="57">
        <v>5.5100000000000003E-2</v>
      </c>
      <c r="Q148" s="57">
        <v>7.4999999999999997E-2</v>
      </c>
      <c r="R148" s="63">
        <f t="shared" si="84"/>
        <v>2.4994985663825856E-2</v>
      </c>
      <c r="S148" s="63">
        <f t="shared" si="85"/>
        <v>1.9286949471895316E-2</v>
      </c>
      <c r="T148" s="63">
        <f t="shared" si="86"/>
        <v>2.7472527472527472E-2</v>
      </c>
      <c r="U148" s="63">
        <f t="shared" si="87"/>
        <v>0</v>
      </c>
      <c r="V148" s="64">
        <f t="shared" si="88"/>
        <v>0</v>
      </c>
      <c r="X148" s="85"/>
    </row>
    <row r="149" spans="1:24" ht="15.6">
      <c r="A149" s="157">
        <v>132</v>
      </c>
      <c r="B149" s="148" t="s">
        <v>203</v>
      </c>
      <c r="C149" s="151" t="s">
        <v>48</v>
      </c>
      <c r="D149" s="33">
        <v>29828241999.09</v>
      </c>
      <c r="E149" s="34">
        <f t="shared" si="83"/>
        <v>1.637941783109852E-2</v>
      </c>
      <c r="F149" s="33">
        <v>1480.9557400000001</v>
      </c>
      <c r="G149" s="33">
        <v>1480.9557400000001</v>
      </c>
      <c r="H149" s="35">
        <v>737</v>
      </c>
      <c r="I149" s="57">
        <v>4.7999999999999996E-3</v>
      </c>
      <c r="J149" s="57">
        <v>5.57E-2</v>
      </c>
      <c r="K149" s="33">
        <v>30007129760.369999</v>
      </c>
      <c r="L149" s="34">
        <f t="shared" si="82"/>
        <v>1.6362327858984407E-2</v>
      </c>
      <c r="M149" s="33">
        <f>1.1*W139</f>
        <v>1499.7349400000003</v>
      </c>
      <c r="N149" s="33">
        <f>1.1*W139</f>
        <v>1499.7349400000003</v>
      </c>
      <c r="O149" s="35">
        <v>737</v>
      </c>
      <c r="P149" s="57">
        <v>1.8E-3</v>
      </c>
      <c r="Q149" s="57">
        <v>5.7000000000000002E-2</v>
      </c>
      <c r="R149" s="63">
        <f t="shared" si="84"/>
        <v>5.9972612963732925E-3</v>
      </c>
      <c r="S149" s="63">
        <f t="shared" si="85"/>
        <v>1.2680459984577373E-2</v>
      </c>
      <c r="T149" s="63">
        <f t="shared" si="86"/>
        <v>0</v>
      </c>
      <c r="U149" s="63">
        <f t="shared" si="87"/>
        <v>-2.9999999999999996E-3</v>
      </c>
      <c r="V149" s="64">
        <f t="shared" si="88"/>
        <v>1.3000000000000025E-3</v>
      </c>
      <c r="X149" s="85"/>
    </row>
    <row r="150" spans="1:24">
      <c r="A150" s="157">
        <v>133</v>
      </c>
      <c r="B150" s="149" t="s">
        <v>204</v>
      </c>
      <c r="C150" s="148" t="s">
        <v>106</v>
      </c>
      <c r="D150" s="39">
        <v>412891323.12349999</v>
      </c>
      <c r="E150" s="34">
        <f t="shared" si="83"/>
        <v>2.2672873247042987E-4</v>
      </c>
      <c r="F150" s="33">
        <v>1726.6157999999998</v>
      </c>
      <c r="G150" s="33">
        <v>1726.6157999999998</v>
      </c>
      <c r="H150" s="35">
        <v>2</v>
      </c>
      <c r="I150" s="57">
        <v>-5.6769E-2</v>
      </c>
      <c r="J150" s="57">
        <v>-5.5378999999999998E-2</v>
      </c>
      <c r="K150" s="39">
        <f>301307.95 *1370.33</f>
        <v>412891323.12349999</v>
      </c>
      <c r="L150" s="34">
        <f t="shared" si="82"/>
        <v>2.2514193303482664E-4</v>
      </c>
      <c r="M150" s="33">
        <f>1.26*1370.33</f>
        <v>1726.6157999999998</v>
      </c>
      <c r="N150" s="33">
        <f>1.26*1370.33</f>
        <v>1726.6157999999998</v>
      </c>
      <c r="O150" s="35">
        <v>2</v>
      </c>
      <c r="P150" s="57">
        <v>-5.6769E-2</v>
      </c>
      <c r="Q150" s="57">
        <v>-5.5378999999999998E-2</v>
      </c>
      <c r="R150" s="63">
        <f t="shared" si="84"/>
        <v>0</v>
      </c>
      <c r="S150" s="63">
        <f t="shared" si="85"/>
        <v>0</v>
      </c>
      <c r="T150" s="63">
        <f t="shared" si="86"/>
        <v>0</v>
      </c>
      <c r="U150" s="63">
        <f t="shared" ref="U150" si="95">P150-I150</f>
        <v>0</v>
      </c>
      <c r="V150" s="64">
        <f t="shared" ref="V150" si="96">Q150-J150</f>
        <v>0</v>
      </c>
    </row>
    <row r="151" spans="1:24">
      <c r="A151" s="157">
        <v>134</v>
      </c>
      <c r="B151" s="149" t="s">
        <v>205</v>
      </c>
      <c r="C151" s="148" t="s">
        <v>111</v>
      </c>
      <c r="D151" s="39">
        <v>880513073.12037003</v>
      </c>
      <c r="E151" s="34">
        <f t="shared" si="83"/>
        <v>4.8351128205353634E-4</v>
      </c>
      <c r="F151" s="33">
        <v>1454.2985366800001</v>
      </c>
      <c r="G151" s="33">
        <v>1450.2595664799999</v>
      </c>
      <c r="H151" s="35">
        <v>11</v>
      </c>
      <c r="I151" s="57">
        <v>2.8E-3</v>
      </c>
      <c r="J151" s="57">
        <v>1.11E-2</v>
      </c>
      <c r="K151" s="39">
        <f>553088.91*W139</f>
        <v>754078875.68501413</v>
      </c>
      <c r="L151" s="34">
        <f t="shared" si="82"/>
        <v>4.1118513813299842E-4</v>
      </c>
      <c r="M151" s="33">
        <f>1.0784*W139</f>
        <v>1470.2855993600001</v>
      </c>
      <c r="N151" s="33">
        <f>1.0784*W139</f>
        <v>1470.2855993600001</v>
      </c>
      <c r="O151" s="35">
        <v>11</v>
      </c>
      <c r="P151" s="57">
        <v>-1.6999999999999999E-3</v>
      </c>
      <c r="Q151" s="57">
        <v>9.4000000000000004E-3</v>
      </c>
      <c r="R151" s="63">
        <f t="shared" ref="R151" si="97">((K151-D151)/D151)</f>
        <v>-0.14359150510655938</v>
      </c>
      <c r="S151" s="63">
        <f t="shared" ref="S151" si="98">((N151-G151)/G151)</f>
        <v>1.3808585264916715E-2</v>
      </c>
      <c r="T151" s="63">
        <f t="shared" si="86"/>
        <v>0</v>
      </c>
      <c r="U151" s="63">
        <f t="shared" si="87"/>
        <v>-4.4999999999999997E-3</v>
      </c>
      <c r="V151" s="64">
        <f t="shared" si="88"/>
        <v>-1.7000000000000001E-3</v>
      </c>
    </row>
    <row r="152" spans="1:24">
      <c r="A152" s="157">
        <v>135</v>
      </c>
      <c r="B152" s="149" t="s">
        <v>206</v>
      </c>
      <c r="C152" s="148" t="s">
        <v>50</v>
      </c>
      <c r="D152" s="39">
        <v>902082942188.80005</v>
      </c>
      <c r="E152" s="34">
        <f t="shared" si="83"/>
        <v>0.49535582515616644</v>
      </c>
      <c r="F152" s="33">
        <v>2264.83</v>
      </c>
      <c r="G152" s="33">
        <v>2264.83</v>
      </c>
      <c r="H152" s="35">
        <v>13231</v>
      </c>
      <c r="I152" s="57">
        <v>6.9999999999999999E-4</v>
      </c>
      <c r="J152" s="57">
        <v>5.0000000000000001E-3</v>
      </c>
      <c r="K152" s="39">
        <v>905366421582.05005</v>
      </c>
      <c r="L152" s="34">
        <f t="shared" si="82"/>
        <v>0.49367941355075934</v>
      </c>
      <c r="M152" s="33">
        <v>2295.6</v>
      </c>
      <c r="N152" s="33">
        <v>2295.6</v>
      </c>
      <c r="O152" s="35">
        <v>13274</v>
      </c>
      <c r="P152" s="57">
        <v>6.9999999999999999E-4</v>
      </c>
      <c r="Q152" s="57">
        <v>5.7000000000000002E-3</v>
      </c>
      <c r="R152" s="63">
        <f t="shared" si="84"/>
        <v>3.6398863559962864E-3</v>
      </c>
      <c r="S152" s="63">
        <f t="shared" si="85"/>
        <v>1.3586008662901843E-2</v>
      </c>
      <c r="T152" s="63">
        <f t="shared" si="86"/>
        <v>3.2499433149421812E-3</v>
      </c>
      <c r="U152" s="63">
        <f t="shared" si="87"/>
        <v>0</v>
      </c>
      <c r="V152" s="64">
        <f t="shared" si="88"/>
        <v>7.000000000000001E-4</v>
      </c>
    </row>
    <row r="153" spans="1:24">
      <c r="A153" s="157">
        <v>136</v>
      </c>
      <c r="B153" s="149" t="s">
        <v>207</v>
      </c>
      <c r="C153" s="149" t="s">
        <v>116</v>
      </c>
      <c r="D153" s="39">
        <v>547219729.45142603</v>
      </c>
      <c r="E153" s="34">
        <f t="shared" si="83"/>
        <v>3.004917485374781E-4</v>
      </c>
      <c r="F153" s="33">
        <v>155190.69831799998</v>
      </c>
      <c r="G153" s="33">
        <v>155190.69831799998</v>
      </c>
      <c r="H153" s="35">
        <v>31</v>
      </c>
      <c r="I153" s="57">
        <v>3.3E-3</v>
      </c>
      <c r="J153" s="57">
        <v>1.38E-2</v>
      </c>
      <c r="K153" s="39">
        <f>408854.89*W139</f>
        <v>557430876.29350603</v>
      </c>
      <c r="L153" s="34">
        <f t="shared" si="82"/>
        <v>3.0395665395099289E-4</v>
      </c>
      <c r="M153" s="33">
        <f>115.9507*W139</f>
        <v>158086.65100678001</v>
      </c>
      <c r="N153" s="33">
        <f>115.9507*W139</f>
        <v>158086.65100678001</v>
      </c>
      <c r="O153" s="35">
        <v>31</v>
      </c>
      <c r="P153" s="57">
        <v>5.8999999999999999E-3</v>
      </c>
      <c r="Q153" s="57">
        <v>0.02</v>
      </c>
      <c r="R153" s="63">
        <f t="shared" ref="R153" si="99">((K153-D153)/D153)</f>
        <v>1.8660048774769896E-2</v>
      </c>
      <c r="S153" s="63">
        <f t="shared" ref="S153" si="100">((N153-G153)/G153)</f>
        <v>1.8660607369946607E-2</v>
      </c>
      <c r="T153" s="63">
        <f t="shared" ref="T153" si="101">((O153-H153)/H153)</f>
        <v>0</v>
      </c>
      <c r="U153" s="63">
        <f t="shared" ref="U153" si="102">P153-I153</f>
        <v>2.5999999999999999E-3</v>
      </c>
      <c r="V153" s="64">
        <f t="shared" ref="V153" si="103">Q153-J153</f>
        <v>6.2000000000000006E-3</v>
      </c>
    </row>
    <row r="154" spans="1:24" ht="16.5" customHeight="1">
      <c r="A154" s="157">
        <v>137</v>
      </c>
      <c r="B154" s="149" t="s">
        <v>208</v>
      </c>
      <c r="C154" s="148" t="s">
        <v>53</v>
      </c>
      <c r="D154" s="39">
        <v>185947987358.89954</v>
      </c>
      <c r="E154" s="34">
        <f t="shared" si="83"/>
        <v>0.10210859157895259</v>
      </c>
      <c r="F154" s="33">
        <v>1693.5022650000003</v>
      </c>
      <c r="G154" s="33">
        <v>1693.5022650000003</v>
      </c>
      <c r="H154" s="35">
        <v>976</v>
      </c>
      <c r="I154" s="57">
        <v>1.1000000000000001E-3</v>
      </c>
      <c r="J154" s="57">
        <v>5.3400000000000003E-2</v>
      </c>
      <c r="K154" s="39">
        <f>137894970.73*1364.56</f>
        <v>188165961259.32877</v>
      </c>
      <c r="L154" s="34">
        <f t="shared" si="82"/>
        <v>0.10260338708210166</v>
      </c>
      <c r="M154" s="33">
        <f>1.2582*1364.56</f>
        <v>1716.8893919999998</v>
      </c>
      <c r="N154" s="33">
        <f>1.2582*1364.56</f>
        <v>1716.8893919999998</v>
      </c>
      <c r="O154" s="35">
        <v>984</v>
      </c>
      <c r="P154" s="57">
        <v>5.5100000000000003E-2</v>
      </c>
      <c r="Q154" s="57">
        <v>5.3100000000000001E-2</v>
      </c>
      <c r="R154" s="63">
        <f t="shared" si="84"/>
        <v>1.1927926362269803E-2</v>
      </c>
      <c r="S154" s="63">
        <f t="shared" si="85"/>
        <v>1.3809917756442743E-2</v>
      </c>
      <c r="T154" s="63">
        <f t="shared" si="86"/>
        <v>8.1967213114754103E-3</v>
      </c>
      <c r="U154" s="63">
        <f t="shared" si="87"/>
        <v>5.4000000000000006E-2</v>
      </c>
      <c r="V154" s="64">
        <f t="shared" si="88"/>
        <v>-3.0000000000000165E-4</v>
      </c>
    </row>
    <row r="155" spans="1:24" ht="16.5" customHeight="1">
      <c r="A155" s="157">
        <v>138</v>
      </c>
      <c r="B155" s="149" t="s">
        <v>209</v>
      </c>
      <c r="C155" s="148" t="s">
        <v>113</v>
      </c>
      <c r="D155" s="33">
        <v>2310088601.8088298</v>
      </c>
      <c r="E155" s="34">
        <f t="shared" si="83"/>
        <v>1.2685261986623065E-3</v>
      </c>
      <c r="F155" s="33">
        <v>153938.61755600001</v>
      </c>
      <c r="G155" s="33">
        <v>153938.61755600001</v>
      </c>
      <c r="H155" s="35">
        <v>32</v>
      </c>
      <c r="I155" s="57">
        <v>2.0999999999999999E-3</v>
      </c>
      <c r="J155" s="57">
        <v>2.2100000000000002E-2</v>
      </c>
      <c r="K155" s="33">
        <f>1717816.70665326*W139</f>
        <v>2342063395.8942041</v>
      </c>
      <c r="L155" s="34">
        <f t="shared" si="82"/>
        <v>1.2770834617030977E-3</v>
      </c>
      <c r="M155" s="33">
        <f>114.48*W139</f>
        <v>156081.50539200002</v>
      </c>
      <c r="N155" s="33">
        <f>114.48*W139</f>
        <v>156081.50539200002</v>
      </c>
      <c r="O155" s="35">
        <v>32</v>
      </c>
      <c r="P155" s="57">
        <v>1.1000000000000001E-3</v>
      </c>
      <c r="Q155" s="57">
        <v>2.3900000000000001E-2</v>
      </c>
      <c r="R155" s="63">
        <f t="shared" si="84"/>
        <v>1.3841371305125557E-2</v>
      </c>
      <c r="S155" s="63">
        <f t="shared" si="85"/>
        <v>1.3920404574378266E-2</v>
      </c>
      <c r="T155" s="63">
        <f t="shared" si="86"/>
        <v>0</v>
      </c>
      <c r="U155" s="63">
        <f t="shared" si="87"/>
        <v>-9.999999999999998E-4</v>
      </c>
      <c r="V155" s="64">
        <f t="shared" si="88"/>
        <v>1.7999999999999995E-3</v>
      </c>
    </row>
    <row r="156" spans="1:24" ht="16.5" customHeight="1">
      <c r="A156" s="157">
        <v>139</v>
      </c>
      <c r="B156" s="149" t="s">
        <v>210</v>
      </c>
      <c r="C156" s="148" t="s">
        <v>123</v>
      </c>
      <c r="D156" s="33">
        <v>5838922877.4328537</v>
      </c>
      <c r="E156" s="34">
        <f t="shared" si="83"/>
        <v>3.2062954798325188E-3</v>
      </c>
      <c r="F156" s="33">
        <v>1575.1983779999998</v>
      </c>
      <c r="G156" s="33">
        <v>1575.1983779999998</v>
      </c>
      <c r="H156" s="35">
        <v>57</v>
      </c>
      <c r="I156" s="57">
        <v>7.0000000000000001E-3</v>
      </c>
      <c r="J156" s="57">
        <v>8.3000000000000001E-3</v>
      </c>
      <c r="K156" s="33">
        <f>4337621.53*W139</f>
        <v>5913893240.9429626</v>
      </c>
      <c r="L156" s="34">
        <f t="shared" si="82"/>
        <v>3.2247356179709295E-3</v>
      </c>
      <c r="M156" s="33">
        <f>1.17*W139</f>
        <v>1595.1726180000001</v>
      </c>
      <c r="N156" s="33">
        <f>1.17*W139</f>
        <v>1595.1726180000001</v>
      </c>
      <c r="O156" s="35">
        <v>57</v>
      </c>
      <c r="P156" s="57">
        <v>1.0999999999999999E-2</v>
      </c>
      <c r="Q156" s="57">
        <v>1.2200000000000001E-2</v>
      </c>
      <c r="R156" s="63">
        <f t="shared" ref="R156" si="104">((K156-D156)/D156)</f>
        <v>1.2839759161722392E-2</v>
      </c>
      <c r="S156" s="63">
        <f t="shared" ref="S156" si="105">((N156-G156)/G156)</f>
        <v>1.2680459984577409E-2</v>
      </c>
      <c r="T156" s="63">
        <f t="shared" si="86"/>
        <v>0</v>
      </c>
      <c r="U156" s="63">
        <f t="shared" si="87"/>
        <v>3.9999999999999992E-3</v>
      </c>
      <c r="V156" s="64">
        <f t="shared" si="88"/>
        <v>3.9000000000000007E-3</v>
      </c>
    </row>
    <row r="157" spans="1:24">
      <c r="A157" s="157">
        <v>140</v>
      </c>
      <c r="B157" s="149" t="s">
        <v>211</v>
      </c>
      <c r="C157" s="148" t="s">
        <v>125</v>
      </c>
      <c r="D157" s="33">
        <v>1802709113.0355458</v>
      </c>
      <c r="E157" s="34">
        <f t="shared" si="83"/>
        <v>9.899117015088933E-4</v>
      </c>
      <c r="F157" s="33">
        <v>2032.9483339999999</v>
      </c>
      <c r="G157" s="33">
        <v>2032.9483339999999</v>
      </c>
      <c r="H157" s="35">
        <v>133</v>
      </c>
      <c r="I157" s="57">
        <v>5.4000000000000003E-3</v>
      </c>
      <c r="J157" s="57">
        <v>1.4200000000000001E-2</v>
      </c>
      <c r="K157" s="33">
        <f>1369992.02*W139</f>
        <v>1867840818.1047082</v>
      </c>
      <c r="L157" s="34">
        <f>(K157/$K$158)</f>
        <v>1.0184987400756334E-3</v>
      </c>
      <c r="M157" s="33">
        <f>1.51*W139</f>
        <v>2058.727054</v>
      </c>
      <c r="N157" s="33">
        <f>1.51*W139</f>
        <v>2058.727054</v>
      </c>
      <c r="O157" s="35">
        <v>133</v>
      </c>
      <c r="P157" s="57">
        <v>-1.1000000000000001E-3</v>
      </c>
      <c r="Q157" s="57">
        <v>1.34E-2</v>
      </c>
      <c r="R157" s="63">
        <f t="shared" si="84"/>
        <v>3.6129902821364447E-2</v>
      </c>
      <c r="S157" s="63">
        <f t="shared" si="85"/>
        <v>1.2680459984577269E-2</v>
      </c>
      <c r="T157" s="63">
        <f t="shared" si="86"/>
        <v>0</v>
      </c>
      <c r="U157" s="63">
        <f t="shared" si="87"/>
        <v>-6.5000000000000006E-3</v>
      </c>
      <c r="V157" s="64">
        <f t="shared" si="88"/>
        <v>-8.0000000000000036E-4</v>
      </c>
    </row>
    <row r="158" spans="1:24">
      <c r="A158" s="42"/>
      <c r="B158" s="43"/>
      <c r="C158" s="78" t="s">
        <v>56</v>
      </c>
      <c r="D158" s="66">
        <f>SUM(D120:D157)</f>
        <v>1821080718904.251</v>
      </c>
      <c r="E158" s="46">
        <f>(D158/$D$234)</f>
        <v>0.22181208200398678</v>
      </c>
      <c r="F158" s="47"/>
      <c r="G158" s="52"/>
      <c r="H158" s="49">
        <f>SUM(H120:H157)</f>
        <v>30192</v>
      </c>
      <c r="I158" s="82"/>
      <c r="J158" s="82"/>
      <c r="K158" s="66">
        <f>SUM(K120:K157)</f>
        <v>1833915688463.2009</v>
      </c>
      <c r="L158" s="46">
        <f>(K158/$K$234)</f>
        <v>0.22244376835054178</v>
      </c>
      <c r="M158" s="47"/>
      <c r="N158" s="52"/>
      <c r="O158" s="49">
        <f>SUM(O120:O157)</f>
        <v>30148</v>
      </c>
      <c r="P158" s="82"/>
      <c r="Q158" s="82"/>
      <c r="R158" s="63">
        <f t="shared" si="84"/>
        <v>7.0479959650952681E-3</v>
      </c>
      <c r="S158" s="63" t="e">
        <f t="shared" si="85"/>
        <v>#DIV/0!</v>
      </c>
      <c r="T158" s="63">
        <f t="shared" si="86"/>
        <v>-1.4573396926338103E-3</v>
      </c>
      <c r="U158" s="63">
        <f t="shared" si="87"/>
        <v>0</v>
      </c>
      <c r="V158" s="64">
        <f t="shared" si="88"/>
        <v>0</v>
      </c>
    </row>
    <row r="159" spans="1:24" ht="6" customHeight="1">
      <c r="A159" s="42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</row>
    <row r="160" spans="1:24">
      <c r="A160" s="167" t="s">
        <v>212</v>
      </c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</row>
    <row r="161" spans="1:22">
      <c r="A161" s="157">
        <v>141</v>
      </c>
      <c r="B161" s="149" t="s">
        <v>213</v>
      </c>
      <c r="C161" s="148" t="s">
        <v>214</v>
      </c>
      <c r="D161" s="79">
        <v>2350783423.3802299</v>
      </c>
      <c r="E161" s="34">
        <f>(D161/$D$167)</f>
        <v>4.6468949458925175E-3</v>
      </c>
      <c r="F161" s="67">
        <v>110.781499688041</v>
      </c>
      <c r="G161" s="67">
        <v>110.781499688041</v>
      </c>
      <c r="H161" s="35">
        <v>8</v>
      </c>
      <c r="I161" s="57">
        <v>2.8E-3</v>
      </c>
      <c r="J161" s="57">
        <v>5.3800000000000001E-2</v>
      </c>
      <c r="K161" s="79">
        <v>2355014833.5423102</v>
      </c>
      <c r="L161" s="34">
        <f>(K161/$K$167)</f>
        <v>4.7956569875300245E-3</v>
      </c>
      <c r="M161" s="67">
        <v>110.980906387479</v>
      </c>
      <c r="N161" s="67">
        <v>110.980906387479</v>
      </c>
      <c r="O161" s="35">
        <v>8</v>
      </c>
      <c r="P161" s="57">
        <v>1.8E-3</v>
      </c>
      <c r="Q161" s="57">
        <v>5.57E-2</v>
      </c>
      <c r="R161" s="63">
        <f t="shared" ref="R161:R167" si="106">((K161-D161)/D161)</f>
        <v>1.7999999999982448E-3</v>
      </c>
      <c r="S161" s="63">
        <f t="shared" ref="S161:T167" si="107">((N161-G161)/G161)</f>
        <v>1.7999999999957286E-3</v>
      </c>
      <c r="T161" s="63">
        <f t="shared" si="107"/>
        <v>0</v>
      </c>
      <c r="U161" s="63">
        <f t="shared" ref="U161:V167" si="108">P161-I161</f>
        <v>-1E-3</v>
      </c>
      <c r="V161" s="64">
        <f t="shared" si="108"/>
        <v>1.8999999999999989E-3</v>
      </c>
    </row>
    <row r="162" spans="1:22">
      <c r="A162" s="157">
        <v>142</v>
      </c>
      <c r="B162" s="149" t="s">
        <v>215</v>
      </c>
      <c r="C162" s="148" t="s">
        <v>24</v>
      </c>
      <c r="D162" s="79">
        <v>271843304595.34</v>
      </c>
      <c r="E162" s="34">
        <v>0</v>
      </c>
      <c r="F162" s="67">
        <v>108.7373</v>
      </c>
      <c r="G162" s="67">
        <v>108.7373</v>
      </c>
      <c r="H162" s="35">
        <v>45</v>
      </c>
      <c r="I162" s="57">
        <v>9.4500000000000001E-2</v>
      </c>
      <c r="J162" s="57">
        <v>4.2099999999999999E-2</v>
      </c>
      <c r="K162" s="79">
        <v>257019410195.45001</v>
      </c>
      <c r="L162" s="34">
        <f t="shared" ref="L162:L166" si="109">(K162/$K$167)</f>
        <v>0.5233839349456102</v>
      </c>
      <c r="M162" s="67">
        <v>108.9435647</v>
      </c>
      <c r="N162" s="67">
        <v>108.9435647</v>
      </c>
      <c r="O162" s="35">
        <v>45</v>
      </c>
      <c r="P162" s="57">
        <v>9.8900000000000002E-2</v>
      </c>
      <c r="Q162" s="57">
        <v>4.9000000000000002E-2</v>
      </c>
      <c r="R162" s="63">
        <f t="shared" ref="R162" si="110">((K162-D162)/D162)</f>
        <v>-5.4531026327672517E-2</v>
      </c>
      <c r="S162" s="63">
        <f t="shared" ref="S162" si="111">((N162-G162)/G162)</f>
        <v>1.8969084205694945E-3</v>
      </c>
      <c r="T162" s="63">
        <f t="shared" ref="T162" si="112">((O162-H162)/H162)</f>
        <v>0</v>
      </c>
      <c r="U162" s="63">
        <f t="shared" ref="U162" si="113">P162-I162</f>
        <v>4.4000000000000011E-3</v>
      </c>
      <c r="V162" s="64">
        <f t="shared" ref="V162" si="114">Q162-J162</f>
        <v>6.9000000000000034E-3</v>
      </c>
    </row>
    <row r="163" spans="1:22">
      <c r="A163" s="157">
        <v>143</v>
      </c>
      <c r="B163" s="149" t="s">
        <v>216</v>
      </c>
      <c r="C163" s="148" t="s">
        <v>48</v>
      </c>
      <c r="D163" s="39">
        <v>163627573866</v>
      </c>
      <c r="E163" s="34">
        <f>(D163/$D$167)</f>
        <v>0.32344967998508156</v>
      </c>
      <c r="F163" s="67">
        <v>103</v>
      </c>
      <c r="G163" s="67">
        <v>103</v>
      </c>
      <c r="H163" s="35">
        <v>851</v>
      </c>
      <c r="I163" s="57">
        <v>9.4E-2</v>
      </c>
      <c r="J163" s="57">
        <v>9.4E-2</v>
      </c>
      <c r="K163" s="39">
        <v>163627573866</v>
      </c>
      <c r="L163" s="34">
        <f t="shared" si="109"/>
        <v>0.33320457552394867</v>
      </c>
      <c r="M163" s="67">
        <v>103</v>
      </c>
      <c r="N163" s="67">
        <v>103</v>
      </c>
      <c r="O163" s="35">
        <v>851</v>
      </c>
      <c r="P163" s="57">
        <v>9.4E-2</v>
      </c>
      <c r="Q163" s="57">
        <v>9.4E-2</v>
      </c>
      <c r="R163" s="63">
        <f t="shared" si="106"/>
        <v>0</v>
      </c>
      <c r="S163" s="63">
        <f t="shared" si="107"/>
        <v>0</v>
      </c>
      <c r="T163" s="63">
        <f t="shared" si="107"/>
        <v>0</v>
      </c>
      <c r="U163" s="63">
        <f t="shared" si="108"/>
        <v>0</v>
      </c>
      <c r="V163" s="64">
        <f t="shared" si="108"/>
        <v>0</v>
      </c>
    </row>
    <row r="164" spans="1:22" ht="15.75" customHeight="1">
      <c r="A164" s="157">
        <v>144</v>
      </c>
      <c r="B164" s="149" t="s">
        <v>218</v>
      </c>
      <c r="C164" s="148" t="s">
        <v>161</v>
      </c>
      <c r="D164" s="39">
        <v>6506889907.7343197</v>
      </c>
      <c r="E164" s="34">
        <f>(D164/$D$167)</f>
        <v>1.2862449822047664E-2</v>
      </c>
      <c r="F164" s="67">
        <v>418.75</v>
      </c>
      <c r="G164" s="67">
        <v>418.75</v>
      </c>
      <c r="H164" s="35">
        <v>4897</v>
      </c>
      <c r="I164" s="57">
        <v>5.5199999999999999E-2</v>
      </c>
      <c r="J164" s="57">
        <v>0.1242</v>
      </c>
      <c r="K164" s="39">
        <v>6516335555.31919</v>
      </c>
      <c r="L164" s="34">
        <f t="shared" si="109"/>
        <v>1.3269602252123298E-2</v>
      </c>
      <c r="M164" s="67">
        <v>418.75</v>
      </c>
      <c r="N164" s="67">
        <v>418.75</v>
      </c>
      <c r="O164" s="35">
        <v>4897</v>
      </c>
      <c r="P164" s="57">
        <v>9.9400000000000002E-2</v>
      </c>
      <c r="Q164" s="57">
        <v>0.1114</v>
      </c>
      <c r="R164" s="63">
        <f t="shared" si="106"/>
        <v>1.4516378360179274E-3</v>
      </c>
      <c r="S164" s="63">
        <f t="shared" si="107"/>
        <v>0</v>
      </c>
      <c r="T164" s="63">
        <f t="shared" si="107"/>
        <v>0</v>
      </c>
      <c r="U164" s="63">
        <f t="shared" si="108"/>
        <v>4.4200000000000003E-2</v>
      </c>
      <c r="V164" s="64">
        <f t="shared" si="108"/>
        <v>-1.2800000000000006E-2</v>
      </c>
    </row>
    <row r="165" spans="1:22">
      <c r="A165" s="157">
        <v>145</v>
      </c>
      <c r="B165" s="149" t="s">
        <v>217</v>
      </c>
      <c r="C165" s="148" t="s">
        <v>161</v>
      </c>
      <c r="D165" s="39">
        <v>27943184193.689999</v>
      </c>
      <c r="E165" s="34">
        <f>(D165/$D$167)</f>
        <v>5.5236496952615767E-2</v>
      </c>
      <c r="F165" s="67">
        <v>69.25</v>
      </c>
      <c r="G165" s="67">
        <v>69.25</v>
      </c>
      <c r="H165" s="35">
        <v>6424</v>
      </c>
      <c r="I165" s="57">
        <v>1.3599999999999999E-2</v>
      </c>
      <c r="J165" s="57">
        <v>3.1699999999999999E-2</v>
      </c>
      <c r="K165" s="39">
        <v>27943184193.689999</v>
      </c>
      <c r="L165" s="34">
        <f t="shared" si="109"/>
        <v>5.6902370474984275E-2</v>
      </c>
      <c r="M165" s="67">
        <v>69.25</v>
      </c>
      <c r="N165" s="67">
        <v>69.25</v>
      </c>
      <c r="O165" s="35">
        <v>6424</v>
      </c>
      <c r="P165" s="57">
        <v>1.3599999999999999E-2</v>
      </c>
      <c r="Q165" s="57">
        <v>3.1699999999999999E-2</v>
      </c>
      <c r="R165" s="63">
        <f t="shared" si="106"/>
        <v>0</v>
      </c>
      <c r="S165" s="63">
        <f t="shared" si="107"/>
        <v>0</v>
      </c>
      <c r="T165" s="63">
        <f t="shared" si="107"/>
        <v>0</v>
      </c>
      <c r="U165" s="63">
        <f t="shared" si="108"/>
        <v>0</v>
      </c>
      <c r="V165" s="64">
        <f t="shared" si="108"/>
        <v>0</v>
      </c>
    </row>
    <row r="166" spans="1:22">
      <c r="A166" s="157">
        <v>146</v>
      </c>
      <c r="B166" s="149" t="s">
        <v>325</v>
      </c>
      <c r="C166" s="148" t="s">
        <v>161</v>
      </c>
      <c r="D166" s="39">
        <v>33610891177.212002</v>
      </c>
      <c r="E166" s="34">
        <f>(D166/$D$167)</f>
        <v>6.6440097707404722E-2</v>
      </c>
      <c r="F166" s="67">
        <v>7.5</v>
      </c>
      <c r="G166" s="67">
        <v>7.5</v>
      </c>
      <c r="H166" s="35">
        <v>211092</v>
      </c>
      <c r="I166" s="57">
        <v>0</v>
      </c>
      <c r="J166" s="57">
        <v>0</v>
      </c>
      <c r="K166" s="39">
        <v>33610891177.212002</v>
      </c>
      <c r="L166" s="34">
        <f t="shared" si="109"/>
        <v>6.8443859815803615E-2</v>
      </c>
      <c r="M166" s="67">
        <v>7.6</v>
      </c>
      <c r="N166" s="67">
        <v>7.6</v>
      </c>
      <c r="O166" s="35">
        <v>211092</v>
      </c>
      <c r="P166" s="57">
        <v>0</v>
      </c>
      <c r="Q166" s="57">
        <v>0</v>
      </c>
      <c r="R166" s="63">
        <f t="shared" si="106"/>
        <v>0</v>
      </c>
      <c r="S166" s="63">
        <f t="shared" si="107"/>
        <v>1.3333333333333286E-2</v>
      </c>
      <c r="T166" s="63">
        <f t="shared" si="107"/>
        <v>0</v>
      </c>
      <c r="U166" s="63">
        <f t="shared" si="108"/>
        <v>0</v>
      </c>
      <c r="V166" s="64">
        <f t="shared" si="108"/>
        <v>0</v>
      </c>
    </row>
    <row r="167" spans="1:22">
      <c r="A167" s="42"/>
      <c r="B167" s="80"/>
      <c r="C167" s="44" t="s">
        <v>56</v>
      </c>
      <c r="D167" s="45">
        <f>SUM(D161:D166)</f>
        <v>505882627163.35651</v>
      </c>
      <c r="E167" s="46">
        <f>(D167/$D$234)</f>
        <v>6.1617740287903483E-2</v>
      </c>
      <c r="F167" s="47"/>
      <c r="G167" s="81"/>
      <c r="H167" s="49">
        <f>SUM(H161:H166)</f>
        <v>223317</v>
      </c>
      <c r="I167" s="83"/>
      <c r="J167" s="83"/>
      <c r="K167" s="45">
        <f>SUM(K161:K166)</f>
        <v>491072409821.2135</v>
      </c>
      <c r="L167" s="46">
        <f>(K167/$K$234)</f>
        <v>5.9564350782750956E-2</v>
      </c>
      <c r="M167" s="47"/>
      <c r="N167" s="81"/>
      <c r="O167" s="49">
        <f>SUM(O161:O166)</f>
        <v>223317</v>
      </c>
      <c r="P167" s="83"/>
      <c r="Q167" s="83"/>
      <c r="R167" s="63">
        <f t="shared" si="106"/>
        <v>-2.9275995155612609E-2</v>
      </c>
      <c r="S167" s="63" t="e">
        <f t="shared" si="107"/>
        <v>#DIV/0!</v>
      </c>
      <c r="T167" s="63">
        <f t="shared" si="107"/>
        <v>0</v>
      </c>
      <c r="U167" s="63">
        <f t="shared" si="108"/>
        <v>0</v>
      </c>
      <c r="V167" s="64">
        <f t="shared" si="108"/>
        <v>0</v>
      </c>
    </row>
    <row r="168" spans="1:22" ht="5.25" customHeight="1">
      <c r="A168" s="42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</row>
    <row r="169" spans="1:22" ht="15" customHeight="1">
      <c r="A169" s="167" t="s">
        <v>219</v>
      </c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</row>
    <row r="170" spans="1:22">
      <c r="A170" s="159">
        <v>147</v>
      </c>
      <c r="B170" s="149" t="s">
        <v>220</v>
      </c>
      <c r="C170" s="148" t="s">
        <v>60</v>
      </c>
      <c r="D170" s="33">
        <v>752785749.01999998</v>
      </c>
      <c r="E170" s="34">
        <f t="shared" ref="E170:E198" si="115">(D170/$D$199)</f>
        <v>6.719927360854811E-3</v>
      </c>
      <c r="F170" s="33">
        <v>8.68</v>
      </c>
      <c r="G170" s="33">
        <v>8.81</v>
      </c>
      <c r="H170" s="37">
        <v>11958</v>
      </c>
      <c r="I170" s="58">
        <v>2.8435999999999999E-2</v>
      </c>
      <c r="J170" s="58">
        <v>0.106645</v>
      </c>
      <c r="K170" s="33">
        <v>771465037.96000004</v>
      </c>
      <c r="L170" s="61">
        <f t="shared" ref="L170:L198" si="116">(K170/$K$199)</f>
        <v>6.6648409478776531E-3</v>
      </c>
      <c r="M170" s="33">
        <v>8.76</v>
      </c>
      <c r="N170" s="33">
        <v>8.89</v>
      </c>
      <c r="O170" s="37">
        <v>11960</v>
      </c>
      <c r="P170" s="58">
        <v>1.0697999999999999E-2</v>
      </c>
      <c r="Q170" s="58">
        <v>0.117343</v>
      </c>
      <c r="R170" s="63">
        <f>((K170-D170)/D170)</f>
        <v>2.4813552812758929E-2</v>
      </c>
      <c r="S170" s="63">
        <f>((N170-G170)/G170)</f>
        <v>9.0805902383655004E-3</v>
      </c>
      <c r="T170" s="63">
        <f>((O170-H170)/H170)</f>
        <v>1.6725204883759825E-4</v>
      </c>
      <c r="U170" s="63">
        <f>P170-I170</f>
        <v>-1.7738E-2</v>
      </c>
      <c r="V170" s="64">
        <f>Q170-J170</f>
        <v>1.0697999999999999E-2</v>
      </c>
    </row>
    <row r="171" spans="1:22">
      <c r="A171" s="159">
        <v>148</v>
      </c>
      <c r="B171" s="149" t="s">
        <v>221</v>
      </c>
      <c r="C171" s="149" t="s">
        <v>222</v>
      </c>
      <c r="D171" s="33">
        <v>2074130986.95769</v>
      </c>
      <c r="E171" s="34">
        <f t="shared" si="115"/>
        <v>1.8515241006353683E-2</v>
      </c>
      <c r="F171" s="33">
        <v>2729.7075334968399</v>
      </c>
      <c r="G171" s="33">
        <v>2757.7651643878398</v>
      </c>
      <c r="H171" s="37">
        <v>230</v>
      </c>
      <c r="I171" s="58">
        <v>4.8300000000000003E-2</v>
      </c>
      <c r="J171" s="58">
        <v>0.24510000000000001</v>
      </c>
      <c r="K171" s="33">
        <v>2681902731.6486902</v>
      </c>
      <c r="L171" s="61">
        <f t="shared" si="116"/>
        <v>2.3169494746492842E-2</v>
      </c>
      <c r="M171" s="33">
        <v>2722.1740425662701</v>
      </c>
      <c r="N171" s="33">
        <v>2743.5609579422198</v>
      </c>
      <c r="O171" s="37">
        <v>254</v>
      </c>
      <c r="P171" s="58">
        <v>-4.1999999999999997E-3</v>
      </c>
      <c r="Q171" s="58">
        <v>0.2399</v>
      </c>
      <c r="R171" s="63">
        <f>((K171-D171)/D171)</f>
        <v>0.29302476483535517</v>
      </c>
      <c r="S171" s="63">
        <f>((N171-G171)/G171)</f>
        <v>-5.1506221882286372E-3</v>
      </c>
      <c r="T171" s="63">
        <f>((O171-H171)/H171)</f>
        <v>0.10434782608695652</v>
      </c>
      <c r="U171" s="63">
        <f>P171-I171</f>
        <v>-5.2500000000000005E-2</v>
      </c>
      <c r="V171" s="64">
        <f>Q171-J171</f>
        <v>-5.2000000000000102E-3</v>
      </c>
    </row>
    <row r="172" spans="1:22">
      <c r="A172" s="159">
        <v>149</v>
      </c>
      <c r="B172" s="149" t="s">
        <v>223</v>
      </c>
      <c r="C172" s="148" t="s">
        <v>24</v>
      </c>
      <c r="D172" s="33">
        <v>12097593653.360001</v>
      </c>
      <c r="E172" s="34">
        <f t="shared" si="115"/>
        <v>0.1079921487588596</v>
      </c>
      <c r="F172" s="33">
        <v>1202.6802</v>
      </c>
      <c r="G172" s="33">
        <v>1238.9419</v>
      </c>
      <c r="H172" s="37">
        <v>22534</v>
      </c>
      <c r="I172" s="58">
        <v>2.1080000000000001</v>
      </c>
      <c r="J172" s="58">
        <v>1.0011000000000001</v>
      </c>
      <c r="K172" s="33">
        <v>12207112090.4</v>
      </c>
      <c r="L172" s="61">
        <f t="shared" si="116"/>
        <v>0.10545968580840429</v>
      </c>
      <c r="M172" s="33">
        <v>1200.9839999999999</v>
      </c>
      <c r="N172" s="33">
        <v>1237.1946</v>
      </c>
      <c r="O172" s="37">
        <v>22547</v>
      </c>
      <c r="P172" s="58">
        <v>-7.3499999999999996E-2</v>
      </c>
      <c r="Q172" s="58">
        <v>0.87019999999999997</v>
      </c>
      <c r="R172" s="63">
        <f t="shared" ref="R172:R198" si="117">((K172-D172)/D172)</f>
        <v>9.0529108662515886E-3</v>
      </c>
      <c r="S172" s="63">
        <f t="shared" ref="S172:T198" si="118">((N172-G172)/G172)</f>
        <v>-1.4103163352534897E-3</v>
      </c>
      <c r="T172" s="63">
        <f t="shared" si="118"/>
        <v>5.7690600869796755E-4</v>
      </c>
      <c r="U172" s="63">
        <f t="shared" ref="U172:V198" si="119">P172-I172</f>
        <v>-2.1815000000000002</v>
      </c>
      <c r="V172" s="64">
        <f t="shared" si="119"/>
        <v>-0.13090000000000013</v>
      </c>
    </row>
    <row r="173" spans="1:22">
      <c r="A173" s="159">
        <v>150</v>
      </c>
      <c r="B173" s="149" t="s">
        <v>224</v>
      </c>
      <c r="C173" s="148" t="s">
        <v>127</v>
      </c>
      <c r="D173" s="33">
        <v>7270544468.2200003</v>
      </c>
      <c r="E173" s="34">
        <f t="shared" si="115"/>
        <v>6.4902305554943668E-2</v>
      </c>
      <c r="F173" s="33">
        <v>41.521099999999997</v>
      </c>
      <c r="G173" s="33">
        <v>42.073300000000003</v>
      </c>
      <c r="H173" s="35">
        <v>6228</v>
      </c>
      <c r="I173" s="57">
        <v>6.0199999999999997E-2</v>
      </c>
      <c r="J173" s="57">
        <v>0.22450000000000001</v>
      </c>
      <c r="K173" s="33">
        <v>7379873845.1300001</v>
      </c>
      <c r="L173" s="61">
        <f t="shared" si="116"/>
        <v>6.375620795889389E-2</v>
      </c>
      <c r="M173" s="33">
        <v>42.873199999999997</v>
      </c>
      <c r="N173" s="33">
        <v>43.457900000000002</v>
      </c>
      <c r="O173" s="35">
        <v>6240</v>
      </c>
      <c r="P173" s="57">
        <v>2.1499999999999998E-2</v>
      </c>
      <c r="Q173" s="57">
        <v>0.2646</v>
      </c>
      <c r="R173" s="63">
        <f t="shared" si="117"/>
        <v>1.5037302555246766E-2</v>
      </c>
      <c r="S173" s="63">
        <f t="shared" si="118"/>
        <v>3.2909232220909669E-2</v>
      </c>
      <c r="T173" s="63">
        <f t="shared" si="118"/>
        <v>1.9267822736030828E-3</v>
      </c>
      <c r="U173" s="63">
        <f t="shared" si="119"/>
        <v>-3.8699999999999998E-2</v>
      </c>
      <c r="V173" s="64">
        <f t="shared" si="119"/>
        <v>4.0099999999999997E-2</v>
      </c>
    </row>
    <row r="174" spans="1:22">
      <c r="A174" s="159">
        <v>151</v>
      </c>
      <c r="B174" s="149" t="s">
        <v>225</v>
      </c>
      <c r="C174" s="148" t="s">
        <v>135</v>
      </c>
      <c r="D174" s="39">
        <v>3014190296.2199998</v>
      </c>
      <c r="E174" s="34">
        <f t="shared" si="115"/>
        <v>2.6906911918511502E-2</v>
      </c>
      <c r="F174" s="33">
        <v>7.2012</v>
      </c>
      <c r="G174" s="33">
        <v>7.3864999999999998</v>
      </c>
      <c r="H174" s="35">
        <v>2736</v>
      </c>
      <c r="I174" s="57">
        <v>2.3889999999999998</v>
      </c>
      <c r="J174" s="57">
        <v>1.4469000000000001</v>
      </c>
      <c r="K174" s="39">
        <v>3015428207.0251598</v>
      </c>
      <c r="L174" s="61">
        <f t="shared" si="116"/>
        <v>2.6050888116343401E-2</v>
      </c>
      <c r="M174" s="33">
        <v>7.2042999999999999</v>
      </c>
      <c r="N174" s="33">
        <v>7.3893000000000004</v>
      </c>
      <c r="O174" s="35">
        <v>2736</v>
      </c>
      <c r="P174" s="57">
        <v>1.9800000000000002E-2</v>
      </c>
      <c r="Q174" s="57">
        <v>1.2751999999999999</v>
      </c>
      <c r="R174" s="63">
        <f t="shared" si="117"/>
        <v>4.106943104131382E-4</v>
      </c>
      <c r="S174" s="63">
        <f t="shared" si="118"/>
        <v>3.7906992486300411E-4</v>
      </c>
      <c r="T174" s="63">
        <f t="shared" si="118"/>
        <v>0</v>
      </c>
      <c r="U174" s="63">
        <f t="shared" si="119"/>
        <v>-2.3691999999999998</v>
      </c>
      <c r="V174" s="64">
        <f t="shared" si="119"/>
        <v>-0.17170000000000019</v>
      </c>
    </row>
    <row r="175" spans="1:22">
      <c r="A175" s="159">
        <v>152</v>
      </c>
      <c r="B175" s="149" t="s">
        <v>226</v>
      </c>
      <c r="C175" s="148" t="s">
        <v>28</v>
      </c>
      <c r="D175" s="39">
        <v>1515836792.98</v>
      </c>
      <c r="E175" s="34">
        <f t="shared" si="115"/>
        <v>1.3531490404803189E-2</v>
      </c>
      <c r="F175" s="33">
        <v>1.5035000000000001</v>
      </c>
      <c r="G175" s="33">
        <v>1.5165999999999999</v>
      </c>
      <c r="H175" s="35">
        <v>282</v>
      </c>
      <c r="I175" s="57">
        <v>5.3900000000000003E-2</v>
      </c>
      <c r="J175" s="57">
        <v>0.20960000000000001</v>
      </c>
      <c r="K175" s="39">
        <v>1526152736.6400001</v>
      </c>
      <c r="L175" s="61">
        <f t="shared" si="116"/>
        <v>1.3184739102073477E-2</v>
      </c>
      <c r="M175" s="33">
        <v>1.4901</v>
      </c>
      <c r="N175" s="33">
        <v>1.5025999999999999</v>
      </c>
      <c r="O175" s="35">
        <v>282</v>
      </c>
      <c r="P175" s="57">
        <v>9.1000000000000004E-3</v>
      </c>
      <c r="Q175" s="57">
        <v>0.1988</v>
      </c>
      <c r="R175" s="63">
        <f t="shared" ref="R175" si="120">((K175-D175)/D175)</f>
        <v>6.805444826101536E-3</v>
      </c>
      <c r="S175" s="63">
        <f t="shared" ref="S175" si="121">((N175-G175)/G175)</f>
        <v>-9.231174996703161E-3</v>
      </c>
      <c r="T175" s="63">
        <f t="shared" ref="T175" si="122">((O175-H175)/H175)</f>
        <v>0</v>
      </c>
      <c r="U175" s="63">
        <f t="shared" ref="U175" si="123">P175-I175</f>
        <v>-4.4800000000000006E-2</v>
      </c>
      <c r="V175" s="64">
        <f t="shared" ref="V175" si="124">Q175-J175</f>
        <v>-1.0800000000000004E-2</v>
      </c>
    </row>
    <row r="176" spans="1:22">
      <c r="A176" s="159">
        <v>153</v>
      </c>
      <c r="B176" s="149" t="s">
        <v>227</v>
      </c>
      <c r="C176" s="148" t="s">
        <v>71</v>
      </c>
      <c r="D176" s="33">
        <v>8478610481.5997696</v>
      </c>
      <c r="E176" s="34">
        <f t="shared" si="115"/>
        <v>7.5686404307607258E-2</v>
      </c>
      <c r="F176" s="33">
        <v>13282.0747567691</v>
      </c>
      <c r="G176" s="33">
        <v>13384.118954838599</v>
      </c>
      <c r="H176" s="35">
        <v>1497</v>
      </c>
      <c r="I176" s="57">
        <v>2.4895999999999998</v>
      </c>
      <c r="J176" s="57">
        <v>1.3546</v>
      </c>
      <c r="K176" s="33">
        <v>8757624161.35429</v>
      </c>
      <c r="L176" s="61">
        <f t="shared" si="116"/>
        <v>7.5658868833590756E-2</v>
      </c>
      <c r="M176" s="33">
        <v>13426.5193814783</v>
      </c>
      <c r="N176" s="33">
        <v>13527.776175377099</v>
      </c>
      <c r="O176" s="35">
        <v>1528</v>
      </c>
      <c r="P176" s="57">
        <v>0.56710000000000005</v>
      </c>
      <c r="Q176" s="57">
        <v>1.2725</v>
      </c>
      <c r="R176" s="63">
        <f t="shared" si="117"/>
        <v>3.290794881543789E-2</v>
      </c>
      <c r="S176" s="63">
        <f t="shared" si="118"/>
        <v>1.0733408827524309E-2</v>
      </c>
      <c r="T176" s="63">
        <f t="shared" si="118"/>
        <v>2.0708082832331328E-2</v>
      </c>
      <c r="U176" s="63">
        <f t="shared" si="119"/>
        <v>-1.9224999999999999</v>
      </c>
      <c r="V176" s="64">
        <f t="shared" si="119"/>
        <v>-8.2100000000000062E-2</v>
      </c>
    </row>
    <row r="177" spans="1:22">
      <c r="A177" s="159">
        <v>154</v>
      </c>
      <c r="B177" s="149" t="s">
        <v>228</v>
      </c>
      <c r="C177" s="148" t="s">
        <v>73</v>
      </c>
      <c r="D177" s="33">
        <v>1610360410.24</v>
      </c>
      <c r="E177" s="34">
        <f t="shared" si="115"/>
        <v>1.4375278750556752E-2</v>
      </c>
      <c r="F177" s="33">
        <v>271.58</v>
      </c>
      <c r="G177" s="33">
        <v>273.79000000000002</v>
      </c>
      <c r="H177" s="35">
        <v>508</v>
      </c>
      <c r="I177" s="57">
        <v>3.5999999999999997E-2</v>
      </c>
      <c r="J177" s="57">
        <v>0.1764</v>
      </c>
      <c r="K177" s="33">
        <v>1617751516.96</v>
      </c>
      <c r="L177" s="61">
        <f t="shared" si="116"/>
        <v>1.397607930780298E-2</v>
      </c>
      <c r="M177" s="33">
        <v>272.08999999999997</v>
      </c>
      <c r="N177" s="33">
        <v>274.3</v>
      </c>
      <c r="O177" s="35">
        <v>508</v>
      </c>
      <c r="P177" s="57">
        <v>1.9E-3</v>
      </c>
      <c r="Q177" s="57">
        <v>0.17860000000000001</v>
      </c>
      <c r="R177" s="63">
        <f t="shared" si="117"/>
        <v>4.5897220727740664E-3</v>
      </c>
      <c r="S177" s="63">
        <f t="shared" si="118"/>
        <v>1.8627415172211945E-3</v>
      </c>
      <c r="T177" s="63">
        <f t="shared" si="118"/>
        <v>0</v>
      </c>
      <c r="U177" s="63">
        <f t="shared" si="119"/>
        <v>-3.4099999999999998E-2</v>
      </c>
      <c r="V177" s="64">
        <f t="shared" si="119"/>
        <v>2.2000000000000075E-3</v>
      </c>
    </row>
    <row r="178" spans="1:22">
      <c r="A178" s="159">
        <v>155</v>
      </c>
      <c r="B178" s="149" t="s">
        <v>229</v>
      </c>
      <c r="C178" s="148" t="s">
        <v>230</v>
      </c>
      <c r="D178" s="33">
        <v>4047938175.3800001</v>
      </c>
      <c r="E178" s="34">
        <f t="shared" si="115"/>
        <v>3.6134916920514216E-2</v>
      </c>
      <c r="F178" s="33">
        <v>2.5411999999999999</v>
      </c>
      <c r="G178" s="33">
        <v>2.5916999999999999</v>
      </c>
      <c r="H178" s="35">
        <v>4270</v>
      </c>
      <c r="I178" s="57">
        <v>5.8400000000000001E-2</v>
      </c>
      <c r="J178" s="57">
        <v>0.1963</v>
      </c>
      <c r="K178" s="33">
        <v>4264273155.48</v>
      </c>
      <c r="L178" s="61">
        <f t="shared" si="116"/>
        <v>3.6839909705735939E-2</v>
      </c>
      <c r="M178" s="33">
        <v>2.5691999999999999</v>
      </c>
      <c r="N178" s="33">
        <v>2.6179000000000001</v>
      </c>
      <c r="O178" s="35">
        <v>4265</v>
      </c>
      <c r="P178" s="57">
        <v>1.0999999999999999E-2</v>
      </c>
      <c r="Q178" s="57">
        <v>0.2094</v>
      </c>
      <c r="R178" s="63">
        <f t="shared" si="117"/>
        <v>5.3443252027852786E-2</v>
      </c>
      <c r="S178" s="63">
        <f t="shared" si="118"/>
        <v>1.0109194737045269E-2</v>
      </c>
      <c r="T178" s="63">
        <f t="shared" si="118"/>
        <v>-1.17096018735363E-3</v>
      </c>
      <c r="U178" s="63">
        <f t="shared" si="119"/>
        <v>-4.7399999999999998E-2</v>
      </c>
      <c r="V178" s="64">
        <f t="shared" si="119"/>
        <v>1.3100000000000001E-2</v>
      </c>
    </row>
    <row r="179" spans="1:22">
      <c r="A179" s="159">
        <v>156</v>
      </c>
      <c r="B179" s="149" t="s">
        <v>231</v>
      </c>
      <c r="C179" s="148" t="s">
        <v>30</v>
      </c>
      <c r="D179" s="51">
        <v>667702230.20000005</v>
      </c>
      <c r="E179" s="34">
        <f t="shared" si="115"/>
        <v>5.9604083784343129E-3</v>
      </c>
      <c r="F179" s="33">
        <v>245.97790000000001</v>
      </c>
      <c r="G179" s="33">
        <v>247.51730000000001</v>
      </c>
      <c r="H179" s="35">
        <v>179</v>
      </c>
      <c r="I179" s="57">
        <v>2.1066999999999999E-2</v>
      </c>
      <c r="J179" s="57">
        <v>0.1923</v>
      </c>
      <c r="K179" s="51">
        <v>677767403.57000005</v>
      </c>
      <c r="L179" s="61">
        <f t="shared" si="116"/>
        <v>5.8553683215444288E-3</v>
      </c>
      <c r="M179" s="33">
        <v>248.33189999999999</v>
      </c>
      <c r="N179" s="33">
        <v>249.84979999999999</v>
      </c>
      <c r="O179" s="35">
        <v>183</v>
      </c>
      <c r="P179" s="57">
        <v>1.067E-3</v>
      </c>
      <c r="Q179" s="57">
        <v>0.17660000000000001</v>
      </c>
      <c r="R179" s="63">
        <f t="shared" si="117"/>
        <v>1.5074344392986579E-2</v>
      </c>
      <c r="S179" s="63">
        <f t="shared" si="118"/>
        <v>9.4235837252587256E-3</v>
      </c>
      <c r="T179" s="63">
        <f t="shared" si="118"/>
        <v>2.23463687150838E-2</v>
      </c>
      <c r="U179" s="63">
        <f t="shared" si="119"/>
        <v>-0.02</v>
      </c>
      <c r="V179" s="64">
        <f t="shared" si="119"/>
        <v>-1.5699999999999992E-2</v>
      </c>
    </row>
    <row r="180" spans="1:22">
      <c r="A180" s="159">
        <v>157</v>
      </c>
      <c r="B180" s="149" t="s">
        <v>232</v>
      </c>
      <c r="C180" s="148" t="s">
        <v>79</v>
      </c>
      <c r="D180" s="51">
        <v>938738231.17999995</v>
      </c>
      <c r="E180" s="34">
        <f t="shared" si="115"/>
        <v>8.3798779833428195E-3</v>
      </c>
      <c r="F180" s="33">
        <v>185.98</v>
      </c>
      <c r="G180" s="33">
        <v>186.44</v>
      </c>
      <c r="H180" s="35">
        <v>81</v>
      </c>
      <c r="I180" s="57">
        <v>2.9700000000000001E-2</v>
      </c>
      <c r="J180" s="57">
        <v>9.6199999999999994E-2</v>
      </c>
      <c r="K180" s="51">
        <v>1059649710.89</v>
      </c>
      <c r="L180" s="61">
        <f t="shared" si="116"/>
        <v>9.154526045952285E-3</v>
      </c>
      <c r="M180" s="33">
        <v>186.84</v>
      </c>
      <c r="N180" s="33">
        <v>187.33</v>
      </c>
      <c r="O180" s="35">
        <v>81</v>
      </c>
      <c r="P180" s="57">
        <v>5.1000000000000004E-3</v>
      </c>
      <c r="Q180" s="57">
        <v>0.1013</v>
      </c>
      <c r="R180" s="63">
        <f t="shared" si="117"/>
        <v>0.12880212576195341</v>
      </c>
      <c r="S180" s="63">
        <f t="shared" si="118"/>
        <v>4.7736537223772519E-3</v>
      </c>
      <c r="T180" s="63">
        <f t="shared" si="118"/>
        <v>0</v>
      </c>
      <c r="U180" s="63">
        <f t="shared" si="119"/>
        <v>-2.46E-2</v>
      </c>
      <c r="V180" s="64">
        <f t="shared" si="119"/>
        <v>5.1000000000000073E-3</v>
      </c>
    </row>
    <row r="181" spans="1:22" ht="15.75" customHeight="1">
      <c r="A181" s="159">
        <v>158</v>
      </c>
      <c r="B181" s="149" t="s">
        <v>233</v>
      </c>
      <c r="C181" s="148" t="s">
        <v>82</v>
      </c>
      <c r="D181" s="39">
        <v>722290397.67999995</v>
      </c>
      <c r="E181" s="34">
        <f t="shared" si="115"/>
        <v>6.4477030976891943E-3</v>
      </c>
      <c r="F181" s="33">
        <v>2.2681499999999999</v>
      </c>
      <c r="G181" s="33">
        <v>2.2969200000000001</v>
      </c>
      <c r="H181" s="35">
        <v>139</v>
      </c>
      <c r="I181" s="57">
        <v>6.8000000000000005E-2</v>
      </c>
      <c r="J181" s="57">
        <v>0.24049999999999999</v>
      </c>
      <c r="K181" s="39">
        <v>743854675.44000006</v>
      </c>
      <c r="L181" s="61">
        <f t="shared" si="116"/>
        <v>6.4263094971256573E-3</v>
      </c>
      <c r="M181" s="33">
        <v>2.2884099999999998</v>
      </c>
      <c r="N181" s="33">
        <v>2.2608199999999998</v>
      </c>
      <c r="O181" s="35">
        <v>143</v>
      </c>
      <c r="P181" s="57">
        <v>6.8000000000000005E-2</v>
      </c>
      <c r="Q181" s="57">
        <v>0.25069999999999998</v>
      </c>
      <c r="R181" s="63">
        <f t="shared" si="117"/>
        <v>2.9855412489581293E-2</v>
      </c>
      <c r="S181" s="63">
        <f t="shared" si="118"/>
        <v>-1.5716698883722655E-2</v>
      </c>
      <c r="T181" s="63">
        <f t="shared" si="118"/>
        <v>2.8776978417266189E-2</v>
      </c>
      <c r="U181" s="63">
        <f t="shared" si="119"/>
        <v>0</v>
      </c>
      <c r="V181" s="64">
        <f t="shared" si="119"/>
        <v>1.0199999999999987E-2</v>
      </c>
    </row>
    <row r="182" spans="1:22">
      <c r="A182" s="159">
        <v>159</v>
      </c>
      <c r="B182" s="149" t="s">
        <v>234</v>
      </c>
      <c r="C182" s="148" t="s">
        <v>32</v>
      </c>
      <c r="D182" s="33">
        <v>17174512980.209999</v>
      </c>
      <c r="E182" s="34">
        <f t="shared" si="115"/>
        <v>0.15331251931285303</v>
      </c>
      <c r="F182" s="33">
        <v>521.47</v>
      </c>
      <c r="G182" s="33">
        <v>495.93</v>
      </c>
      <c r="H182" s="35">
        <v>5146</v>
      </c>
      <c r="I182" s="57">
        <v>-5.8299999999999998E-2</v>
      </c>
      <c r="J182" s="57">
        <v>0.2175</v>
      </c>
      <c r="K182" s="33">
        <v>17501479730.48</v>
      </c>
      <c r="L182" s="61">
        <f t="shared" si="116"/>
        <v>0.15119878804177486</v>
      </c>
      <c r="M182" s="33">
        <v>525.12</v>
      </c>
      <c r="N182" s="33">
        <v>530.29</v>
      </c>
      <c r="O182" s="35">
        <v>5581</v>
      </c>
      <c r="P182" s="57">
        <v>7.1000000000000004E-3</v>
      </c>
      <c r="Q182" s="57">
        <v>0.22600000000000001</v>
      </c>
      <c r="R182" s="63">
        <f t="shared" si="117"/>
        <v>1.903790521726937E-2</v>
      </c>
      <c r="S182" s="63">
        <f t="shared" si="118"/>
        <v>6.9283971528239785E-2</v>
      </c>
      <c r="T182" s="63">
        <f t="shared" si="118"/>
        <v>8.4531675087446564E-2</v>
      </c>
      <c r="U182" s="63">
        <f t="shared" si="119"/>
        <v>6.54E-2</v>
      </c>
      <c r="V182" s="64">
        <f t="shared" si="119"/>
        <v>8.5000000000000075E-3</v>
      </c>
    </row>
    <row r="183" spans="1:22">
      <c r="A183" s="159">
        <v>160</v>
      </c>
      <c r="B183" s="149" t="s">
        <v>235</v>
      </c>
      <c r="C183" s="148" t="s">
        <v>92</v>
      </c>
      <c r="D183" s="33">
        <v>5808525867.6999998</v>
      </c>
      <c r="E183" s="34">
        <f t="shared" si="115"/>
        <v>5.1851236497774268E-2</v>
      </c>
      <c r="F183" s="33">
        <v>3.6004</v>
      </c>
      <c r="G183" s="33">
        <v>3.6787000000000001</v>
      </c>
      <c r="H183" s="35">
        <v>10206</v>
      </c>
      <c r="I183" s="57">
        <v>4.6699999999999998E-2</v>
      </c>
      <c r="J183" s="57">
        <v>0.17780000000000001</v>
      </c>
      <c r="K183" s="33">
        <v>5846296837.0799999</v>
      </c>
      <c r="L183" s="61">
        <f t="shared" si="116"/>
        <v>5.050732908940804E-2</v>
      </c>
      <c r="M183" s="33">
        <v>3.6276999999999999</v>
      </c>
      <c r="N183" s="33">
        <v>3.7073</v>
      </c>
      <c r="O183" s="35">
        <v>10202</v>
      </c>
      <c r="P183" s="57">
        <v>7.7000000000000002E-3</v>
      </c>
      <c r="Q183" s="57">
        <v>0.18679999999999999</v>
      </c>
      <c r="R183" s="63">
        <f t="shared" si="117"/>
        <v>6.5026773126786938E-3</v>
      </c>
      <c r="S183" s="63">
        <f t="shared" si="118"/>
        <v>7.774485551961279E-3</v>
      </c>
      <c r="T183" s="63">
        <f t="shared" si="118"/>
        <v>-3.9192631785224378E-4</v>
      </c>
      <c r="U183" s="63">
        <f t="shared" si="119"/>
        <v>-3.9E-2</v>
      </c>
      <c r="V183" s="64">
        <f t="shared" si="119"/>
        <v>8.9999999999999802E-3</v>
      </c>
    </row>
    <row r="184" spans="1:22">
      <c r="A184" s="159">
        <v>161</v>
      </c>
      <c r="B184" s="149" t="s">
        <v>236</v>
      </c>
      <c r="C184" s="148" t="s">
        <v>94</v>
      </c>
      <c r="D184" s="33">
        <v>335382205.49000001</v>
      </c>
      <c r="E184" s="34">
        <f t="shared" si="115"/>
        <v>2.9938718446119316E-3</v>
      </c>
      <c r="F184" s="33">
        <v>382.30985299000002</v>
      </c>
      <c r="G184" s="33">
        <v>382.30985299000002</v>
      </c>
      <c r="H184" s="35">
        <v>32</v>
      </c>
      <c r="I184" s="57">
        <v>2.24E-2</v>
      </c>
      <c r="J184" s="57">
        <v>9.98E-2</v>
      </c>
      <c r="K184" s="33">
        <v>335843257.04000002</v>
      </c>
      <c r="L184" s="61">
        <f t="shared" si="116"/>
        <v>2.9014171497747749E-3</v>
      </c>
      <c r="M184" s="33">
        <v>382.74225625999998</v>
      </c>
      <c r="N184" s="33">
        <v>382.74225625999998</v>
      </c>
      <c r="O184" s="35">
        <v>32</v>
      </c>
      <c r="P184" s="57">
        <v>8.9999999999999998E-4</v>
      </c>
      <c r="Q184" s="57">
        <v>0.1011</v>
      </c>
      <c r="R184" s="63">
        <f t="shared" si="117"/>
        <v>1.3747048664266685E-3</v>
      </c>
      <c r="S184" s="63">
        <f t="shared" si="118"/>
        <v>1.131028318046677E-3</v>
      </c>
      <c r="T184" s="63">
        <f t="shared" si="118"/>
        <v>0</v>
      </c>
      <c r="U184" s="63">
        <f t="shared" si="119"/>
        <v>-2.1499999999999998E-2</v>
      </c>
      <c r="V184" s="64">
        <f t="shared" si="119"/>
        <v>1.2999999999999956E-3</v>
      </c>
    </row>
    <row r="185" spans="1:22">
      <c r="A185" s="159">
        <v>162</v>
      </c>
      <c r="B185" s="149" t="s">
        <v>237</v>
      </c>
      <c r="C185" s="149" t="s">
        <v>96</v>
      </c>
      <c r="D185" s="54">
        <v>82398288.939999998</v>
      </c>
      <c r="E185" s="34">
        <f t="shared" si="115"/>
        <v>7.3554861666332559E-4</v>
      </c>
      <c r="F185" s="33">
        <v>1.6272</v>
      </c>
      <c r="G185" s="33">
        <v>1.6272</v>
      </c>
      <c r="H185" s="35">
        <v>29</v>
      </c>
      <c r="I185" s="57">
        <v>1.55E-2</v>
      </c>
      <c r="J185" s="57">
        <v>0.13469999999999999</v>
      </c>
      <c r="K185" s="54">
        <v>82432181.799999997</v>
      </c>
      <c r="L185" s="61">
        <f t="shared" si="116"/>
        <v>7.1214812551495153E-4</v>
      </c>
      <c r="M185" s="33">
        <v>1.6285000000000001</v>
      </c>
      <c r="N185" s="33">
        <v>1.6285000000000001</v>
      </c>
      <c r="O185" s="35">
        <v>29</v>
      </c>
      <c r="P185" s="57">
        <v>4.0000000000000002E-4</v>
      </c>
      <c r="Q185" s="57">
        <v>0.13519999999999999</v>
      </c>
      <c r="R185" s="63">
        <f t="shared" si="117"/>
        <v>4.1132965788499788E-4</v>
      </c>
      <c r="S185" s="63">
        <f t="shared" si="118"/>
        <v>7.9891838741401116E-4</v>
      </c>
      <c r="T185" s="63">
        <f t="shared" si="118"/>
        <v>0</v>
      </c>
      <c r="U185" s="63">
        <f t="shared" si="119"/>
        <v>-1.5100000000000001E-2</v>
      </c>
      <c r="V185" s="64">
        <f t="shared" si="119"/>
        <v>5.0000000000000044E-4</v>
      </c>
    </row>
    <row r="186" spans="1:22" ht="13.5" customHeight="1">
      <c r="A186" s="159">
        <v>163</v>
      </c>
      <c r="B186" s="149" t="s">
        <v>238</v>
      </c>
      <c r="C186" s="148" t="s">
        <v>38</v>
      </c>
      <c r="D186" s="39">
        <v>10365982967.889999</v>
      </c>
      <c r="E186" s="34">
        <f t="shared" si="115"/>
        <v>9.2534499568785372E-2</v>
      </c>
      <c r="F186" s="33">
        <v>7.4528210000000001</v>
      </c>
      <c r="G186" s="33">
        <v>7.5378379999999998</v>
      </c>
      <c r="H186" s="35">
        <v>5116</v>
      </c>
      <c r="I186" s="57">
        <v>6.3100000000000003E-2</v>
      </c>
      <c r="J186" s="57">
        <v>0.20019999999999999</v>
      </c>
      <c r="K186" s="39">
        <v>11017064607.93</v>
      </c>
      <c r="L186" s="61">
        <f t="shared" si="116"/>
        <v>9.5178627301776272E-2</v>
      </c>
      <c r="M186" s="33">
        <v>7.4429999999999996</v>
      </c>
      <c r="N186" s="33">
        <v>7.5265000000000004</v>
      </c>
      <c r="O186" s="35">
        <v>6107</v>
      </c>
      <c r="P186" s="57">
        <v>-1.2999999999999999E-3</v>
      </c>
      <c r="Q186" s="57">
        <v>0.1986</v>
      </c>
      <c r="R186" s="63">
        <f t="shared" si="117"/>
        <v>6.2809445284331675E-2</v>
      </c>
      <c r="S186" s="63">
        <f t="shared" si="118"/>
        <v>-1.5041448224277843E-3</v>
      </c>
      <c r="T186" s="63">
        <f t="shared" si="118"/>
        <v>0.19370602032838155</v>
      </c>
      <c r="U186" s="63">
        <f t="shared" si="119"/>
        <v>-6.4399999999999999E-2</v>
      </c>
      <c r="V186" s="64">
        <f t="shared" si="119"/>
        <v>-1.5999999999999903E-3</v>
      </c>
    </row>
    <row r="187" spans="1:22" ht="13.5" customHeight="1">
      <c r="A187" s="159">
        <v>164</v>
      </c>
      <c r="B187" s="149" t="s">
        <v>239</v>
      </c>
      <c r="C187" s="148" t="s">
        <v>240</v>
      </c>
      <c r="D187" s="39">
        <v>123453383.26000001</v>
      </c>
      <c r="E187" s="34">
        <f t="shared" si="115"/>
        <v>1.1020370258589057E-3</v>
      </c>
      <c r="F187" s="33">
        <v>2.9824000000000002</v>
      </c>
      <c r="G187" s="33">
        <v>2.9994000000000001</v>
      </c>
      <c r="H187" s="35">
        <v>115</v>
      </c>
      <c r="I187" s="57">
        <v>1.4540000000000001E-4</v>
      </c>
      <c r="J187" s="57">
        <v>6.9950000000000003E-4</v>
      </c>
      <c r="K187" s="39">
        <v>119216737.67</v>
      </c>
      <c r="L187" s="61">
        <f t="shared" si="116"/>
        <v>1.0299372697387249E-3</v>
      </c>
      <c r="M187" s="33">
        <v>2.9693000000000001</v>
      </c>
      <c r="N187" s="33">
        <v>2.9870999999999999</v>
      </c>
      <c r="O187" s="35">
        <v>115</v>
      </c>
      <c r="P187" s="57">
        <v>-4.1999999999999998E-5</v>
      </c>
      <c r="Q187" s="57">
        <v>6.5450000000000003E-4</v>
      </c>
      <c r="R187" s="63">
        <f t="shared" si="117"/>
        <v>-3.431777629842174E-2</v>
      </c>
      <c r="S187" s="63">
        <f t="shared" si="118"/>
        <v>-4.100820164032873E-3</v>
      </c>
      <c r="T187" s="63">
        <f t="shared" si="118"/>
        <v>0</v>
      </c>
      <c r="U187" s="63">
        <f>P187-I187</f>
        <v>-1.874E-4</v>
      </c>
      <c r="V187" s="64">
        <f>Q187-J187</f>
        <v>-4.500000000000001E-5</v>
      </c>
    </row>
    <row r="188" spans="1:22">
      <c r="A188" s="159">
        <v>165</v>
      </c>
      <c r="B188" s="149" t="s">
        <v>241</v>
      </c>
      <c r="C188" s="148" t="s">
        <v>151</v>
      </c>
      <c r="D188" s="39">
        <v>1303739978.46</v>
      </c>
      <c r="E188" s="34">
        <f t="shared" si="115"/>
        <v>1.1638155961505661E-2</v>
      </c>
      <c r="F188" s="33">
        <v>423.46</v>
      </c>
      <c r="G188" s="33">
        <v>429.25</v>
      </c>
      <c r="H188" s="35">
        <v>158</v>
      </c>
      <c r="I188" s="57">
        <v>1.37E-2</v>
      </c>
      <c r="J188" s="57">
        <v>1.4043000000000001</v>
      </c>
      <c r="K188" s="39">
        <v>1345881913.46</v>
      </c>
      <c r="L188" s="61">
        <f t="shared" si="116"/>
        <v>1.1627343361607048E-2</v>
      </c>
      <c r="M188" s="33">
        <v>431.92</v>
      </c>
      <c r="N188" s="33">
        <v>437.29</v>
      </c>
      <c r="O188" s="35">
        <v>158</v>
      </c>
      <c r="P188" s="57">
        <v>1.37E-2</v>
      </c>
      <c r="Q188" s="57">
        <v>1.3683000000000001</v>
      </c>
      <c r="R188" s="63">
        <f t="shared" si="117"/>
        <v>3.2323880295347523E-2</v>
      </c>
      <c r="S188" s="63">
        <f t="shared" si="118"/>
        <v>1.8730343622597602E-2</v>
      </c>
      <c r="T188" s="63">
        <f t="shared" si="118"/>
        <v>0</v>
      </c>
      <c r="U188" s="63">
        <f t="shared" si="119"/>
        <v>0</v>
      </c>
      <c r="V188" s="64">
        <f t="shared" si="119"/>
        <v>-3.6000000000000032E-2</v>
      </c>
    </row>
    <row r="189" spans="1:22">
      <c r="A189" s="159">
        <v>166</v>
      </c>
      <c r="B189" s="149" t="s">
        <v>242</v>
      </c>
      <c r="C189" s="148" t="s">
        <v>34</v>
      </c>
      <c r="D189" s="39">
        <v>2691648136.1799998</v>
      </c>
      <c r="E189" s="34">
        <f t="shared" si="115"/>
        <v>2.4027659901448645E-2</v>
      </c>
      <c r="F189" s="33">
        <v>552.22</v>
      </c>
      <c r="G189" s="33">
        <v>552.22</v>
      </c>
      <c r="H189" s="35">
        <v>823</v>
      </c>
      <c r="I189" s="57">
        <v>5.7200000000000001E-2</v>
      </c>
      <c r="J189" s="57">
        <v>0.24940000000000001</v>
      </c>
      <c r="K189" s="39">
        <v>2667838966.8200002</v>
      </c>
      <c r="L189" s="61">
        <f t="shared" si="116"/>
        <v>2.3047995065885885E-2</v>
      </c>
      <c r="M189" s="33">
        <v>552.22</v>
      </c>
      <c r="N189" s="33">
        <v>552.22</v>
      </c>
      <c r="O189" s="35">
        <v>823</v>
      </c>
      <c r="P189" s="57">
        <v>-8.8000000000000005E-3</v>
      </c>
      <c r="Q189" s="57">
        <v>0.23830000000000001</v>
      </c>
      <c r="R189" s="63">
        <f t="shared" si="117"/>
        <v>-8.8455727329166227E-3</v>
      </c>
      <c r="S189" s="63">
        <f t="shared" si="118"/>
        <v>0</v>
      </c>
      <c r="T189" s="63">
        <f t="shared" si="118"/>
        <v>0</v>
      </c>
      <c r="U189" s="63">
        <f t="shared" si="119"/>
        <v>-6.6000000000000003E-2</v>
      </c>
      <c r="V189" s="64">
        <f t="shared" si="119"/>
        <v>-1.1099999999999999E-2</v>
      </c>
    </row>
    <row r="190" spans="1:22">
      <c r="A190" s="159">
        <v>167</v>
      </c>
      <c r="B190" s="149" t="s">
        <v>243</v>
      </c>
      <c r="C190" s="148" t="s">
        <v>106</v>
      </c>
      <c r="D190" s="33">
        <v>49455704.109999999</v>
      </c>
      <c r="E190" s="34">
        <f t="shared" si="115"/>
        <v>4.4147852112208247E-4</v>
      </c>
      <c r="F190" s="33">
        <v>2.85</v>
      </c>
      <c r="G190" s="33">
        <v>2.85</v>
      </c>
      <c r="H190" s="35">
        <v>8</v>
      </c>
      <c r="I190" s="57">
        <v>2.4656999999999998E-2</v>
      </c>
      <c r="J190" s="57">
        <v>8.4527000000000005E-2</v>
      </c>
      <c r="K190" s="33">
        <v>49455704.109999999</v>
      </c>
      <c r="L190" s="61">
        <f t="shared" si="116"/>
        <v>4.2725773125125004E-4</v>
      </c>
      <c r="M190" s="33">
        <v>2.85</v>
      </c>
      <c r="N190" s="33">
        <v>2.85</v>
      </c>
      <c r="O190" s="35">
        <v>8</v>
      </c>
      <c r="P190" s="57">
        <v>2.4656999999999998E-2</v>
      </c>
      <c r="Q190" s="57">
        <v>8.4527000000000005E-2</v>
      </c>
      <c r="R190" s="63">
        <f t="shared" si="117"/>
        <v>0</v>
      </c>
      <c r="S190" s="63">
        <f t="shared" si="118"/>
        <v>0</v>
      </c>
      <c r="T190" s="63">
        <f t="shared" si="118"/>
        <v>0</v>
      </c>
      <c r="U190" s="63">
        <f t="shared" si="119"/>
        <v>0</v>
      </c>
      <c r="V190" s="64">
        <f t="shared" si="119"/>
        <v>0</v>
      </c>
    </row>
    <row r="191" spans="1:22">
      <c r="A191" s="159">
        <v>168</v>
      </c>
      <c r="B191" s="149" t="s">
        <v>244</v>
      </c>
      <c r="C191" s="148" t="s">
        <v>46</v>
      </c>
      <c r="D191" s="33">
        <v>551308972.14999998</v>
      </c>
      <c r="E191" s="34">
        <f t="shared" si="115"/>
        <v>4.9213952988064608E-3</v>
      </c>
      <c r="F191" s="33">
        <v>4.1577310000000001</v>
      </c>
      <c r="G191" s="33">
        <v>4.2181649999999999</v>
      </c>
      <c r="H191" s="35">
        <v>139</v>
      </c>
      <c r="I191" s="57">
        <v>-5.0999999999999997E-2</v>
      </c>
      <c r="J191" s="57">
        <v>0.1779</v>
      </c>
      <c r="K191" s="33">
        <v>551308972.14999998</v>
      </c>
      <c r="L191" s="61">
        <f t="shared" si="116"/>
        <v>4.7628686093590345E-3</v>
      </c>
      <c r="M191" s="33">
        <v>4.17</v>
      </c>
      <c r="N191" s="33">
        <v>4.24</v>
      </c>
      <c r="O191" s="35">
        <v>139</v>
      </c>
      <c r="P191" s="57">
        <v>4.7000000000000002E-3</v>
      </c>
      <c r="Q191" s="57">
        <v>0.18260000000000001</v>
      </c>
      <c r="R191" s="63">
        <f t="shared" si="117"/>
        <v>0</v>
      </c>
      <c r="S191" s="63">
        <f t="shared" si="118"/>
        <v>5.1764215008185477E-3</v>
      </c>
      <c r="T191" s="63">
        <f t="shared" si="118"/>
        <v>0</v>
      </c>
      <c r="U191" s="63">
        <f t="shared" si="119"/>
        <v>5.57E-2</v>
      </c>
      <c r="V191" s="64">
        <f t="shared" si="119"/>
        <v>4.7000000000000097E-3</v>
      </c>
    </row>
    <row r="192" spans="1:22">
      <c r="A192" s="159">
        <v>169</v>
      </c>
      <c r="B192" s="149" t="s">
        <v>326</v>
      </c>
      <c r="C192" s="148" t="s">
        <v>327</v>
      </c>
      <c r="D192" s="33">
        <v>216916033.036677</v>
      </c>
      <c r="E192" s="34">
        <f t="shared" si="115"/>
        <v>1.9363543841111222E-3</v>
      </c>
      <c r="F192" s="33">
        <v>123.246582404902</v>
      </c>
      <c r="G192" s="33">
        <v>123.963274472772</v>
      </c>
      <c r="H192" s="35">
        <v>108</v>
      </c>
      <c r="I192" s="57">
        <v>2.5700000000000001E-2</v>
      </c>
      <c r="J192" s="57">
        <v>6.9199999999999998E-2</v>
      </c>
      <c r="K192" s="33">
        <v>218568161.08618</v>
      </c>
      <c r="L192" s="34">
        <f t="shared" si="116"/>
        <v>1.8882541116335353E-3</v>
      </c>
      <c r="M192" s="33">
        <v>124.18604171412601</v>
      </c>
      <c r="N192" s="33">
        <v>124.906915606873</v>
      </c>
      <c r="O192" s="35">
        <v>108</v>
      </c>
      <c r="P192" s="57">
        <v>7.6E-3</v>
      </c>
      <c r="Q192" s="57">
        <v>7.7299999999999994E-2</v>
      </c>
      <c r="R192" s="63">
        <f t="shared" ref="R192" si="125">((K192-D192)/D192)</f>
        <v>7.6164404556653973E-3</v>
      </c>
      <c r="S192" s="63">
        <f t="shared" ref="S192" si="126">((N192-G192)/G192)</f>
        <v>7.6122636975700956E-3</v>
      </c>
      <c r="T192" s="63">
        <f t="shared" ref="T192" si="127">((O192-H192)/H192)</f>
        <v>0</v>
      </c>
      <c r="U192" s="63">
        <f t="shared" ref="U192" si="128">P192-I192</f>
        <v>-1.8100000000000002E-2</v>
      </c>
      <c r="V192" s="64">
        <f t="shared" ref="V192" si="129">Q192-J192</f>
        <v>8.0999999999999961E-3</v>
      </c>
    </row>
    <row r="193" spans="1:22">
      <c r="A193" s="159">
        <v>170</v>
      </c>
      <c r="B193" s="149" t="s">
        <v>245</v>
      </c>
      <c r="C193" s="148" t="s">
        <v>50</v>
      </c>
      <c r="D193" s="39">
        <v>8226128764.2600002</v>
      </c>
      <c r="E193" s="34">
        <f t="shared" si="115"/>
        <v>7.3432564084574478E-2</v>
      </c>
      <c r="F193" s="33">
        <v>11676.4</v>
      </c>
      <c r="G193" s="33">
        <v>11791.82</v>
      </c>
      <c r="H193" s="35">
        <v>5062</v>
      </c>
      <c r="I193" s="57">
        <v>5.74E-2</v>
      </c>
      <c r="J193" s="57">
        <v>0.2117</v>
      </c>
      <c r="K193" s="39">
        <v>8843429548.1000004</v>
      </c>
      <c r="L193" s="34">
        <f t="shared" si="116"/>
        <v>7.640015875211191E-2</v>
      </c>
      <c r="M193" s="33">
        <v>11700.67</v>
      </c>
      <c r="N193" s="33">
        <v>11814.87</v>
      </c>
      <c r="O193" s="35">
        <v>5253</v>
      </c>
      <c r="P193" s="57">
        <v>2E-3</v>
      </c>
      <c r="Q193" s="57">
        <v>0.21410000000000001</v>
      </c>
      <c r="R193" s="63">
        <f t="shared" si="117"/>
        <v>7.5041468658013505E-2</v>
      </c>
      <c r="S193" s="63">
        <f t="shared" si="118"/>
        <v>1.9547448994303757E-3</v>
      </c>
      <c r="T193" s="63">
        <f t="shared" si="118"/>
        <v>3.7732121691031212E-2</v>
      </c>
      <c r="U193" s="63">
        <f t="shared" si="119"/>
        <v>-5.5399999999999998E-2</v>
      </c>
      <c r="V193" s="64">
        <f t="shared" si="119"/>
        <v>2.4000000000000132E-3</v>
      </c>
    </row>
    <row r="194" spans="1:22">
      <c r="A194" s="159">
        <v>171</v>
      </c>
      <c r="B194" s="149" t="s">
        <v>246</v>
      </c>
      <c r="C194" s="149" t="s">
        <v>116</v>
      </c>
      <c r="D194" s="39">
        <v>183232780.50999999</v>
      </c>
      <c r="E194" s="34">
        <f t="shared" si="115"/>
        <v>1.6356725359873141E-3</v>
      </c>
      <c r="F194" s="33">
        <v>1637.8629000000001</v>
      </c>
      <c r="G194" s="33">
        <v>1666.4376999999999</v>
      </c>
      <c r="H194" s="35">
        <v>65</v>
      </c>
      <c r="I194" s="57">
        <v>4.0399999999999998E-2</v>
      </c>
      <c r="J194" s="57">
        <v>0.1363</v>
      </c>
      <c r="K194" s="39">
        <v>184575019.69999999</v>
      </c>
      <c r="L194" s="34">
        <f t="shared" si="116"/>
        <v>1.5945805561128584E-3</v>
      </c>
      <c r="M194" s="33">
        <v>1649.3510000000001</v>
      </c>
      <c r="N194" s="33">
        <v>1678.2362000000001</v>
      </c>
      <c r="O194" s="35">
        <v>68</v>
      </c>
      <c r="P194" s="57">
        <v>7.0000000000000001E-3</v>
      </c>
      <c r="Q194" s="57">
        <v>0.14460000000000001</v>
      </c>
      <c r="R194" s="63">
        <f t="shared" si="117"/>
        <v>7.3253223918999825E-3</v>
      </c>
      <c r="S194" s="63">
        <f t="shared" si="118"/>
        <v>7.0800726603821454E-3</v>
      </c>
      <c r="T194" s="63">
        <f t="shared" si="118"/>
        <v>4.6153846153846156E-2</v>
      </c>
      <c r="U194" s="63">
        <f t="shared" si="119"/>
        <v>-3.3399999999999999E-2</v>
      </c>
      <c r="V194" s="64">
        <f t="shared" si="119"/>
        <v>8.3000000000000018E-3</v>
      </c>
    </row>
    <row r="195" spans="1:22">
      <c r="A195" s="159">
        <v>172</v>
      </c>
      <c r="B195" s="149" t="s">
        <v>247</v>
      </c>
      <c r="C195" s="149" t="s">
        <v>96</v>
      </c>
      <c r="D195" s="39">
        <v>819657322.09000003</v>
      </c>
      <c r="E195" s="34">
        <f t="shared" si="115"/>
        <v>7.3168729248768473E-3</v>
      </c>
      <c r="F195" s="33">
        <v>1.5591999999999999</v>
      </c>
      <c r="G195" s="33">
        <v>1.5591999999999999</v>
      </c>
      <c r="H195" s="35">
        <v>47</v>
      </c>
      <c r="I195" s="57">
        <v>2.8E-3</v>
      </c>
      <c r="J195" s="57">
        <v>2.1399999999999999E-2</v>
      </c>
      <c r="K195" s="39">
        <v>821918084.75999999</v>
      </c>
      <c r="L195" s="34">
        <f t="shared" si="116"/>
        <v>7.1007149223444805E-3</v>
      </c>
      <c r="M195" s="33">
        <v>1.5634999999999999</v>
      </c>
      <c r="N195" s="33">
        <v>1.5634999999999999</v>
      </c>
      <c r="O195" s="35">
        <v>47</v>
      </c>
      <c r="P195" s="57">
        <v>2.8E-3</v>
      </c>
      <c r="Q195" s="57">
        <v>2.4199999999999999E-2</v>
      </c>
      <c r="R195" s="63">
        <f t="shared" si="117"/>
        <v>2.7581802895817E-3</v>
      </c>
      <c r="S195" s="63">
        <f t="shared" si="118"/>
        <v>2.7578245253976211E-3</v>
      </c>
      <c r="T195" s="63">
        <f t="shared" si="118"/>
        <v>0</v>
      </c>
      <c r="U195" s="63">
        <f t="shared" si="119"/>
        <v>0</v>
      </c>
      <c r="V195" s="64">
        <f t="shared" si="119"/>
        <v>2.8000000000000004E-3</v>
      </c>
    </row>
    <row r="196" spans="1:22">
      <c r="A196" s="159">
        <v>173</v>
      </c>
      <c r="B196" s="149" t="s">
        <v>248</v>
      </c>
      <c r="C196" s="148" t="s">
        <v>53</v>
      </c>
      <c r="D196" s="33">
        <v>4947484385.2299995</v>
      </c>
      <c r="E196" s="34">
        <f t="shared" si="115"/>
        <v>4.4164937674485281E-2</v>
      </c>
      <c r="F196" s="33">
        <v>2.7084999999999999</v>
      </c>
      <c r="G196" s="33">
        <v>2.73</v>
      </c>
      <c r="H196" s="35">
        <v>3101</v>
      </c>
      <c r="I196" s="57">
        <v>0.55600000000000005</v>
      </c>
      <c r="J196" s="57">
        <v>0.21940000000000001</v>
      </c>
      <c r="K196" s="33">
        <v>5095142306.1099997</v>
      </c>
      <c r="L196" s="61">
        <f t="shared" si="116"/>
        <v>4.4017954678571468E-2</v>
      </c>
      <c r="M196" s="33">
        <v>2.7286999999999999</v>
      </c>
      <c r="N196" s="33">
        <v>2.75</v>
      </c>
      <c r="O196" s="35">
        <v>2823</v>
      </c>
      <c r="P196" s="57">
        <v>7.4999999999999997E-3</v>
      </c>
      <c r="Q196" s="57">
        <v>0.22850000000000001</v>
      </c>
      <c r="R196" s="63">
        <f t="shared" si="117"/>
        <v>2.9845050410024845E-2</v>
      </c>
      <c r="S196" s="63">
        <f t="shared" si="118"/>
        <v>7.3260073260073329E-3</v>
      </c>
      <c r="T196" s="63">
        <f t="shared" si="118"/>
        <v>-8.9648500483714935E-2</v>
      </c>
      <c r="U196" s="63">
        <f t="shared" si="119"/>
        <v>-0.5485000000000001</v>
      </c>
      <c r="V196" s="64">
        <f t="shared" si="119"/>
        <v>9.099999999999997E-3</v>
      </c>
    </row>
    <row r="197" spans="1:22">
      <c r="A197" s="159">
        <v>174</v>
      </c>
      <c r="B197" s="149" t="s">
        <v>249</v>
      </c>
      <c r="C197" s="148" t="s">
        <v>53</v>
      </c>
      <c r="D197" s="33">
        <v>3199650307.6700001</v>
      </c>
      <c r="E197" s="34">
        <f t="shared" si="115"/>
        <v>2.8562466379936612E-2</v>
      </c>
      <c r="F197" s="33">
        <v>2.1383999999999999</v>
      </c>
      <c r="G197" s="33">
        <v>2.1551999999999998</v>
      </c>
      <c r="H197" s="35">
        <v>1577</v>
      </c>
      <c r="I197" s="57">
        <v>5.6099999999999997E-2</v>
      </c>
      <c r="J197" s="57">
        <v>0.19620000000000001</v>
      </c>
      <c r="K197" s="33">
        <v>3395573784.9099998</v>
      </c>
      <c r="L197" s="61">
        <f t="shared" si="116"/>
        <v>2.9335041887382941E-2</v>
      </c>
      <c r="M197" s="33">
        <v>2.1631999999999998</v>
      </c>
      <c r="N197" s="33">
        <v>2.1795</v>
      </c>
      <c r="O197" s="35">
        <v>1598</v>
      </c>
      <c r="P197" s="57">
        <v>1.1599999999999999E-2</v>
      </c>
      <c r="Q197" s="57">
        <v>0.21010000000000001</v>
      </c>
      <c r="R197" s="63">
        <f t="shared" si="117"/>
        <v>6.1232778085262743E-2</v>
      </c>
      <c r="S197" s="63">
        <f t="shared" si="118"/>
        <v>1.1275055679287403E-2</v>
      </c>
      <c r="T197" s="63">
        <f t="shared" si="118"/>
        <v>1.3316423589093214E-2</v>
      </c>
      <c r="U197" s="63">
        <f t="shared" si="119"/>
        <v>-4.4499999999999998E-2</v>
      </c>
      <c r="V197" s="64">
        <f t="shared" si="119"/>
        <v>1.3899999999999996E-2</v>
      </c>
    </row>
    <row r="198" spans="1:22">
      <c r="A198" s="159">
        <v>175</v>
      </c>
      <c r="B198" s="149" t="s">
        <v>250</v>
      </c>
      <c r="C198" s="148" t="s">
        <v>121</v>
      </c>
      <c r="D198" s="39">
        <v>12752699791.99</v>
      </c>
      <c r="E198" s="34">
        <f t="shared" si="115"/>
        <v>0.11384011502412789</v>
      </c>
      <c r="F198" s="33">
        <v>807.15</v>
      </c>
      <c r="G198" s="33">
        <v>817.09</v>
      </c>
      <c r="H198" s="35">
        <v>40</v>
      </c>
      <c r="I198" s="57">
        <v>4.3700000000000003E-2</v>
      </c>
      <c r="J198" s="57">
        <v>0.17469999999999999</v>
      </c>
      <c r="K198" s="39">
        <v>12972574049.27</v>
      </c>
      <c r="L198" s="61">
        <f t="shared" si="116"/>
        <v>0.1120726649539141</v>
      </c>
      <c r="M198" s="33">
        <v>820.44</v>
      </c>
      <c r="N198" s="33">
        <v>830.55</v>
      </c>
      <c r="O198" s="35">
        <v>41</v>
      </c>
      <c r="P198" s="57">
        <v>1.6500000000000001E-2</v>
      </c>
      <c r="Q198" s="57">
        <v>0.19409999999999999</v>
      </c>
      <c r="R198" s="63">
        <f t="shared" si="117"/>
        <v>1.7241388950291467E-2</v>
      </c>
      <c r="S198" s="63">
        <f t="shared" si="118"/>
        <v>1.6473093539267306E-2</v>
      </c>
      <c r="T198" s="63">
        <f t="shared" si="118"/>
        <v>2.5000000000000001E-2</v>
      </c>
      <c r="U198" s="63">
        <f t="shared" si="119"/>
        <v>-2.7200000000000002E-2</v>
      </c>
      <c r="V198" s="64">
        <f t="shared" si="119"/>
        <v>1.9400000000000001E-2</v>
      </c>
    </row>
    <row r="199" spans="1:22">
      <c r="A199" s="42"/>
      <c r="B199" s="43"/>
      <c r="C199" s="44" t="s">
        <v>56</v>
      </c>
      <c r="D199" s="86">
        <f>SUM(D170:D198)</f>
        <v>112022899742.21411</v>
      </c>
      <c r="E199" s="46">
        <f>(D199/$D$234)</f>
        <v>1.3644662955355165E-2</v>
      </c>
      <c r="F199" s="47"/>
      <c r="G199" s="87"/>
      <c r="H199" s="49">
        <f>SUM(H170:H198)</f>
        <v>82414</v>
      </c>
      <c r="I199" s="105"/>
      <c r="J199" s="105"/>
      <c r="K199" s="86">
        <f>SUM(K170:K198)</f>
        <v>115751455134.97435</v>
      </c>
      <c r="L199" s="46">
        <f>(K199/$K$234)</f>
        <v>1.4040007419239121E-2</v>
      </c>
      <c r="M199" s="47"/>
      <c r="N199" s="87"/>
      <c r="O199" s="49">
        <f>SUM(O170:O198)</f>
        <v>83859</v>
      </c>
      <c r="P199" s="105"/>
      <c r="Q199" s="105"/>
      <c r="R199" s="63">
        <f t="shared" ref="R199" si="130">((K199-D199)/D199)</f>
        <v>3.3283867863984511E-2</v>
      </c>
      <c r="S199" s="63" t="e">
        <f t="shared" ref="S199" si="131">((N199-G199)/G199)</f>
        <v>#DIV/0!</v>
      </c>
      <c r="T199" s="63">
        <f t="shared" ref="T199" si="132">((O199-H199)/H199)</f>
        <v>1.7533428786371246E-2</v>
      </c>
      <c r="U199" s="63">
        <f t="shared" ref="U199" si="133">P199-I199</f>
        <v>0</v>
      </c>
      <c r="V199" s="64">
        <f t="shared" ref="V199" si="134">Q199-J199</f>
        <v>0</v>
      </c>
    </row>
    <row r="200" spans="1:22" ht="5.25" customHeight="1">
      <c r="A200" s="42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</row>
    <row r="201" spans="1:22" ht="15" customHeight="1">
      <c r="A201" s="167" t="s">
        <v>251</v>
      </c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</row>
    <row r="202" spans="1:22" ht="15" customHeight="1">
      <c r="A202" s="157">
        <v>176</v>
      </c>
      <c r="B202" s="149" t="s">
        <v>331</v>
      </c>
      <c r="C202" s="148" t="s">
        <v>137</v>
      </c>
      <c r="D202" s="88">
        <v>577494408.95986998</v>
      </c>
      <c r="E202" s="34">
        <v>0</v>
      </c>
      <c r="F202" s="89">
        <v>1000</v>
      </c>
      <c r="G202" s="89">
        <v>1000</v>
      </c>
      <c r="H202" s="35">
        <v>25</v>
      </c>
      <c r="I202" s="57">
        <v>2E-3</v>
      </c>
      <c r="J202" s="57">
        <v>1.11E-2</v>
      </c>
      <c r="K202" s="88">
        <v>583748990.58352804</v>
      </c>
      <c r="L202" s="61">
        <f>(K202/$K$205)</f>
        <v>4.1546904347059654E-2</v>
      </c>
      <c r="M202" s="89">
        <v>1000</v>
      </c>
      <c r="N202" s="89">
        <v>1000</v>
      </c>
      <c r="O202" s="35">
        <v>30</v>
      </c>
      <c r="P202" s="57">
        <v>1.8E-3</v>
      </c>
      <c r="Q202" s="57">
        <v>1.38E-2</v>
      </c>
      <c r="R202" s="63">
        <f>((K202-D202)/D202)</f>
        <v>1.0830549225443135E-2</v>
      </c>
      <c r="S202" s="63">
        <f t="shared" ref="S202" si="135">((N202-G202)/G202)</f>
        <v>0</v>
      </c>
      <c r="T202" s="63">
        <f t="shared" ref="T202" si="136">((O202-H202)/H202)</f>
        <v>0.2</v>
      </c>
      <c r="U202" s="63">
        <f t="shared" ref="U202" si="137">P202-I202</f>
        <v>-2.0000000000000009E-4</v>
      </c>
      <c r="V202" s="64">
        <f t="shared" ref="V202" si="138">Q202-J202</f>
        <v>2.6999999999999993E-3</v>
      </c>
    </row>
    <row r="203" spans="1:22">
      <c r="A203" s="157">
        <v>177</v>
      </c>
      <c r="B203" s="149" t="s">
        <v>252</v>
      </c>
      <c r="C203" s="148" t="s">
        <v>253</v>
      </c>
      <c r="D203" s="88">
        <v>1823171724.02</v>
      </c>
      <c r="E203" s="34">
        <f>(D203/$D$205)</f>
        <v>0.13514502635096456</v>
      </c>
      <c r="F203" s="89">
        <v>46.825400000000002</v>
      </c>
      <c r="G203" s="89">
        <v>47.339799999999997</v>
      </c>
      <c r="H203" s="35">
        <v>1535</v>
      </c>
      <c r="I203" s="57">
        <v>0.109</v>
      </c>
      <c r="J203" s="57">
        <v>0.29749999999999999</v>
      </c>
      <c r="K203" s="88">
        <v>1831632795.6800001</v>
      </c>
      <c r="L203" s="61">
        <f>(K203/$K$205)</f>
        <v>0.13036197713161707</v>
      </c>
      <c r="M203" s="89">
        <v>50.187399999999997</v>
      </c>
      <c r="N203" s="89">
        <v>50.723700000000001</v>
      </c>
      <c r="O203" s="35">
        <v>1536</v>
      </c>
      <c r="P203" s="57">
        <v>1.01E-2</v>
      </c>
      <c r="Q203" s="57">
        <v>0.25580000000000003</v>
      </c>
      <c r="R203" s="63">
        <f>((K203-D203)/D203)</f>
        <v>4.640852832745704E-3</v>
      </c>
      <c r="S203" s="63">
        <f t="shared" ref="S203:T205" si="139">((N203-G203)/G203)</f>
        <v>7.1481079345497966E-2</v>
      </c>
      <c r="T203" s="63">
        <f t="shared" si="139"/>
        <v>6.5146579804560263E-4</v>
      </c>
      <c r="U203" s="63">
        <f t="shared" ref="U203:V205" si="140">P203-I203</f>
        <v>-9.8900000000000002E-2</v>
      </c>
      <c r="V203" s="64">
        <f t="shared" si="140"/>
        <v>-4.1699999999999959E-2</v>
      </c>
    </row>
    <row r="204" spans="1:22">
      <c r="A204" s="157">
        <v>178</v>
      </c>
      <c r="B204" s="149" t="s">
        <v>254</v>
      </c>
      <c r="C204" s="148" t="s">
        <v>50</v>
      </c>
      <c r="D204" s="51">
        <v>11089817188.879999</v>
      </c>
      <c r="E204" s="34">
        <f>(D204/$D$205)</f>
        <v>0.82204743331250041</v>
      </c>
      <c r="F204" s="89">
        <v>5.83</v>
      </c>
      <c r="G204" s="89">
        <v>5.91</v>
      </c>
      <c r="H204" s="35">
        <v>12909</v>
      </c>
      <c r="I204" s="57">
        <v>7.4499999999999997E-2</v>
      </c>
      <c r="J204" s="57">
        <v>0.30459999999999998</v>
      </c>
      <c r="K204" s="51">
        <v>11634978878.57</v>
      </c>
      <c r="L204" s="61">
        <f>(K204/$K$205)</f>
        <v>0.82809111852132333</v>
      </c>
      <c r="M204" s="89">
        <v>5.86</v>
      </c>
      <c r="N204" s="89">
        <v>5.95</v>
      </c>
      <c r="O204" s="35">
        <v>13170</v>
      </c>
      <c r="P204" s="57">
        <v>6.7999999999999996E-3</v>
      </c>
      <c r="Q204" s="57">
        <v>0.3135</v>
      </c>
      <c r="R204" s="63">
        <f>((K204-D204)/D204)</f>
        <v>4.9158762530066409E-2</v>
      </c>
      <c r="S204" s="63">
        <f t="shared" si="139"/>
        <v>6.7681895093062664E-3</v>
      </c>
      <c r="T204" s="63">
        <f t="shared" si="139"/>
        <v>2.0218452242621428E-2</v>
      </c>
      <c r="U204" s="63">
        <f t="shared" si="140"/>
        <v>-6.7699999999999996E-2</v>
      </c>
      <c r="V204" s="64">
        <f t="shared" si="140"/>
        <v>8.900000000000019E-3</v>
      </c>
    </row>
    <row r="205" spans="1:22">
      <c r="A205" s="42"/>
      <c r="B205" s="43"/>
      <c r="C205" s="78" t="s">
        <v>56</v>
      </c>
      <c r="D205" s="86">
        <f>SUM(D202:D204)</f>
        <v>13490483321.859869</v>
      </c>
      <c r="E205" s="46">
        <f>(D205/$D$234)</f>
        <v>1.6431738372708175E-3</v>
      </c>
      <c r="F205" s="47"/>
      <c r="G205" s="87"/>
      <c r="H205" s="49">
        <f>SUM(H202:H204)</f>
        <v>14469</v>
      </c>
      <c r="I205" s="105"/>
      <c r="J205" s="105"/>
      <c r="K205" s="86">
        <f>SUM(K202:K204)</f>
        <v>14050360664.833527</v>
      </c>
      <c r="L205" s="46">
        <f>(K205/$K$234)</f>
        <v>1.7042305666673547E-3</v>
      </c>
      <c r="M205" s="47"/>
      <c r="N205" s="87"/>
      <c r="O205" s="49">
        <f>SUM(O202:O204)</f>
        <v>14736</v>
      </c>
      <c r="P205" s="105"/>
      <c r="Q205" s="105"/>
      <c r="R205" s="63">
        <f>((K205-D205)/D205)</f>
        <v>4.1501651913867087E-2</v>
      </c>
      <c r="S205" s="63" t="e">
        <f t="shared" si="139"/>
        <v>#DIV/0!</v>
      </c>
      <c r="T205" s="63">
        <f t="shared" si="139"/>
        <v>1.8453244868339207E-2</v>
      </c>
      <c r="U205" s="63">
        <f t="shared" si="140"/>
        <v>0</v>
      </c>
      <c r="V205" s="64">
        <f t="shared" si="140"/>
        <v>0</v>
      </c>
    </row>
    <row r="206" spans="1:22" ht="6" customHeight="1">
      <c r="A206" s="42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</row>
    <row r="207" spans="1:22" ht="15" customHeight="1">
      <c r="A207" s="163" t="s">
        <v>255</v>
      </c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1:22">
      <c r="A208" s="166" t="s">
        <v>256</v>
      </c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</row>
    <row r="209" spans="1:24">
      <c r="A209" s="157">
        <v>179</v>
      </c>
      <c r="B209" s="149" t="s">
        <v>257</v>
      </c>
      <c r="C209" s="148" t="s">
        <v>258</v>
      </c>
      <c r="D209" s="55">
        <v>11765315531.940001</v>
      </c>
      <c r="E209" s="34">
        <f>(D209/$D$233)</f>
        <v>0.11715079766474447</v>
      </c>
      <c r="F209" s="90">
        <v>3.54</v>
      </c>
      <c r="G209" s="90">
        <v>3.6</v>
      </c>
      <c r="H209" s="53">
        <v>15824</v>
      </c>
      <c r="I209" s="60">
        <v>6.3399999999999998E-2</v>
      </c>
      <c r="J209" s="60">
        <v>0.19939999999999999</v>
      </c>
      <c r="K209" s="55">
        <v>12134753906.66</v>
      </c>
      <c r="L209" s="34">
        <f>(K209/$K$233)</f>
        <v>0.11625535578485861</v>
      </c>
      <c r="M209" s="90">
        <v>3.56</v>
      </c>
      <c r="N209" s="90">
        <v>3.62</v>
      </c>
      <c r="O209" s="53">
        <v>15868</v>
      </c>
      <c r="P209" s="60">
        <v>5.5999999999999999E-3</v>
      </c>
      <c r="Q209" s="60">
        <v>0.20610000000000001</v>
      </c>
      <c r="R209" s="62">
        <f>((K209-D209)/D209)</f>
        <v>3.140063466356368E-2</v>
      </c>
      <c r="S209" s="62">
        <f>((N209-G209)/G209)</f>
        <v>5.5555555555555601E-3</v>
      </c>
      <c r="T209" s="62">
        <f>((O209-H209)/H209)</f>
        <v>2.780586450960566E-3</v>
      </c>
      <c r="U209" s="62">
        <f>P209-I209</f>
        <v>-5.7799999999999997E-2</v>
      </c>
      <c r="V209" s="109">
        <f>Q209-J209</f>
        <v>6.7000000000000115E-3</v>
      </c>
    </row>
    <row r="210" spans="1:24">
      <c r="A210" s="157">
        <v>180</v>
      </c>
      <c r="B210" s="149" t="s">
        <v>259</v>
      </c>
      <c r="C210" s="148" t="s">
        <v>50</v>
      </c>
      <c r="D210" s="55">
        <v>15483248875.75</v>
      </c>
      <c r="E210" s="34">
        <f>(D210/$D$233)</f>
        <v>0.15417138208589787</v>
      </c>
      <c r="F210" s="90">
        <v>1193.3599999999999</v>
      </c>
      <c r="G210" s="90">
        <v>1207.55</v>
      </c>
      <c r="H210" s="53">
        <v>4156</v>
      </c>
      <c r="I210" s="60">
        <v>7.2400000000000006E-2</v>
      </c>
      <c r="J210" s="60">
        <v>0.27</v>
      </c>
      <c r="K210" s="55">
        <v>17353385601.02</v>
      </c>
      <c r="L210" s="34">
        <f>(K210/$K$233)</f>
        <v>0.16625174541126755</v>
      </c>
      <c r="M210" s="90">
        <v>1204.71</v>
      </c>
      <c r="N210" s="90">
        <v>1217.6400000000001</v>
      </c>
      <c r="O210" s="53">
        <v>4458</v>
      </c>
      <c r="P210" s="60">
        <v>8.3999999999999995E-3</v>
      </c>
      <c r="Q210" s="60">
        <v>0.28060000000000002</v>
      </c>
      <c r="R210" s="62">
        <f>((K210-D210)/D210)</f>
        <v>0.12078451623929039</v>
      </c>
      <c r="S210" s="62">
        <f>((N210-G210)/G210)</f>
        <v>8.3557616661837156E-3</v>
      </c>
      <c r="T210" s="62">
        <f>((O210-H210)/H210)</f>
        <v>7.2666025024061595E-2</v>
      </c>
      <c r="U210" s="62">
        <f>P210-I210</f>
        <v>-6.4000000000000001E-2</v>
      </c>
      <c r="V210" s="109">
        <f>Q210-J210</f>
        <v>1.0599999999999998E-2</v>
      </c>
    </row>
    <row r="211" spans="1:24" ht="6" customHeight="1">
      <c r="A211" s="77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</row>
    <row r="212" spans="1:24" ht="15" customHeight="1">
      <c r="A212" s="166" t="s">
        <v>193</v>
      </c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</row>
    <row r="213" spans="1:24">
      <c r="A213" s="157">
        <v>181</v>
      </c>
      <c r="B213" s="149" t="s">
        <v>260</v>
      </c>
      <c r="C213" s="148" t="s">
        <v>24</v>
      </c>
      <c r="D213" s="39">
        <v>1449803592.3800001</v>
      </c>
      <c r="E213" s="34">
        <f>(D213/$D$233)</f>
        <v>1.4436131937425647E-2</v>
      </c>
      <c r="F213" s="89">
        <v>1.1564000000000001</v>
      </c>
      <c r="G213" s="89">
        <v>1.1564000000000001</v>
      </c>
      <c r="H213" s="35">
        <v>897</v>
      </c>
      <c r="I213" s="57">
        <v>0.12659999999999999</v>
      </c>
      <c r="J213" s="57">
        <v>0.13689999999999999</v>
      </c>
      <c r="K213" s="39">
        <v>1399282443.23</v>
      </c>
      <c r="L213" s="34">
        <f t="shared" ref="L213:L226" si="141">(K213/$K$233)</f>
        <v>1.3405634719294008E-2</v>
      </c>
      <c r="M213" s="89">
        <v>1.1594</v>
      </c>
      <c r="N213" s="89">
        <v>1.1594</v>
      </c>
      <c r="O213" s="35">
        <v>900</v>
      </c>
      <c r="P213" s="57">
        <v>0.1353</v>
      </c>
      <c r="Q213" s="57">
        <v>0.13700000000000001</v>
      </c>
      <c r="R213" s="63">
        <f>((K213-D213)/D213)</f>
        <v>-3.4846891962148123E-2</v>
      </c>
      <c r="S213" s="63">
        <f>((N213-G213)/G213)</f>
        <v>2.5942580421998368E-3</v>
      </c>
      <c r="T213" s="63">
        <f>((O213-H213)/H213)</f>
        <v>3.3444816053511705E-3</v>
      </c>
      <c r="U213" s="63">
        <f>P213-I213</f>
        <v>8.7000000000000133E-3</v>
      </c>
      <c r="V213" s="64">
        <f>Q213-J213</f>
        <v>1.0000000000001674E-4</v>
      </c>
      <c r="X213" s="110"/>
    </row>
    <row r="214" spans="1:24">
      <c r="A214" s="157">
        <v>182</v>
      </c>
      <c r="B214" s="149" t="s">
        <v>261</v>
      </c>
      <c r="C214" s="148" t="s">
        <v>262</v>
      </c>
      <c r="D214" s="39">
        <v>373804797.66000003</v>
      </c>
      <c r="E214" s="34">
        <f>(D214/$D$233)</f>
        <v>3.7220871890680657E-3</v>
      </c>
      <c r="F214" s="89">
        <v>1133.32</v>
      </c>
      <c r="G214" s="89">
        <v>1133.32</v>
      </c>
      <c r="H214" s="35">
        <v>19</v>
      </c>
      <c r="I214" s="57">
        <v>2.3999999999999998E-3</v>
      </c>
      <c r="J214" s="57">
        <v>1.6899999999999998E-2</v>
      </c>
      <c r="K214" s="39">
        <v>374621548.85000002</v>
      </c>
      <c r="L214" s="34">
        <f t="shared" si="141"/>
        <v>3.5890106862677068E-3</v>
      </c>
      <c r="M214" s="89">
        <v>1144.52</v>
      </c>
      <c r="N214" s="89">
        <v>1144.52</v>
      </c>
      <c r="O214" s="35">
        <v>19</v>
      </c>
      <c r="P214" s="57">
        <v>2.3999999999999998E-3</v>
      </c>
      <c r="Q214" s="57">
        <v>1.9300000000000001E-2</v>
      </c>
      <c r="R214" s="63">
        <f>((K214-D214)/D214)</f>
        <v>2.1849671141537523E-3</v>
      </c>
      <c r="S214" s="63">
        <f>((N214-G214)/G214)</f>
        <v>9.8824692055201058E-3</v>
      </c>
      <c r="T214" s="63">
        <f>((O214-H214)/H214)</f>
        <v>0</v>
      </c>
      <c r="U214" s="63">
        <f>P214-I214</f>
        <v>0</v>
      </c>
      <c r="V214" s="64">
        <f>Q214-J214</f>
        <v>2.4000000000000028E-3</v>
      </c>
      <c r="X214" s="110"/>
    </row>
    <row r="215" spans="1:24">
      <c r="A215" s="157">
        <v>183</v>
      </c>
      <c r="B215" s="149" t="s">
        <v>263</v>
      </c>
      <c r="C215" s="148" t="s">
        <v>73</v>
      </c>
      <c r="D215" s="39">
        <v>323469597.13</v>
      </c>
      <c r="E215" s="34">
        <f>(D215/$D$233)</f>
        <v>3.2208844056241404E-3</v>
      </c>
      <c r="F215" s="89">
        <v>124.74</v>
      </c>
      <c r="G215" s="89">
        <v>124.74</v>
      </c>
      <c r="H215" s="35">
        <v>79</v>
      </c>
      <c r="I215" s="57">
        <v>2.8999999999999998E-3</v>
      </c>
      <c r="J215" s="57">
        <v>0.1331</v>
      </c>
      <c r="K215" s="39">
        <v>324928250.89999998</v>
      </c>
      <c r="L215" s="34">
        <f t="shared" si="141"/>
        <v>3.1129308186628479E-3</v>
      </c>
      <c r="M215" s="89">
        <v>125.14</v>
      </c>
      <c r="N215" s="89">
        <v>125.14</v>
      </c>
      <c r="O215" s="35">
        <v>80</v>
      </c>
      <c r="P215" s="57">
        <v>3.2000000000000002E-3</v>
      </c>
      <c r="Q215" s="57">
        <v>0.1331</v>
      </c>
      <c r="R215" s="63">
        <f t="shared" ref="R215:R234" si="142">((K215-D215)/D215)</f>
        <v>4.5093999032427114E-3</v>
      </c>
      <c r="S215" s="63">
        <f t="shared" ref="S215:S233" si="143">((N215-G215)/G215)</f>
        <v>3.2066698733365859E-3</v>
      </c>
      <c r="T215" s="63">
        <f t="shared" ref="T215:T233" si="144">((O215-H215)/H215)</f>
        <v>1.2658227848101266E-2</v>
      </c>
      <c r="U215" s="63">
        <f t="shared" ref="U215:U233" si="145">P215-I215</f>
        <v>3.0000000000000035E-4</v>
      </c>
      <c r="V215" s="64">
        <f t="shared" ref="V215:V233" si="146">Q215-J215</f>
        <v>0</v>
      </c>
    </row>
    <row r="216" spans="1:24">
      <c r="A216" s="157">
        <v>184</v>
      </c>
      <c r="B216" s="162" t="s">
        <v>264</v>
      </c>
      <c r="C216" s="148" t="s">
        <v>265</v>
      </c>
      <c r="D216" s="39">
        <v>55248317.953467302</v>
      </c>
      <c r="E216" s="34">
        <v>0</v>
      </c>
      <c r="F216" s="89">
        <v>108.05</v>
      </c>
      <c r="G216" s="89">
        <v>108.05</v>
      </c>
      <c r="H216" s="35">
        <v>14</v>
      </c>
      <c r="I216" s="57">
        <v>2.7000000000000001E-3</v>
      </c>
      <c r="J216" s="57">
        <v>8.0500000000000002E-2</v>
      </c>
      <c r="K216" s="39">
        <v>55402992.366796799</v>
      </c>
      <c r="L216" s="34">
        <f t="shared" si="141"/>
        <v>5.3078081670966302E-4</v>
      </c>
      <c r="M216" s="89">
        <v>108.35</v>
      </c>
      <c r="N216" s="89">
        <v>108.35</v>
      </c>
      <c r="O216" s="35">
        <v>14</v>
      </c>
      <c r="P216" s="57">
        <v>3.0000000000000001E-3</v>
      </c>
      <c r="Q216" s="57">
        <v>8.3500000000000005E-2</v>
      </c>
      <c r="R216" s="63">
        <f t="shared" si="142"/>
        <v>2.799622125324629E-3</v>
      </c>
      <c r="S216" s="63">
        <f t="shared" si="143"/>
        <v>2.7764923646459712E-3</v>
      </c>
      <c r="T216" s="63">
        <f t="shared" si="144"/>
        <v>0</v>
      </c>
      <c r="U216" s="63">
        <f t="shared" si="145"/>
        <v>2.9999999999999992E-4</v>
      </c>
      <c r="V216" s="64">
        <f t="shared" si="146"/>
        <v>3.0000000000000027E-3</v>
      </c>
    </row>
    <row r="217" spans="1:24">
      <c r="A217" s="157">
        <v>185</v>
      </c>
      <c r="B217" s="162" t="s">
        <v>266</v>
      </c>
      <c r="C217" s="148" t="s">
        <v>79</v>
      </c>
      <c r="D217" s="51">
        <v>72337608.390000001</v>
      </c>
      <c r="E217" s="34">
        <f>(D217/$D$233)</f>
        <v>7.2028739909630408E-4</v>
      </c>
      <c r="F217" s="89">
        <v>105.98</v>
      </c>
      <c r="G217" s="89">
        <v>105.98</v>
      </c>
      <c r="H217" s="35">
        <v>15</v>
      </c>
      <c r="I217" s="57">
        <v>2.07E-2</v>
      </c>
      <c r="J217" s="57">
        <v>7.3899999999999993E-2</v>
      </c>
      <c r="K217" s="51">
        <v>73768197.939999998</v>
      </c>
      <c r="L217" s="34">
        <f t="shared" si="141"/>
        <v>7.0672616544912193E-4</v>
      </c>
      <c r="M217" s="89">
        <v>105.42</v>
      </c>
      <c r="N217" s="89">
        <v>105.42</v>
      </c>
      <c r="O217" s="35">
        <v>15</v>
      </c>
      <c r="P217" s="57">
        <v>-5.7000000000000002E-3</v>
      </c>
      <c r="Q217" s="57">
        <v>6.8199999999999997E-2</v>
      </c>
      <c r="R217" s="63">
        <f t="shared" si="142"/>
        <v>1.9776566876349242E-2</v>
      </c>
      <c r="S217" s="63">
        <f t="shared" si="143"/>
        <v>-5.284015852047577E-3</v>
      </c>
      <c r="T217" s="63">
        <f t="shared" si="144"/>
        <v>0</v>
      </c>
      <c r="U217" s="63">
        <f t="shared" si="145"/>
        <v>-2.64E-2</v>
      </c>
      <c r="V217" s="64">
        <f t="shared" si="146"/>
        <v>-5.6999999999999967E-3</v>
      </c>
    </row>
    <row r="218" spans="1:24">
      <c r="A218" s="157">
        <v>186</v>
      </c>
      <c r="B218" s="149" t="s">
        <v>267</v>
      </c>
      <c r="C218" s="148" t="s">
        <v>82</v>
      </c>
      <c r="D218" s="51">
        <v>276952706.10000002</v>
      </c>
      <c r="E218" s="34">
        <v>0</v>
      </c>
      <c r="F218" s="89">
        <v>1.19</v>
      </c>
      <c r="G218" s="89">
        <v>1.19</v>
      </c>
      <c r="H218" s="35">
        <v>62</v>
      </c>
      <c r="I218" s="57">
        <v>0.14050000000000001</v>
      </c>
      <c r="J218" s="57">
        <v>0.13969999999999999</v>
      </c>
      <c r="K218" s="51">
        <v>279108349.73000002</v>
      </c>
      <c r="L218" s="34">
        <f t="shared" si="141"/>
        <v>2.6739595009485384E-3</v>
      </c>
      <c r="M218" s="89">
        <v>1.19</v>
      </c>
      <c r="N218" s="89">
        <v>1.19</v>
      </c>
      <c r="O218" s="35">
        <v>60</v>
      </c>
      <c r="P218" s="57">
        <v>0.14050000000000001</v>
      </c>
      <c r="Q218" s="57">
        <v>0.13969999999999999</v>
      </c>
      <c r="R218" s="63">
        <f t="shared" ref="R218:R219" si="147">((K218-D218)/D218)</f>
        <v>7.7834358810043597E-3</v>
      </c>
      <c r="S218" s="63">
        <f t="shared" ref="S218:S219" si="148">((N218-G218)/G218)</f>
        <v>0</v>
      </c>
      <c r="T218" s="63">
        <f t="shared" ref="T218" si="149">((O218-H218)/H218)</f>
        <v>-3.2258064516129031E-2</v>
      </c>
      <c r="U218" s="63">
        <f t="shared" ref="U218" si="150">P218-I218</f>
        <v>0</v>
      </c>
      <c r="V218" s="64">
        <f t="shared" ref="V218" si="151">Q218-J218</f>
        <v>0</v>
      </c>
    </row>
    <row r="219" spans="1:24">
      <c r="A219" s="157">
        <v>187</v>
      </c>
      <c r="B219" s="149" t="s">
        <v>268</v>
      </c>
      <c r="C219" s="148" t="s">
        <v>32</v>
      </c>
      <c r="D219" s="39">
        <v>5329097973.54</v>
      </c>
      <c r="E219" s="34">
        <f t="shared" ref="E219:E226" si="152">(D219/$D$233)</f>
        <v>5.3063436908167748E-2</v>
      </c>
      <c r="F219" s="89">
        <v>145</v>
      </c>
      <c r="G219" s="89">
        <v>145</v>
      </c>
      <c r="H219" s="35">
        <v>778</v>
      </c>
      <c r="I219" s="57">
        <v>-2.5999999999999999E-3</v>
      </c>
      <c r="J219" s="57">
        <v>1.9E-2</v>
      </c>
      <c r="K219" s="39">
        <v>5327171206.25</v>
      </c>
      <c r="L219" s="34">
        <f t="shared" si="141"/>
        <v>5.1036237625679978E-2</v>
      </c>
      <c r="M219" s="89">
        <v>145.38</v>
      </c>
      <c r="N219" s="89">
        <v>145.38</v>
      </c>
      <c r="O219" s="35">
        <v>784</v>
      </c>
      <c r="P219" s="57">
        <v>2.5999999999999999E-3</v>
      </c>
      <c r="Q219" s="57">
        <v>2.1700000000000001E-2</v>
      </c>
      <c r="R219" s="63">
        <f t="shared" si="147"/>
        <v>-3.6155598931878028E-4</v>
      </c>
      <c r="S219" s="63">
        <f t="shared" si="148"/>
        <v>2.6206896551723823E-3</v>
      </c>
      <c r="T219" s="63">
        <f t="shared" si="144"/>
        <v>7.7120822622107968E-3</v>
      </c>
      <c r="U219" s="63">
        <f t="shared" si="145"/>
        <v>5.1999999999999998E-3</v>
      </c>
      <c r="V219" s="64">
        <f t="shared" si="146"/>
        <v>2.700000000000001E-3</v>
      </c>
    </row>
    <row r="220" spans="1:24">
      <c r="A220" s="157">
        <v>188</v>
      </c>
      <c r="B220" s="149" t="s">
        <v>269</v>
      </c>
      <c r="C220" s="148" t="s">
        <v>71</v>
      </c>
      <c r="D220" s="39">
        <v>1049179641.75878</v>
      </c>
      <c r="E220" s="34">
        <f t="shared" si="152"/>
        <v>1.0446998347980961E-2</v>
      </c>
      <c r="F220" s="38">
        <v>1346.4412493924899</v>
      </c>
      <c r="G220" s="38">
        <v>1346.4412493924899</v>
      </c>
      <c r="H220" s="35">
        <v>329</v>
      </c>
      <c r="I220" s="57">
        <v>0.11600000000000001</v>
      </c>
      <c r="J220" s="57">
        <v>0.1166</v>
      </c>
      <c r="K220" s="39">
        <v>1066038304.49327</v>
      </c>
      <c r="L220" s="34">
        <f t="shared" si="141"/>
        <v>1.0213034670701789E-2</v>
      </c>
      <c r="M220" s="38">
        <v>1349.42967923948</v>
      </c>
      <c r="N220" s="38">
        <v>1349.42967923948</v>
      </c>
      <c r="O220" s="35">
        <v>335</v>
      </c>
      <c r="P220" s="57">
        <v>0.1157</v>
      </c>
      <c r="Q220" s="57">
        <v>0.1167</v>
      </c>
      <c r="R220" s="63">
        <f t="shared" si="142"/>
        <v>1.606842342673483E-2</v>
      </c>
      <c r="S220" s="63">
        <f t="shared" si="143"/>
        <v>2.2195025949617183E-3</v>
      </c>
      <c r="T220" s="63">
        <f t="shared" si="144"/>
        <v>1.82370820668693E-2</v>
      </c>
      <c r="U220" s="63">
        <f t="shared" si="145"/>
        <v>-3.0000000000000859E-4</v>
      </c>
      <c r="V220" s="64">
        <f t="shared" si="146"/>
        <v>1.0000000000000286E-4</v>
      </c>
    </row>
    <row r="221" spans="1:24">
      <c r="A221" s="157">
        <v>189</v>
      </c>
      <c r="B221" s="149" t="s">
        <v>270</v>
      </c>
      <c r="C221" s="148" t="s">
        <v>258</v>
      </c>
      <c r="D221" s="39">
        <v>43278623020.739998</v>
      </c>
      <c r="E221" s="34">
        <f t="shared" si="152"/>
        <v>0.43093831142456773</v>
      </c>
      <c r="F221" s="38">
        <v>1287.3499999999999</v>
      </c>
      <c r="G221" s="38">
        <v>1287.3499999999999</v>
      </c>
      <c r="H221" s="35">
        <v>12196</v>
      </c>
      <c r="I221" s="57">
        <v>3.3E-3</v>
      </c>
      <c r="J221" s="57">
        <v>2.1499999999999998E-2</v>
      </c>
      <c r="K221" s="39">
        <v>43479532858.5</v>
      </c>
      <c r="L221" s="34">
        <f t="shared" si="141"/>
        <v>0.41654973810800949</v>
      </c>
      <c r="M221" s="38">
        <v>1291.24</v>
      </c>
      <c r="N221" s="38">
        <v>1291.24</v>
      </c>
      <c r="O221" s="35">
        <v>12384</v>
      </c>
      <c r="P221" s="57">
        <v>3.0000000000000001E-3</v>
      </c>
      <c r="Q221" s="57">
        <v>2.4500000000000001E-2</v>
      </c>
      <c r="R221" s="63">
        <f t="shared" si="142"/>
        <v>4.6422419138363539E-3</v>
      </c>
      <c r="S221" s="63">
        <f t="shared" si="143"/>
        <v>3.0217112673321944E-3</v>
      </c>
      <c r="T221" s="63">
        <f t="shared" si="144"/>
        <v>1.541489012791079E-2</v>
      </c>
      <c r="U221" s="63">
        <f t="shared" si="145"/>
        <v>-2.9999999999999992E-4</v>
      </c>
      <c r="V221" s="64">
        <f t="shared" si="146"/>
        <v>3.0000000000000027E-3</v>
      </c>
    </row>
    <row r="222" spans="1:24">
      <c r="A222" s="157">
        <v>190</v>
      </c>
      <c r="B222" s="149" t="s">
        <v>271</v>
      </c>
      <c r="C222" s="148" t="s">
        <v>272</v>
      </c>
      <c r="D222" s="39">
        <v>375004470.73000002</v>
      </c>
      <c r="E222" s="34">
        <f t="shared" si="152"/>
        <v>3.7340326959017646E-3</v>
      </c>
      <c r="F222" s="90">
        <v>133.31</v>
      </c>
      <c r="G222" s="90">
        <v>134.16</v>
      </c>
      <c r="H222" s="53">
        <v>130</v>
      </c>
      <c r="I222" s="57">
        <v>3.6900000000000002E-2</v>
      </c>
      <c r="J222" s="57">
        <v>9.98E-2</v>
      </c>
      <c r="K222" s="39">
        <v>434533518.89999998</v>
      </c>
      <c r="L222" s="34">
        <f t="shared" si="141"/>
        <v>4.1629891490787118E-3</v>
      </c>
      <c r="M222" s="90">
        <v>134.81</v>
      </c>
      <c r="N222" s="90">
        <v>135.57</v>
      </c>
      <c r="O222" s="53">
        <v>132</v>
      </c>
      <c r="P222" s="57">
        <v>1.0500000000000001E-2</v>
      </c>
      <c r="Q222" s="57">
        <v>0.1113</v>
      </c>
      <c r="R222" s="63">
        <f t="shared" si="142"/>
        <v>0.15874223593686262</v>
      </c>
      <c r="S222" s="63">
        <f t="shared" si="143"/>
        <v>1.0509838998211066E-2</v>
      </c>
      <c r="T222" s="63">
        <f t="shared" si="144"/>
        <v>1.5384615384615385E-2</v>
      </c>
      <c r="U222" s="63">
        <f t="shared" si="145"/>
        <v>-2.64E-2</v>
      </c>
      <c r="V222" s="64">
        <f t="shared" si="146"/>
        <v>1.1499999999999996E-2</v>
      </c>
    </row>
    <row r="223" spans="1:24">
      <c r="A223" s="157">
        <v>191</v>
      </c>
      <c r="B223" s="149" t="s">
        <v>273</v>
      </c>
      <c r="C223" s="148" t="s">
        <v>272</v>
      </c>
      <c r="D223" s="39">
        <v>827471722.98000002</v>
      </c>
      <c r="E223" s="34">
        <f t="shared" si="152"/>
        <v>8.2393856865939103E-3</v>
      </c>
      <c r="F223" s="90">
        <v>138.52000000000001</v>
      </c>
      <c r="G223" s="90">
        <v>138.52000000000001</v>
      </c>
      <c r="H223" s="53">
        <v>146</v>
      </c>
      <c r="I223" s="57">
        <v>6.7999999999999996E-3</v>
      </c>
      <c r="J223" s="57">
        <v>2.1399999999999999E-2</v>
      </c>
      <c r="K223" s="39">
        <v>812695758</v>
      </c>
      <c r="L223" s="34">
        <f t="shared" si="141"/>
        <v>7.7859209356755995E-3</v>
      </c>
      <c r="M223" s="90">
        <v>139.06</v>
      </c>
      <c r="N223" s="90">
        <v>139.06</v>
      </c>
      <c r="O223" s="53">
        <v>147</v>
      </c>
      <c r="P223" s="57">
        <v>3.8999999999999998E-3</v>
      </c>
      <c r="Q223" s="57">
        <v>2.5399999999999999E-2</v>
      </c>
      <c r="R223" s="63">
        <f t="shared" si="142"/>
        <v>-1.7856761227787784E-2</v>
      </c>
      <c r="S223" s="63">
        <f t="shared" si="143"/>
        <v>3.898354028299105E-3</v>
      </c>
      <c r="T223" s="63">
        <f t="shared" si="144"/>
        <v>6.8493150684931503E-3</v>
      </c>
      <c r="U223" s="63">
        <f t="shared" si="145"/>
        <v>-2.8999999999999998E-3</v>
      </c>
      <c r="V223" s="64">
        <f t="shared" si="146"/>
        <v>4.0000000000000001E-3</v>
      </c>
    </row>
    <row r="224" spans="1:24" ht="13.5" customHeight="1">
      <c r="A224" s="157">
        <v>192</v>
      </c>
      <c r="B224" s="149" t="s">
        <v>274</v>
      </c>
      <c r="C224" s="148" t="s">
        <v>104</v>
      </c>
      <c r="D224" s="39">
        <v>2787610164</v>
      </c>
      <c r="E224" s="34">
        <f t="shared" si="152"/>
        <v>2.7757075737100984E-2</v>
      </c>
      <c r="F224" s="67">
        <v>106.27</v>
      </c>
      <c r="G224" s="67">
        <v>106.27</v>
      </c>
      <c r="H224" s="35">
        <v>818</v>
      </c>
      <c r="I224" s="57">
        <v>3.2000000000000002E-3</v>
      </c>
      <c r="J224" s="57">
        <v>0.16289999999999999</v>
      </c>
      <c r="K224" s="39">
        <v>2885300707</v>
      </c>
      <c r="L224" s="34">
        <f t="shared" si="141"/>
        <v>2.7642230144815039E-2</v>
      </c>
      <c r="M224" s="67">
        <v>106.63</v>
      </c>
      <c r="N224" s="67">
        <v>106.63</v>
      </c>
      <c r="O224" s="35">
        <v>826</v>
      </c>
      <c r="P224" s="57">
        <v>3.3999999999999998E-3</v>
      </c>
      <c r="Q224" s="57">
        <v>0.17050000000000001</v>
      </c>
      <c r="R224" s="63">
        <f t="shared" si="142"/>
        <v>3.5044549722771066E-2</v>
      </c>
      <c r="S224" s="63">
        <f t="shared" si="143"/>
        <v>3.3875976286816549E-3</v>
      </c>
      <c r="T224" s="63">
        <f t="shared" si="144"/>
        <v>9.7799511002444987E-3</v>
      </c>
      <c r="U224" s="63">
        <f t="shared" si="145"/>
        <v>1.9999999999999966E-4</v>
      </c>
      <c r="V224" s="64">
        <f t="shared" si="146"/>
        <v>7.6000000000000234E-3</v>
      </c>
    </row>
    <row r="225" spans="1:22" ht="15.75" customHeight="1">
      <c r="A225" s="157">
        <v>193</v>
      </c>
      <c r="B225" s="149" t="s">
        <v>275</v>
      </c>
      <c r="C225" s="148" t="s">
        <v>50</v>
      </c>
      <c r="D225" s="39">
        <v>3673413727.6100001</v>
      </c>
      <c r="E225" s="34">
        <f t="shared" si="152"/>
        <v>3.657728916609633E-2</v>
      </c>
      <c r="F225" s="67">
        <v>146.99</v>
      </c>
      <c r="G225" s="67">
        <v>146.99</v>
      </c>
      <c r="H225" s="35">
        <v>2239</v>
      </c>
      <c r="I225" s="57">
        <v>2.3999999999999998E-3</v>
      </c>
      <c r="J225" s="57">
        <v>1.78E-2</v>
      </c>
      <c r="K225" s="39">
        <v>3758289995.1100001</v>
      </c>
      <c r="L225" s="34">
        <f t="shared" si="141"/>
        <v>3.6005785027448237E-2</v>
      </c>
      <c r="M225" s="67">
        <v>147.35</v>
      </c>
      <c r="N225" s="67">
        <v>147.35</v>
      </c>
      <c r="O225" s="35">
        <v>2267</v>
      </c>
      <c r="P225" s="57">
        <v>2.3999999999999998E-3</v>
      </c>
      <c r="Q225" s="57">
        <v>2.0299999999999999E-2</v>
      </c>
      <c r="R225" s="63">
        <f t="shared" si="142"/>
        <v>2.3105556246511408E-2</v>
      </c>
      <c r="S225" s="63">
        <f t="shared" si="143"/>
        <v>2.4491462004216967E-3</v>
      </c>
      <c r="T225" s="63">
        <f t="shared" si="144"/>
        <v>1.2505582849486378E-2</v>
      </c>
      <c r="U225" s="63">
        <f t="shared" si="145"/>
        <v>0</v>
      </c>
      <c r="V225" s="64">
        <f t="shared" si="146"/>
        <v>2.4999999999999988E-3</v>
      </c>
    </row>
    <row r="226" spans="1:22">
      <c r="A226" s="157">
        <v>194</v>
      </c>
      <c r="B226" s="149" t="s">
        <v>276</v>
      </c>
      <c r="C226" s="148" t="s">
        <v>53</v>
      </c>
      <c r="D226" s="39">
        <v>4107193150.0999999</v>
      </c>
      <c r="E226" s="34">
        <f t="shared" si="152"/>
        <v>4.0896561795657184E-2</v>
      </c>
      <c r="F226" s="67">
        <v>1.2398</v>
      </c>
      <c r="G226" s="67">
        <v>1.2398</v>
      </c>
      <c r="H226" s="35">
        <v>2125</v>
      </c>
      <c r="I226" s="57">
        <v>2.3E-3</v>
      </c>
      <c r="J226" s="57">
        <v>5.6599999999999998E-2</v>
      </c>
      <c r="K226" s="39">
        <v>4176727403.5300002</v>
      </c>
      <c r="L226" s="34">
        <f t="shared" si="141"/>
        <v>4.0014567584040733E-2</v>
      </c>
      <c r="M226" s="67">
        <v>1.2423999999999999</v>
      </c>
      <c r="N226" s="67">
        <v>1.2423999999999999</v>
      </c>
      <c r="O226" s="35">
        <v>2132</v>
      </c>
      <c r="P226" s="57">
        <v>0.1201</v>
      </c>
      <c r="Q226" s="57">
        <v>6.4000000000000001E-2</v>
      </c>
      <c r="R226" s="63">
        <f t="shared" si="142"/>
        <v>1.6929871785627448E-2</v>
      </c>
      <c r="S226" s="63">
        <f t="shared" si="143"/>
        <v>2.0971124374898659E-3</v>
      </c>
      <c r="T226" s="63">
        <f t="shared" si="144"/>
        <v>3.2941176470588237E-3</v>
      </c>
      <c r="U226" s="63">
        <f t="shared" si="145"/>
        <v>0.1178</v>
      </c>
      <c r="V226" s="64">
        <f t="shared" si="146"/>
        <v>7.4000000000000038E-3</v>
      </c>
    </row>
    <row r="227" spans="1:22" ht="6" customHeight="1">
      <c r="A227" s="42"/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</row>
    <row r="228" spans="1:22">
      <c r="A228" s="166" t="s">
        <v>277</v>
      </c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</row>
    <row r="229" spans="1:22">
      <c r="A229" s="157">
        <v>195</v>
      </c>
      <c r="B229" s="149" t="s">
        <v>278</v>
      </c>
      <c r="C229" s="148" t="s">
        <v>20</v>
      </c>
      <c r="D229" s="88">
        <v>435767234.95999998</v>
      </c>
      <c r="E229" s="34">
        <f>(D229/$D$205)</f>
        <v>3.2301825261804099E-2</v>
      </c>
      <c r="F229" s="89">
        <v>113.47410000000001</v>
      </c>
      <c r="G229" s="89">
        <v>113.47410000000001</v>
      </c>
      <c r="H229" s="37">
        <v>110</v>
      </c>
      <c r="I229" s="58">
        <v>2.5999999999999999E-2</v>
      </c>
      <c r="J229" s="58">
        <v>8.1900000000000001E-2</v>
      </c>
      <c r="K229" s="88">
        <v>464386015.45999998</v>
      </c>
      <c r="L229" s="61">
        <f>(K229/K230)</f>
        <v>4.8881069707109308E-2</v>
      </c>
      <c r="M229" s="89">
        <v>114.6848</v>
      </c>
      <c r="N229" s="89">
        <v>114.6848</v>
      </c>
      <c r="O229" s="37">
        <v>110</v>
      </c>
      <c r="P229" s="58">
        <v>1.0699999999999999E-2</v>
      </c>
      <c r="Q229" s="58">
        <v>9.35E-2</v>
      </c>
      <c r="R229" s="63">
        <f>((K229-D229)/D229)</f>
        <v>6.5674466100295453E-2</v>
      </c>
      <c r="S229" s="63">
        <f t="shared" ref="S229" si="153">((N229-G229)/G229)</f>
        <v>1.0669395042569084E-2</v>
      </c>
      <c r="T229" s="63">
        <f t="shared" ref="T229" si="154">((O229-H229)/H229)</f>
        <v>0</v>
      </c>
      <c r="U229" s="63">
        <f t="shared" ref="U229" si="155">P229-I229</f>
        <v>-1.5299999999999999E-2</v>
      </c>
      <c r="V229" s="64">
        <f t="shared" ref="V229" si="156">Q229-J229</f>
        <v>1.1599999999999999E-2</v>
      </c>
    </row>
    <row r="230" spans="1:22">
      <c r="A230" s="157">
        <v>196</v>
      </c>
      <c r="B230" s="149" t="s">
        <v>279</v>
      </c>
      <c r="C230" s="148" t="s">
        <v>24</v>
      </c>
      <c r="D230" s="88">
        <v>8282436642.2399998</v>
      </c>
      <c r="E230" s="34">
        <f>(D230/$D$205)</f>
        <v>0.61394662034229763</v>
      </c>
      <c r="F230" s="89">
        <v>128.3245</v>
      </c>
      <c r="G230" s="89">
        <v>132.1935</v>
      </c>
      <c r="H230" s="37">
        <v>4222</v>
      </c>
      <c r="I230" s="58">
        <v>3.5579000000000001</v>
      </c>
      <c r="J230" s="58">
        <v>1.6626000000000001</v>
      </c>
      <c r="K230" s="88">
        <v>9500324322.7399998</v>
      </c>
      <c r="L230" s="61">
        <f>(K230/$K$205)</f>
        <v>0.67616230994825943</v>
      </c>
      <c r="M230" s="89">
        <v>129.15799999999999</v>
      </c>
      <c r="N230" s="89">
        <v>133.0522</v>
      </c>
      <c r="O230" s="37">
        <v>4497</v>
      </c>
      <c r="P230" s="58">
        <v>0.3387</v>
      </c>
      <c r="Q230" s="58">
        <v>1.5123</v>
      </c>
      <c r="R230" s="63">
        <f>((K230-D230)/D230)</f>
        <v>0.14704461176181363</v>
      </c>
      <c r="S230" s="63">
        <f t="shared" ref="S230" si="157">((N230-G230)/G230)</f>
        <v>6.4957808061667094E-3</v>
      </c>
      <c r="T230" s="63">
        <f t="shared" ref="T230" si="158">((O230-H230)/H230)</f>
        <v>6.5135007105637133E-2</v>
      </c>
      <c r="U230" s="63">
        <f t="shared" ref="U230" si="159">P230-I230</f>
        <v>-3.2191999999999998</v>
      </c>
      <c r="V230" s="64">
        <f t="shared" ref="V230" si="160">Q230-J230</f>
        <v>-0.1503000000000001</v>
      </c>
    </row>
    <row r="231" spans="1:22">
      <c r="A231" s="157">
        <v>197</v>
      </c>
      <c r="B231" s="149" t="s">
        <v>280</v>
      </c>
      <c r="C231" s="148" t="s">
        <v>258</v>
      </c>
      <c r="D231" s="39">
        <v>325143524.08999997</v>
      </c>
      <c r="E231" s="34">
        <f t="shared" ref="E231" si="161">(D231/$D$233)</f>
        <v>3.2375522015760765E-3</v>
      </c>
      <c r="F231" s="38">
        <v>1414.81</v>
      </c>
      <c r="G231" s="38">
        <v>1414.81</v>
      </c>
      <c r="H231" s="35">
        <v>137</v>
      </c>
      <c r="I231" s="57">
        <v>2.8000000000000001E-2</v>
      </c>
      <c r="J231" s="57">
        <v>0.1336</v>
      </c>
      <c r="K231" s="39">
        <v>325262009.19</v>
      </c>
      <c r="L231" s="34">
        <f t="shared" ref="L231" si="162">(K231/$K$233)</f>
        <v>3.1161283444675371E-3</v>
      </c>
      <c r="M231" s="38">
        <v>1412.23</v>
      </c>
      <c r="N231" s="38">
        <v>1412.23</v>
      </c>
      <c r="O231" s="35">
        <v>137</v>
      </c>
      <c r="P231" s="57">
        <v>-1.8E-3</v>
      </c>
      <c r="Q231" s="57">
        <v>0.13150000000000001</v>
      </c>
      <c r="R231" s="63">
        <f t="shared" ref="R231" si="163">((K231-D231)/D231)</f>
        <v>3.6440861103303747E-4</v>
      </c>
      <c r="S231" s="63">
        <f t="shared" ref="S231" si="164">((N231-G231)/G231)</f>
        <v>-1.8235664152783252E-3</v>
      </c>
      <c r="T231" s="63">
        <f t="shared" ref="T231" si="165">((O231-H231)/H231)</f>
        <v>0</v>
      </c>
      <c r="U231" s="63">
        <f t="shared" ref="U231" si="166">P231-I231</f>
        <v>-2.98E-2</v>
      </c>
      <c r="V231" s="64">
        <f t="shared" ref="V231" si="167">Q231-J231</f>
        <v>-2.0999999999999908E-3</v>
      </c>
    </row>
    <row r="232" spans="1:22">
      <c r="A232" s="157">
        <v>198</v>
      </c>
      <c r="B232" s="149" t="s">
        <v>281</v>
      </c>
      <c r="C232" s="148" t="s">
        <v>282</v>
      </c>
      <c r="D232" s="39">
        <v>157690533.21000001</v>
      </c>
      <c r="E232" s="34">
        <f t="shared" ref="E232" si="168">(D232/$D$233)</f>
        <v>1.5701722320645866E-3</v>
      </c>
      <c r="F232" s="38">
        <v>115.78</v>
      </c>
      <c r="G232" s="38">
        <v>118.16</v>
      </c>
      <c r="H232" s="35">
        <v>308</v>
      </c>
      <c r="I232" s="57">
        <v>3.4099999999999998E-2</v>
      </c>
      <c r="J232" s="57">
        <v>8.2699999999999996E-2</v>
      </c>
      <c r="K232" s="39">
        <v>154657525.58000001</v>
      </c>
      <c r="L232" s="34">
        <f t="shared" ref="L232" si="169">(K232/$K$233)</f>
        <v>1.4816753433492225E-3</v>
      </c>
      <c r="M232" s="38">
        <v>113.55</v>
      </c>
      <c r="N232" s="38">
        <v>115.89</v>
      </c>
      <c r="O232" s="35">
        <v>314</v>
      </c>
      <c r="P232" s="57">
        <v>6.1000000000000004E-3</v>
      </c>
      <c r="Q232" s="57">
        <v>8.1100000000000005E-2</v>
      </c>
      <c r="R232" s="63">
        <f t="shared" ref="R232" si="170">((K232-D232)/D232)</f>
        <v>-1.9233923357725419E-2</v>
      </c>
      <c r="S232" s="63">
        <f t="shared" ref="S232" si="171">((N232-G232)/G232)</f>
        <v>-1.9211238997968824E-2</v>
      </c>
      <c r="T232" s="63">
        <f t="shared" ref="T232" si="172">((O232-H232)/H232)</f>
        <v>1.948051948051948E-2</v>
      </c>
      <c r="U232" s="63">
        <f t="shared" ref="U232" si="173">P232-I232</f>
        <v>-2.7999999999999997E-2</v>
      </c>
      <c r="V232" s="64">
        <f t="shared" ref="V232" si="174">Q232-J232</f>
        <v>-1.5999999999999903E-3</v>
      </c>
    </row>
    <row r="233" spans="1:22">
      <c r="A233" s="42"/>
      <c r="B233" s="43"/>
      <c r="C233" s="78" t="s">
        <v>56</v>
      </c>
      <c r="D233" s="66">
        <f>SUM(D209:D232)</f>
        <v>100428812833.26227</v>
      </c>
      <c r="E233" s="46">
        <f>(D233/$D$234)</f>
        <v>1.2232474835677977E-2</v>
      </c>
      <c r="F233" s="47"/>
      <c r="G233" s="81"/>
      <c r="H233" s="91">
        <f>SUM(H209:H232)</f>
        <v>44604</v>
      </c>
      <c r="I233" s="83"/>
      <c r="J233" s="83"/>
      <c r="K233" s="66">
        <f>SUM(K209:K232)</f>
        <v>104380170915.45007</v>
      </c>
      <c r="L233" s="46">
        <f>(K233/$K$234)</f>
        <v>1.2660733917906192E-2</v>
      </c>
      <c r="M233" s="47"/>
      <c r="N233" s="81"/>
      <c r="O233" s="49">
        <f>SUM(O209:O232)</f>
        <v>45479</v>
      </c>
      <c r="P233" s="83"/>
      <c r="Q233" s="83"/>
      <c r="R233" s="63">
        <f t="shared" si="142"/>
        <v>3.9344864991564511E-2</v>
      </c>
      <c r="S233" s="63" t="e">
        <f t="shared" si="143"/>
        <v>#DIV/0!</v>
      </c>
      <c r="T233" s="63">
        <f t="shared" si="144"/>
        <v>1.9617074701820465E-2</v>
      </c>
      <c r="U233" s="63">
        <f t="shared" si="145"/>
        <v>0</v>
      </c>
      <c r="V233" s="64">
        <f t="shared" si="146"/>
        <v>0</v>
      </c>
    </row>
    <row r="234" spans="1:22">
      <c r="A234" s="92"/>
      <c r="B234" s="92"/>
      <c r="C234" s="93" t="s">
        <v>283</v>
      </c>
      <c r="D234" s="94">
        <f>SUM(D26,D74,D116,D158,D167,D199,D205,D233)</f>
        <v>8210015894767.7139</v>
      </c>
      <c r="E234" s="95"/>
      <c r="F234" s="95"/>
      <c r="G234" s="96"/>
      <c r="H234" s="94">
        <f>SUM(H26,H74,H116,H158,H167,H199,H205,H233)</f>
        <v>1204620</v>
      </c>
      <c r="I234" s="106"/>
      <c r="J234" s="106"/>
      <c r="K234" s="94">
        <f>SUM(K26,K74,K116,K158,K167,K199,K205,K233)</f>
        <v>8244401279757.1113</v>
      </c>
      <c r="L234" s="95"/>
      <c r="M234" s="95"/>
      <c r="N234" s="96"/>
      <c r="O234" s="94">
        <f>SUM(O26,O74,O116,O158,O167,O199,O205,O233)</f>
        <v>1212206</v>
      </c>
      <c r="P234" s="107"/>
      <c r="Q234" s="94"/>
      <c r="R234" s="111">
        <f t="shared" si="142"/>
        <v>4.1882239243058528E-3</v>
      </c>
      <c r="S234" s="111"/>
      <c r="T234" s="111"/>
      <c r="U234" s="111"/>
      <c r="V234" s="111"/>
    </row>
    <row r="235" spans="1:22" ht="6.75" customHeight="1">
      <c r="A235" s="42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43"/>
    </row>
    <row r="236" spans="1:22" ht="14.4" customHeight="1">
      <c r="A236" s="163" t="s">
        <v>284</v>
      </c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</row>
    <row r="237" spans="1:22" ht="14.4" customHeight="1">
      <c r="A237" s="157">
        <v>1</v>
      </c>
      <c r="B237" s="149" t="s">
        <v>285</v>
      </c>
      <c r="C237" s="148" t="s">
        <v>24</v>
      </c>
      <c r="D237" s="39">
        <v>2002161002.7376649</v>
      </c>
      <c r="E237" s="34">
        <f t="shared" ref="E237:E240" si="175">(D237/$D$233)</f>
        <v>1.9936121380442567E-2</v>
      </c>
      <c r="F237" s="38">
        <v>1404.3684423999998</v>
      </c>
      <c r="G237" s="38">
        <v>1404.3684423999998</v>
      </c>
      <c r="H237" s="35">
        <v>55</v>
      </c>
      <c r="I237" s="57">
        <v>7.4999999999999997E-2</v>
      </c>
      <c r="J237" s="57">
        <v>5.6599999999999998E-2</v>
      </c>
      <c r="K237" s="39">
        <f>1534499.74*FX_RATE</f>
        <v>2092129886.8171961</v>
      </c>
      <c r="L237" s="34">
        <f>(K237/$K$242)</f>
        <v>0.10585758529578619</v>
      </c>
      <c r="M237" s="38">
        <f>1.0451*FX_RATE</f>
        <v>1424.88453254</v>
      </c>
      <c r="N237" s="38">
        <f>1.0451*FX_RATE</f>
        <v>1424.88453254</v>
      </c>
      <c r="O237" s="35">
        <v>55</v>
      </c>
      <c r="P237" s="57">
        <v>1.4999999999999999E-2</v>
      </c>
      <c r="Q237" s="57">
        <v>5.16E-2</v>
      </c>
      <c r="R237" s="63">
        <f t="shared" ref="R237" si="176">((K237-D237)/D237)</f>
        <v>4.493588875046102E-2</v>
      </c>
      <c r="S237" s="63">
        <f t="shared" ref="S237" si="177">((N237-G237)/G237)</f>
        <v>1.4608766133294159E-2</v>
      </c>
      <c r="T237" s="63">
        <f t="shared" ref="T237" si="178">((O237-H237)/H237)</f>
        <v>0</v>
      </c>
      <c r="U237" s="63">
        <f t="shared" ref="U237" si="179">P237-I237</f>
        <v>-0.06</v>
      </c>
      <c r="V237" s="64">
        <f t="shared" ref="V237" si="180">Q237-J237</f>
        <v>-4.9999999999999975E-3</v>
      </c>
    </row>
    <row r="238" spans="1:22" ht="14.4" customHeight="1">
      <c r="A238" s="157">
        <v>2</v>
      </c>
      <c r="B238" s="149" t="s">
        <v>286</v>
      </c>
      <c r="C238" s="148" t="s">
        <v>214</v>
      </c>
      <c r="D238" s="39">
        <v>4265228747.9699998</v>
      </c>
      <c r="E238" s="34">
        <f t="shared" ref="E238" si="181">(D238/$D$233)</f>
        <v>4.2470169940686045E-2</v>
      </c>
      <c r="F238" s="38">
        <v>123.2</v>
      </c>
      <c r="G238" s="38">
        <v>123.2</v>
      </c>
      <c r="H238" s="35">
        <v>9</v>
      </c>
      <c r="I238" s="57">
        <v>5.4999999999999997E-3</v>
      </c>
      <c r="J238" s="57">
        <v>3.6900000000000002E-2</v>
      </c>
      <c r="K238" s="39">
        <v>4262927880.0599999</v>
      </c>
      <c r="L238" s="34">
        <f>(K238/$K$242)</f>
        <v>0.21569561933831619</v>
      </c>
      <c r="M238" s="38">
        <v>123.2</v>
      </c>
      <c r="N238" s="38">
        <v>123.2</v>
      </c>
      <c r="O238" s="35">
        <v>9</v>
      </c>
      <c r="P238" s="57">
        <v>-5.0000000000000001E-4</v>
      </c>
      <c r="Q238" s="57">
        <v>3.6299999999999999E-2</v>
      </c>
      <c r="R238" s="63">
        <f t="shared" ref="R238" si="182">((K238-D238)/D238)</f>
        <v>-5.3944771686510989E-4</v>
      </c>
      <c r="S238" s="63">
        <f t="shared" ref="S238" si="183">((N238-G238)/G238)</f>
        <v>0</v>
      </c>
      <c r="T238" s="63">
        <f t="shared" ref="T238" si="184">((O238-H238)/H238)</f>
        <v>0</v>
      </c>
      <c r="U238" s="63">
        <f t="shared" ref="U238" si="185">P238-I238</f>
        <v>-6.0000000000000001E-3</v>
      </c>
      <c r="V238" s="64">
        <f t="shared" ref="V238" si="186">Q238-J238</f>
        <v>-6.0000000000000331E-4</v>
      </c>
    </row>
    <row r="239" spans="1:22" ht="14.4" customHeight="1">
      <c r="A239" s="157">
        <v>3</v>
      </c>
      <c r="B239" s="149" t="s">
        <v>287</v>
      </c>
      <c r="C239" s="148" t="s">
        <v>32</v>
      </c>
      <c r="D239" s="39">
        <v>1196072846.9130239</v>
      </c>
      <c r="E239" s="34">
        <f>(D239/$D$233)</f>
        <v>1.1909658325831386E-2</v>
      </c>
      <c r="F239" s="38">
        <v>151663.33100999999</v>
      </c>
      <c r="G239" s="38">
        <v>151663.33100999999</v>
      </c>
      <c r="H239" s="35">
        <v>10</v>
      </c>
      <c r="I239" s="57">
        <v>-6.9999999999999999E-4</v>
      </c>
      <c r="J239" s="57">
        <v>7.7000000000000002E-3</v>
      </c>
      <c r="K239" s="39">
        <f>872993.73*W139</f>
        <v>1190235635.7108421</v>
      </c>
      <c r="L239" s="34">
        <f>(K239/$K$242)</f>
        <v>6.0223541149744049E-2</v>
      </c>
      <c r="M239" s="38">
        <f>110.7*W139</f>
        <v>150927.87078000003</v>
      </c>
      <c r="N239" s="38">
        <f>110.7*W139</f>
        <v>150927.87078000003</v>
      </c>
      <c r="O239" s="35">
        <v>15</v>
      </c>
      <c r="P239" s="57">
        <v>-1.7299999999999999E-2</v>
      </c>
      <c r="Q239" s="57">
        <v>-9.7999999999999997E-3</v>
      </c>
      <c r="R239" s="63">
        <f t="shared" ref="R239:R240" si="187">((K239-D239)/D239)</f>
        <v>-4.8803141190331585E-3</v>
      </c>
      <c r="S239" s="63">
        <f t="shared" ref="S239:S240" si="188">((N239-G239)/G239)</f>
        <v>-4.849294981866612E-3</v>
      </c>
      <c r="T239" s="63">
        <f t="shared" ref="T239:T240" si="189">((O239-H239)/H239)</f>
        <v>0.5</v>
      </c>
      <c r="U239" s="63">
        <f t="shared" ref="U239:U240" si="190">P239-I239</f>
        <v>-1.66E-2</v>
      </c>
      <c r="V239" s="64">
        <f t="shared" ref="V239:V240" si="191">Q239-J239</f>
        <v>-1.7500000000000002E-2</v>
      </c>
    </row>
    <row r="240" spans="1:22" ht="14.4" customHeight="1">
      <c r="A240" s="157">
        <v>4</v>
      </c>
      <c r="B240" s="149" t="s">
        <v>288</v>
      </c>
      <c r="C240" s="148" t="s">
        <v>42</v>
      </c>
      <c r="D240" s="39">
        <v>11963294678.23</v>
      </c>
      <c r="E240" s="34">
        <f t="shared" si="175"/>
        <v>0.11912213577683284</v>
      </c>
      <c r="F240" s="38">
        <v>1.1499999999999999</v>
      </c>
      <c r="G240" s="38">
        <v>1.1499999999999999</v>
      </c>
      <c r="H240" s="35">
        <v>16</v>
      </c>
      <c r="I240" s="57">
        <v>5.9999999999999995E-4</v>
      </c>
      <c r="J240" s="57">
        <v>-0.73740000000000006</v>
      </c>
      <c r="K240" s="39">
        <v>12005668956.26</v>
      </c>
      <c r="L240" s="34">
        <f>(K240/$K$242)</f>
        <v>0.60746282225512316</v>
      </c>
      <c r="M240" s="38">
        <v>1.1499999999999999</v>
      </c>
      <c r="N240" s="38">
        <v>1.1499999999999999</v>
      </c>
      <c r="O240" s="35">
        <v>16</v>
      </c>
      <c r="P240" s="57">
        <v>4.1000000000000003E-3</v>
      </c>
      <c r="Q240" s="57">
        <v>-0.62839999999999996</v>
      </c>
      <c r="R240" s="63">
        <f t="shared" si="187"/>
        <v>3.5420240970165644E-3</v>
      </c>
      <c r="S240" s="63">
        <f t="shared" si="188"/>
        <v>0</v>
      </c>
      <c r="T240" s="63">
        <f t="shared" si="189"/>
        <v>0</v>
      </c>
      <c r="U240" s="63">
        <f t="shared" si="190"/>
        <v>3.5000000000000005E-3</v>
      </c>
      <c r="V240" s="64">
        <f t="shared" si="191"/>
        <v>0.1090000000000001</v>
      </c>
    </row>
    <row r="241" spans="1:22" ht="14.4" customHeight="1">
      <c r="A241" s="157">
        <v>5</v>
      </c>
      <c r="B241" s="149" t="s">
        <v>289</v>
      </c>
      <c r="C241" s="148" t="s">
        <v>53</v>
      </c>
      <c r="D241" s="39">
        <v>212779329.56</v>
      </c>
      <c r="E241" s="34">
        <f t="shared" ref="E241" si="192">(D241/$D$233)</f>
        <v>2.1187080037804347E-3</v>
      </c>
      <c r="F241" s="38">
        <v>1.3571</v>
      </c>
      <c r="G241" s="38">
        <v>1.3571</v>
      </c>
      <c r="H241" s="35">
        <v>20</v>
      </c>
      <c r="I241" s="57">
        <v>6.1699999999999998E-2</v>
      </c>
      <c r="J241" s="57">
        <v>0.217</v>
      </c>
      <c r="K241" s="39">
        <v>212665169.31999999</v>
      </c>
      <c r="L241" s="34">
        <f>(K241/$K$242)</f>
        <v>1.0760431961030421E-2</v>
      </c>
      <c r="M241" s="38">
        <v>1.3563000000000001</v>
      </c>
      <c r="N241" s="38">
        <v>1.3563000000000001</v>
      </c>
      <c r="O241" s="35">
        <v>20</v>
      </c>
      <c r="P241" s="57">
        <v>-8.0000000000000004E-4</v>
      </c>
      <c r="Q241" s="57">
        <v>0.21629999999999999</v>
      </c>
      <c r="R241" s="63">
        <f t="shared" ref="R241:R242" si="193">((K241-D241)/D241)</f>
        <v>-5.3651940832823413E-4</v>
      </c>
      <c r="S241" s="63">
        <f t="shared" ref="S241" si="194">((N241-G241)/G241)</f>
        <v>-5.8949229975676948E-4</v>
      </c>
      <c r="T241" s="63">
        <f t="shared" ref="T241" si="195">((O241-H241)/H241)</f>
        <v>0</v>
      </c>
      <c r="U241" s="63">
        <f t="shared" ref="U241" si="196">P241-I241</f>
        <v>-6.25E-2</v>
      </c>
      <c r="V241" s="64">
        <f t="shared" ref="V241" si="197">Q241-J241</f>
        <v>-7.0000000000000617E-4</v>
      </c>
    </row>
    <row r="242" spans="1:22" ht="14.4" customHeight="1">
      <c r="A242" s="97"/>
      <c r="B242" s="97"/>
      <c r="C242" s="97" t="s">
        <v>56</v>
      </c>
      <c r="D242" s="97">
        <f>SUM(D237:D241)</f>
        <v>19639536605.41069</v>
      </c>
      <c r="E242" s="97"/>
      <c r="F242" s="97"/>
      <c r="G242" s="97"/>
      <c r="H242" s="97">
        <f>SUM(H237:H241)</f>
        <v>110</v>
      </c>
      <c r="I242" s="97"/>
      <c r="J242" s="97"/>
      <c r="K242" s="97">
        <f>SUM(K237:K241)</f>
        <v>19763627528.168037</v>
      </c>
      <c r="L242" s="46"/>
      <c r="M242" s="97"/>
      <c r="N242" s="97"/>
      <c r="O242" s="97">
        <f>SUM(O237:O241)</f>
        <v>115</v>
      </c>
      <c r="P242" s="97"/>
      <c r="Q242" s="97"/>
      <c r="R242" s="111">
        <f t="shared" si="193"/>
        <v>6.3184241690896143E-3</v>
      </c>
      <c r="S242" s="97"/>
      <c r="T242" s="97"/>
      <c r="U242" s="97"/>
      <c r="V242" s="97"/>
    </row>
    <row r="243" spans="1:22" ht="6" customHeight="1">
      <c r="A243" s="42"/>
      <c r="B243" s="50"/>
      <c r="C243" s="78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43"/>
    </row>
    <row r="244" spans="1:22" ht="15.6">
      <c r="A244" s="163" t="s">
        <v>290</v>
      </c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</row>
    <row r="245" spans="1:22">
      <c r="A245" s="157">
        <v>1</v>
      </c>
      <c r="B245" s="149" t="s">
        <v>291</v>
      </c>
      <c r="C245" s="148" t="s">
        <v>292</v>
      </c>
      <c r="D245" s="39">
        <v>132461478140</v>
      </c>
      <c r="E245" s="34">
        <f>(D245/$D$247)</f>
        <v>0.91412919206537369</v>
      </c>
      <c r="F245" s="67">
        <v>108.35</v>
      </c>
      <c r="G245" s="67">
        <v>108.35</v>
      </c>
      <c r="H245" s="35">
        <v>0</v>
      </c>
      <c r="I245" s="57">
        <v>0.20979999999999999</v>
      </c>
      <c r="J245" s="57">
        <v>0.20979999999999999</v>
      </c>
      <c r="K245" s="39">
        <v>132461478140</v>
      </c>
      <c r="L245" s="34">
        <f>(K245/$K$247)</f>
        <v>0.91387131215152739</v>
      </c>
      <c r="M245" s="67">
        <v>108.35</v>
      </c>
      <c r="N245" s="67">
        <v>108.35</v>
      </c>
      <c r="O245" s="35">
        <v>0</v>
      </c>
      <c r="P245" s="57">
        <v>4.82E-2</v>
      </c>
      <c r="Q245" s="57">
        <v>4.82E-2</v>
      </c>
      <c r="R245" s="63">
        <f>((K245-D245)/D245)</f>
        <v>0</v>
      </c>
      <c r="S245" s="63">
        <f>((N245-G245)/G245)</f>
        <v>0</v>
      </c>
      <c r="T245" s="63" t="e">
        <f>((O245-H245)/H245)</f>
        <v>#DIV/0!</v>
      </c>
      <c r="U245" s="63">
        <f>P245-I245</f>
        <v>-0.16159999999999999</v>
      </c>
      <c r="V245" s="64">
        <f>Q245-J245</f>
        <v>-0.16159999999999999</v>
      </c>
    </row>
    <row r="246" spans="1:22" ht="14.4" customHeight="1">
      <c r="A246" s="157">
        <v>2</v>
      </c>
      <c r="B246" s="149" t="s">
        <v>293</v>
      </c>
      <c r="C246" s="148" t="s">
        <v>53</v>
      </c>
      <c r="D246" s="39">
        <v>12443070680.629999</v>
      </c>
      <c r="E246" s="34">
        <f>(D246/$D$247)</f>
        <v>8.58708079346263E-2</v>
      </c>
      <c r="F246" s="98">
        <v>1000000</v>
      </c>
      <c r="G246" s="98">
        <v>1000000</v>
      </c>
      <c r="H246" s="35">
        <v>26</v>
      </c>
      <c r="I246" s="57">
        <v>0.1701</v>
      </c>
      <c r="J246" s="57">
        <v>0.1701</v>
      </c>
      <c r="K246" s="39">
        <v>12483960434</v>
      </c>
      <c r="L246" s="34">
        <f>(K246/$K$247)</f>
        <v>8.6128687848472565E-2</v>
      </c>
      <c r="M246" s="98">
        <v>1000000</v>
      </c>
      <c r="N246" s="98">
        <v>1000000</v>
      </c>
      <c r="O246" s="35">
        <v>26</v>
      </c>
      <c r="P246" s="57">
        <v>1.7030000000000001E-3</v>
      </c>
      <c r="Q246" s="57">
        <v>0.17030000000000001</v>
      </c>
      <c r="R246" s="63">
        <f>((K246-D246)/D246)</f>
        <v>3.286146516362195E-3</v>
      </c>
      <c r="S246" s="63">
        <f>((N246-G246)/G246)</f>
        <v>0</v>
      </c>
      <c r="T246" s="63">
        <f>((O246-H246)/H246)</f>
        <v>0</v>
      </c>
      <c r="U246" s="63">
        <f>P246-I246</f>
        <v>-0.16839699999999999</v>
      </c>
      <c r="V246" s="64">
        <f>Q246-J246</f>
        <v>2.0000000000000573E-4</v>
      </c>
    </row>
    <row r="247" spans="1:22" ht="15" customHeight="1">
      <c r="A247" s="92"/>
      <c r="B247" s="92"/>
      <c r="C247" s="93" t="s">
        <v>294</v>
      </c>
      <c r="D247" s="97">
        <f>SUM(D245:D246)</f>
        <v>144904548820.63</v>
      </c>
      <c r="E247" s="99"/>
      <c r="F247" s="100"/>
      <c r="G247" s="100"/>
      <c r="H247" s="97">
        <f>SUM(H245:H246)</f>
        <v>26</v>
      </c>
      <c r="I247" s="108"/>
      <c r="J247" s="108"/>
      <c r="K247" s="97">
        <f>SUM(K245:K246)</f>
        <v>144945438574</v>
      </c>
      <c r="L247" s="99"/>
      <c r="M247" s="100"/>
      <c r="N247" s="100"/>
      <c r="O247" s="97">
        <f>SUM(O245:O246)</f>
        <v>26</v>
      </c>
      <c r="P247" s="108"/>
      <c r="Q247" s="97"/>
      <c r="R247" s="111">
        <f>((K247-D247)/D247)</f>
        <v>2.8218405635153986E-4</v>
      </c>
      <c r="S247" s="112"/>
      <c r="T247" s="112"/>
      <c r="U247" s="111"/>
      <c r="V247" s="113"/>
    </row>
    <row r="248" spans="1:22" ht="4.5" customHeight="1">
      <c r="A248" s="42"/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</row>
    <row r="249" spans="1:22" ht="15.6">
      <c r="A249" s="163" t="s">
        <v>295</v>
      </c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</row>
    <row r="250" spans="1:22">
      <c r="A250" s="157">
        <v>1</v>
      </c>
      <c r="B250" s="149" t="s">
        <v>296</v>
      </c>
      <c r="C250" s="148" t="s">
        <v>94</v>
      </c>
      <c r="D250" s="101">
        <v>1824971941.99</v>
      </c>
      <c r="E250" s="102">
        <f t="shared" ref="E250:E261" si="198">(D250/$D$262)</f>
        <v>7.9139291413837395E-2</v>
      </c>
      <c r="F250" s="98">
        <v>445.96811843</v>
      </c>
      <c r="G250" s="98">
        <v>445.96811843</v>
      </c>
      <c r="H250" s="103">
        <v>266</v>
      </c>
      <c r="I250" s="59">
        <v>6.9800000000000001E-2</v>
      </c>
      <c r="J250" s="59">
        <v>0.26340000000000002</v>
      </c>
      <c r="K250" s="101">
        <v>1801727424.8499999</v>
      </c>
      <c r="L250" s="102">
        <f t="shared" ref="L250:L261" si="199">(K250/$K$262)</f>
        <v>7.6900319007944848E-2</v>
      </c>
      <c r="M250" s="98">
        <v>440.23846473999998</v>
      </c>
      <c r="N250" s="98">
        <v>440.23846473999998</v>
      </c>
      <c r="O250" s="103">
        <v>266</v>
      </c>
      <c r="P250" s="59">
        <v>-1.2699999999999999E-2</v>
      </c>
      <c r="Q250" s="59">
        <v>0.24709999999999999</v>
      </c>
      <c r="R250" s="63">
        <f>((K250-D250)/D250)</f>
        <v>-1.273691754112868E-2</v>
      </c>
      <c r="S250" s="63">
        <f>((N250-G250)/G250)</f>
        <v>-1.2847675547236136E-2</v>
      </c>
      <c r="T250" s="63">
        <f>((O250-H250)/H250)</f>
        <v>0</v>
      </c>
      <c r="U250" s="63">
        <f>P250-I250</f>
        <v>-8.2500000000000004E-2</v>
      </c>
      <c r="V250" s="64">
        <f>Q250-J250</f>
        <v>-1.6300000000000037E-2</v>
      </c>
    </row>
    <row r="251" spans="1:22">
      <c r="A251" s="157">
        <v>2</v>
      </c>
      <c r="B251" s="149" t="s">
        <v>297</v>
      </c>
      <c r="C251" s="148" t="s">
        <v>258</v>
      </c>
      <c r="D251" s="101">
        <v>2818237225</v>
      </c>
      <c r="E251" s="102">
        <f t="shared" si="198"/>
        <v>0.12221190468243458</v>
      </c>
      <c r="F251" s="98">
        <v>80.16</v>
      </c>
      <c r="G251" s="98">
        <v>88.6</v>
      </c>
      <c r="H251" s="103">
        <v>615</v>
      </c>
      <c r="I251" s="59">
        <v>9.3299999999999994E-2</v>
      </c>
      <c r="J251" s="59">
        <v>0.36699999999999999</v>
      </c>
      <c r="K251" s="101">
        <v>2805099707.71</v>
      </c>
      <c r="L251" s="102">
        <f t="shared" si="199"/>
        <v>0.1197256917982201</v>
      </c>
      <c r="M251" s="98">
        <v>79.790000000000006</v>
      </c>
      <c r="N251" s="98">
        <v>88.18</v>
      </c>
      <c r="O251" s="103">
        <v>615</v>
      </c>
      <c r="P251" s="59">
        <v>-4.7000000000000002E-3</v>
      </c>
      <c r="Q251" s="59">
        <v>0.36070000000000002</v>
      </c>
      <c r="R251" s="63">
        <f t="shared" ref="R251:R262" si="200">((K251-D251)/D251)</f>
        <v>-4.6616080340788069E-3</v>
      </c>
      <c r="S251" s="63">
        <f t="shared" ref="S251:S262" si="201">((N251-G251)/G251)</f>
        <v>-4.7404063205416201E-3</v>
      </c>
      <c r="T251" s="63">
        <f t="shared" ref="T251:T262" si="202">((O251-H251)/H251)</f>
        <v>0</v>
      </c>
      <c r="U251" s="63">
        <f t="shared" ref="U251:U262" si="203">P251-I251</f>
        <v>-9.799999999999999E-2</v>
      </c>
      <c r="V251" s="64">
        <f t="shared" ref="V251:V262" si="204">Q251-J251</f>
        <v>-6.2999999999999723E-3</v>
      </c>
    </row>
    <row r="252" spans="1:22">
      <c r="A252" s="157">
        <v>3</v>
      </c>
      <c r="B252" s="149" t="s">
        <v>298</v>
      </c>
      <c r="C252" s="148" t="s">
        <v>44</v>
      </c>
      <c r="D252" s="101">
        <v>635849071.70000005</v>
      </c>
      <c r="E252" s="102">
        <f t="shared" si="198"/>
        <v>2.7573380073785278E-2</v>
      </c>
      <c r="F252" s="98">
        <v>52.98</v>
      </c>
      <c r="G252" s="98">
        <v>53.12</v>
      </c>
      <c r="H252" s="103">
        <v>218</v>
      </c>
      <c r="I252" s="59">
        <v>8.2500000000000004E-2</v>
      </c>
      <c r="J252" s="59">
        <v>0.30630000000000002</v>
      </c>
      <c r="K252" s="101">
        <v>658492516.23000002</v>
      </c>
      <c r="L252" s="102">
        <f t="shared" si="199"/>
        <v>2.8105408101143332E-2</v>
      </c>
      <c r="M252" s="98">
        <v>54.862946999999998</v>
      </c>
      <c r="N252" s="98">
        <v>55.017634000000001</v>
      </c>
      <c r="O252" s="103">
        <v>218</v>
      </c>
      <c r="P252" s="59">
        <v>8.5000000000000006E-3</v>
      </c>
      <c r="Q252" s="59">
        <v>0.26369999999999999</v>
      </c>
      <c r="R252" s="63">
        <f t="shared" si="200"/>
        <v>3.561135108597497E-2</v>
      </c>
      <c r="S252" s="63">
        <f t="shared" si="201"/>
        <v>3.5723531626506093E-2</v>
      </c>
      <c r="T252" s="63">
        <f t="shared" si="202"/>
        <v>0</v>
      </c>
      <c r="U252" s="63">
        <f t="shared" si="203"/>
        <v>-7.400000000000001E-2</v>
      </c>
      <c r="V252" s="64">
        <f t="shared" si="204"/>
        <v>-4.2600000000000027E-2</v>
      </c>
    </row>
    <row r="253" spans="1:22">
      <c r="A253" s="157">
        <v>4</v>
      </c>
      <c r="B253" s="149" t="s">
        <v>299</v>
      </c>
      <c r="C253" s="148" t="s">
        <v>44</v>
      </c>
      <c r="D253" s="101">
        <v>1229235496.6300001</v>
      </c>
      <c r="E253" s="102">
        <f t="shared" si="198"/>
        <v>5.330538182299778E-2</v>
      </c>
      <c r="F253" s="98">
        <v>104.383921</v>
      </c>
      <c r="G253" s="98">
        <v>104.67224400000001</v>
      </c>
      <c r="H253" s="103">
        <v>261</v>
      </c>
      <c r="I253" s="59">
        <v>6.3E-2</v>
      </c>
      <c r="J253" s="59">
        <v>0.25130000000000002</v>
      </c>
      <c r="K253" s="101">
        <v>1239688395.8599999</v>
      </c>
      <c r="L253" s="102">
        <f t="shared" si="199"/>
        <v>5.2911684529649741E-2</v>
      </c>
      <c r="M253" s="98">
        <v>105.271558</v>
      </c>
      <c r="N253" s="98">
        <v>105.581048</v>
      </c>
      <c r="O253" s="103">
        <v>261</v>
      </c>
      <c r="P253" s="59">
        <v>3.56E-2</v>
      </c>
      <c r="Q253" s="59">
        <v>0.35699999999999998</v>
      </c>
      <c r="R253" s="63">
        <f t="shared" si="200"/>
        <v>8.5035774338251997E-3</v>
      </c>
      <c r="S253" s="63">
        <f t="shared" si="201"/>
        <v>8.6823781097115794E-3</v>
      </c>
      <c r="T253" s="63">
        <f t="shared" si="202"/>
        <v>0</v>
      </c>
      <c r="U253" s="63">
        <f t="shared" si="203"/>
        <v>-2.7400000000000001E-2</v>
      </c>
      <c r="V253" s="64">
        <f t="shared" si="204"/>
        <v>0.10569999999999996</v>
      </c>
    </row>
    <row r="254" spans="1:22">
      <c r="A254" s="157">
        <v>5</v>
      </c>
      <c r="B254" s="149" t="s">
        <v>300</v>
      </c>
      <c r="C254" s="148" t="s">
        <v>301</v>
      </c>
      <c r="D254" s="101">
        <v>2117935664.04</v>
      </c>
      <c r="E254" s="102">
        <f t="shared" si="198"/>
        <v>9.1843564197185451E-2</v>
      </c>
      <c r="F254" s="98">
        <v>61900</v>
      </c>
      <c r="G254" s="98">
        <v>71550</v>
      </c>
      <c r="H254" s="103">
        <v>326</v>
      </c>
      <c r="I254" s="59">
        <v>7.0000000000000001E-3</v>
      </c>
      <c r="J254" s="59">
        <v>0.08</v>
      </c>
      <c r="K254" s="101">
        <v>2215809384.9899998</v>
      </c>
      <c r="L254" s="102">
        <f t="shared" si="199"/>
        <v>9.4573932891494489E-2</v>
      </c>
      <c r="M254" s="98">
        <v>66200</v>
      </c>
      <c r="N254" s="98">
        <v>75400</v>
      </c>
      <c r="O254" s="103">
        <v>326</v>
      </c>
      <c r="P254" s="59">
        <v>4.5999999999999999E-2</v>
      </c>
      <c r="Q254" s="59">
        <v>0.13</v>
      </c>
      <c r="R254" s="63">
        <f t="shared" si="200"/>
        <v>4.6211847985648417E-2</v>
      </c>
      <c r="S254" s="63">
        <f t="shared" si="201"/>
        <v>5.3808525506638713E-2</v>
      </c>
      <c r="T254" s="63">
        <f t="shared" si="202"/>
        <v>0</v>
      </c>
      <c r="U254" s="63">
        <f t="shared" si="203"/>
        <v>3.9E-2</v>
      </c>
      <c r="V254" s="64">
        <f t="shared" si="204"/>
        <v>0.05</v>
      </c>
    </row>
    <row r="255" spans="1:22">
      <c r="A255" s="157">
        <v>6</v>
      </c>
      <c r="B255" s="149" t="s">
        <v>302</v>
      </c>
      <c r="C255" s="148" t="s">
        <v>303</v>
      </c>
      <c r="D255" s="101">
        <v>1262829141.8499999</v>
      </c>
      <c r="E255" s="102">
        <f t="shared" si="198"/>
        <v>5.4762158893126127E-2</v>
      </c>
      <c r="F255" s="98">
        <v>8492.85</v>
      </c>
      <c r="G255" s="98">
        <v>8492.85</v>
      </c>
      <c r="H255" s="103">
        <v>396</v>
      </c>
      <c r="I255" s="59">
        <v>7.1300000000000002E-2</v>
      </c>
      <c r="J255" s="59">
        <v>0.2898</v>
      </c>
      <c r="K255" s="101">
        <v>1263806335.98</v>
      </c>
      <c r="L255" s="102">
        <f t="shared" si="199"/>
        <v>5.394107291740597E-2</v>
      </c>
      <c r="M255" s="98">
        <v>5014.96</v>
      </c>
      <c r="N255" s="98">
        <v>5014.96</v>
      </c>
      <c r="O255" s="103">
        <v>588</v>
      </c>
      <c r="P255" s="59">
        <v>8.0000000000000004E-4</v>
      </c>
      <c r="Q255" s="59">
        <v>0.2908</v>
      </c>
      <c r="R255" s="63">
        <f t="shared" si="200"/>
        <v>7.7381341435355194E-4</v>
      </c>
      <c r="S255" s="63">
        <f t="shared" si="201"/>
        <v>-0.40950799790411935</v>
      </c>
      <c r="T255" s="63">
        <f t="shared" si="202"/>
        <v>0.48484848484848486</v>
      </c>
      <c r="U255" s="63">
        <f t="shared" si="203"/>
        <v>-7.0500000000000007E-2</v>
      </c>
      <c r="V255" s="64">
        <f t="shared" si="204"/>
        <v>1.0000000000000009E-3</v>
      </c>
    </row>
    <row r="256" spans="1:22">
      <c r="A256" s="157">
        <v>7</v>
      </c>
      <c r="B256" s="149" t="s">
        <v>304</v>
      </c>
      <c r="C256" s="148" t="s">
        <v>303</v>
      </c>
      <c r="D256" s="101">
        <v>1323779333.27</v>
      </c>
      <c r="E256" s="102">
        <f t="shared" si="198"/>
        <v>5.7405243342554334E-2</v>
      </c>
      <c r="F256" s="98">
        <v>3313.18</v>
      </c>
      <c r="G256" s="98">
        <v>3313.18</v>
      </c>
      <c r="H256" s="103">
        <v>3283</v>
      </c>
      <c r="I256" s="59">
        <v>6.9000000000000006E-2</v>
      </c>
      <c r="J256" s="59">
        <v>0.2238</v>
      </c>
      <c r="K256" s="101">
        <v>1307155352.8800001</v>
      </c>
      <c r="L256" s="102">
        <f t="shared" si="199"/>
        <v>5.5791271333833097E-2</v>
      </c>
      <c r="M256" s="98">
        <v>1956.42</v>
      </c>
      <c r="N256" s="98">
        <v>1956.42</v>
      </c>
      <c r="O256" s="103">
        <v>4067</v>
      </c>
      <c r="P256" s="59">
        <v>-1.26E-2</v>
      </c>
      <c r="Q256" s="59">
        <v>0.2084</v>
      </c>
      <c r="R256" s="63">
        <f t="shared" si="200"/>
        <v>-1.2557969422996888E-2</v>
      </c>
      <c r="S256" s="63">
        <f t="shared" si="201"/>
        <v>-0.40950386033961322</v>
      </c>
      <c r="T256" s="63">
        <f t="shared" si="202"/>
        <v>0.23880597014925373</v>
      </c>
      <c r="U256" s="63">
        <f t="shared" si="203"/>
        <v>-8.1600000000000006E-2</v>
      </c>
      <c r="V256" s="64">
        <f t="shared" si="204"/>
        <v>-1.5399999999999997E-2</v>
      </c>
    </row>
    <row r="257" spans="1:26">
      <c r="A257" s="157">
        <v>8</v>
      </c>
      <c r="B257" s="149" t="s">
        <v>305</v>
      </c>
      <c r="C257" s="148" t="s">
        <v>306</v>
      </c>
      <c r="D257" s="101">
        <v>256893961.72999999</v>
      </c>
      <c r="E257" s="102">
        <f t="shared" si="198"/>
        <v>1.1140119818848734E-2</v>
      </c>
      <c r="F257" s="98">
        <v>45.22</v>
      </c>
      <c r="G257" s="98">
        <v>45.32</v>
      </c>
      <c r="H257" s="103">
        <v>549</v>
      </c>
      <c r="I257" s="59">
        <v>-3.5999999999999999E-3</v>
      </c>
      <c r="J257" s="59">
        <v>0.69230000000000003</v>
      </c>
      <c r="K257" s="101">
        <v>400822759.81</v>
      </c>
      <c r="L257" s="102">
        <f t="shared" si="199"/>
        <v>1.7107692134730096E-2</v>
      </c>
      <c r="M257" s="98">
        <v>43.65</v>
      </c>
      <c r="N257" s="98">
        <v>43.75</v>
      </c>
      <c r="O257" s="103">
        <v>1189</v>
      </c>
      <c r="P257" s="59">
        <v>-5.8999999999999999E-3</v>
      </c>
      <c r="Q257" s="59">
        <v>0.68230000000000002</v>
      </c>
      <c r="R257" s="63">
        <f t="shared" si="200"/>
        <v>0.56026539943072573</v>
      </c>
      <c r="S257" s="63">
        <f t="shared" si="201"/>
        <v>-3.4642541924095327E-2</v>
      </c>
      <c r="T257" s="63">
        <f t="shared" si="202"/>
        <v>1.1657559198542806</v>
      </c>
      <c r="U257" s="63">
        <f t="shared" si="203"/>
        <v>-2.3E-3</v>
      </c>
      <c r="V257" s="64">
        <f t="shared" si="204"/>
        <v>-1.0000000000000009E-2</v>
      </c>
    </row>
    <row r="258" spans="1:26">
      <c r="A258" s="157">
        <v>9</v>
      </c>
      <c r="B258" s="149" t="s">
        <v>307</v>
      </c>
      <c r="C258" s="148" t="s">
        <v>306</v>
      </c>
      <c r="D258" s="104">
        <v>1198470160.3099999</v>
      </c>
      <c r="E258" s="102">
        <f t="shared" si="198"/>
        <v>5.1971253412333947E-2</v>
      </c>
      <c r="F258" s="98">
        <v>18.739999999999998</v>
      </c>
      <c r="G258" s="98">
        <v>18.84</v>
      </c>
      <c r="H258" s="103">
        <v>774</v>
      </c>
      <c r="I258" s="59">
        <v>2.53E-2</v>
      </c>
      <c r="J258" s="59">
        <v>1</v>
      </c>
      <c r="K258" s="104">
        <v>1298232076.3299999</v>
      </c>
      <c r="L258" s="102">
        <f t="shared" si="199"/>
        <v>5.5410413050928149E-2</v>
      </c>
      <c r="M258" s="98">
        <v>18.87</v>
      </c>
      <c r="N258" s="98">
        <v>18.97</v>
      </c>
      <c r="O258" s="103">
        <v>1309</v>
      </c>
      <c r="P258" s="59">
        <v>3.9699999999999999E-2</v>
      </c>
      <c r="Q258" s="59">
        <v>1.0792999999999999</v>
      </c>
      <c r="R258" s="63">
        <f t="shared" si="200"/>
        <v>8.3241051236682656E-2</v>
      </c>
      <c r="S258" s="63">
        <f t="shared" si="201"/>
        <v>6.9002123142250004E-3</v>
      </c>
      <c r="T258" s="63">
        <f t="shared" si="202"/>
        <v>0.69121447028423777</v>
      </c>
      <c r="U258" s="63">
        <f t="shared" si="203"/>
        <v>1.44E-2</v>
      </c>
      <c r="V258" s="64">
        <f t="shared" si="204"/>
        <v>7.9299999999999926E-2</v>
      </c>
    </row>
    <row r="259" spans="1:26" ht="15" customHeight="1">
      <c r="A259" s="157">
        <v>10</v>
      </c>
      <c r="B259" s="149" t="s">
        <v>308</v>
      </c>
      <c r="C259" s="148" t="s">
        <v>306</v>
      </c>
      <c r="D259" s="101">
        <v>190791570.86000001</v>
      </c>
      <c r="E259" s="102">
        <f t="shared" si="198"/>
        <v>8.2736119817430499E-3</v>
      </c>
      <c r="F259" s="98">
        <v>148.51</v>
      </c>
      <c r="G259" s="98">
        <v>150.51</v>
      </c>
      <c r="H259" s="103">
        <v>771</v>
      </c>
      <c r="I259" s="59">
        <v>-0.2772</v>
      </c>
      <c r="J259" s="59">
        <v>1.3016000000000001</v>
      </c>
      <c r="K259" s="101">
        <v>235844404.27000001</v>
      </c>
      <c r="L259" s="102">
        <f t="shared" si="199"/>
        <v>1.0066178532033856E-2</v>
      </c>
      <c r="M259" s="98">
        <v>148.87</v>
      </c>
      <c r="N259" s="98">
        <v>150.87</v>
      </c>
      <c r="O259" s="103">
        <v>935</v>
      </c>
      <c r="P259" s="59">
        <v>-0.1973</v>
      </c>
      <c r="Q259" s="59">
        <v>0.84760000000000002</v>
      </c>
      <c r="R259" s="63">
        <f t="shared" si="200"/>
        <v>0.23613639327420333</v>
      </c>
      <c r="S259" s="63">
        <f t="shared" si="201"/>
        <v>2.3918676499901249E-3</v>
      </c>
      <c r="T259" s="63">
        <f t="shared" si="202"/>
        <v>0.21271076523994811</v>
      </c>
      <c r="U259" s="63">
        <f t="shared" si="203"/>
        <v>7.9899999999999999E-2</v>
      </c>
      <c r="V259" s="64">
        <f t="shared" si="204"/>
        <v>-0.45400000000000007</v>
      </c>
    </row>
    <row r="260" spans="1:26">
      <c r="A260" s="157">
        <v>11</v>
      </c>
      <c r="B260" s="149" t="s">
        <v>309</v>
      </c>
      <c r="C260" s="148" t="s">
        <v>306</v>
      </c>
      <c r="D260" s="101">
        <v>10006869385.370001</v>
      </c>
      <c r="E260" s="102">
        <f t="shared" si="198"/>
        <v>0.43394450851965144</v>
      </c>
      <c r="F260" s="98">
        <v>70.790000000000006</v>
      </c>
      <c r="G260" s="98">
        <v>70.989999999999995</v>
      </c>
      <c r="H260" s="103">
        <v>1341</v>
      </c>
      <c r="I260" s="59">
        <v>-6.0600000000000001E-2</v>
      </c>
      <c r="J260" s="59">
        <v>0.3886</v>
      </c>
      <c r="K260" s="101">
        <v>10009265561.360001</v>
      </c>
      <c r="L260" s="102">
        <f t="shared" si="199"/>
        <v>0.42720985654525501</v>
      </c>
      <c r="M260" s="98">
        <v>69.930000000000007</v>
      </c>
      <c r="N260" s="98">
        <v>70.13</v>
      </c>
      <c r="O260" s="103">
        <v>2282</v>
      </c>
      <c r="P260" s="59">
        <v>-2.6700000000000002E-2</v>
      </c>
      <c r="Q260" s="59">
        <v>0.35160000000000002</v>
      </c>
      <c r="R260" s="63">
        <f t="shared" si="200"/>
        <v>2.3945310943130425E-4</v>
      </c>
      <c r="S260" s="63">
        <f t="shared" si="201"/>
        <v>-1.2114382307367227E-2</v>
      </c>
      <c r="T260" s="63">
        <f t="shared" si="202"/>
        <v>0.70171513795674867</v>
      </c>
      <c r="U260" s="63">
        <f t="shared" si="203"/>
        <v>3.39E-2</v>
      </c>
      <c r="V260" s="64">
        <f t="shared" si="204"/>
        <v>-3.6999999999999977E-2</v>
      </c>
    </row>
    <row r="261" spans="1:26">
      <c r="A261" s="157">
        <v>12</v>
      </c>
      <c r="B261" s="149" t="s">
        <v>310</v>
      </c>
      <c r="C261" s="148" t="s">
        <v>306</v>
      </c>
      <c r="D261" s="104">
        <v>194388275.00999999</v>
      </c>
      <c r="E261" s="102">
        <f t="shared" si="198"/>
        <v>8.4295818415020055E-3</v>
      </c>
      <c r="F261" s="98">
        <v>73.55</v>
      </c>
      <c r="G261" s="98">
        <v>73.75</v>
      </c>
      <c r="H261" s="103">
        <v>719</v>
      </c>
      <c r="I261" s="59">
        <v>-0.16669999999999999</v>
      </c>
      <c r="J261" s="59">
        <v>1.85</v>
      </c>
      <c r="K261" s="104">
        <v>193444255.13999999</v>
      </c>
      <c r="L261" s="102">
        <f t="shared" si="199"/>
        <v>8.2564791573613017E-3</v>
      </c>
      <c r="M261" s="98">
        <v>73.05</v>
      </c>
      <c r="N261" s="98">
        <v>73.25</v>
      </c>
      <c r="O261" s="103">
        <v>1533</v>
      </c>
      <c r="P261" s="59">
        <v>-0.2432</v>
      </c>
      <c r="Q261" s="59">
        <v>1.157</v>
      </c>
      <c r="R261" s="63">
        <f t="shared" si="200"/>
        <v>-4.8563621954639041E-3</v>
      </c>
      <c r="S261" s="63">
        <f t="shared" si="201"/>
        <v>-6.7796610169491523E-3</v>
      </c>
      <c r="T261" s="63">
        <f t="shared" si="202"/>
        <v>1.1321279554937413</v>
      </c>
      <c r="U261" s="63">
        <f t="shared" si="203"/>
        <v>-7.6500000000000012E-2</v>
      </c>
      <c r="V261" s="64">
        <f t="shared" si="204"/>
        <v>-0.69300000000000006</v>
      </c>
    </row>
    <row r="262" spans="1:26">
      <c r="A262" s="114"/>
      <c r="B262" s="114"/>
      <c r="C262" s="115" t="s">
        <v>311</v>
      </c>
      <c r="D262" s="97">
        <f>SUM(D250:D261)</f>
        <v>23060251227.759998</v>
      </c>
      <c r="E262" s="99"/>
      <c r="F262" s="99"/>
      <c r="G262" s="100"/>
      <c r="H262" s="97">
        <f>SUM(H250:H261)</f>
        <v>9519</v>
      </c>
      <c r="I262" s="108"/>
      <c r="J262" s="108"/>
      <c r="K262" s="97">
        <f>SUM(K250:K261)</f>
        <v>23429388175.41</v>
      </c>
      <c r="L262" s="99"/>
      <c r="M262" s="99"/>
      <c r="N262" s="100"/>
      <c r="O262" s="97">
        <f>SUM(O250:O261)</f>
        <v>13589</v>
      </c>
      <c r="P262" s="108"/>
      <c r="Q262" s="108"/>
      <c r="R262" s="63">
        <f t="shared" si="200"/>
        <v>1.60074989645227E-2</v>
      </c>
      <c r="S262" s="63" t="e">
        <f t="shared" si="201"/>
        <v>#DIV/0!</v>
      </c>
      <c r="T262" s="63">
        <f t="shared" si="202"/>
        <v>0.42756592078999894</v>
      </c>
      <c r="U262" s="63">
        <f t="shared" si="203"/>
        <v>0</v>
      </c>
      <c r="V262" s="64">
        <f t="shared" si="204"/>
        <v>0</v>
      </c>
      <c r="Z262" s="72"/>
    </row>
    <row r="263" spans="1:26">
      <c r="A263" s="116"/>
      <c r="B263" s="116"/>
      <c r="C263" s="117" t="s">
        <v>312</v>
      </c>
      <c r="D263" s="118">
        <f>SUM(D234,D242,D247,D262)</f>
        <v>8397620231421.5146</v>
      </c>
      <c r="E263" s="119"/>
      <c r="F263" s="119"/>
      <c r="G263" s="120"/>
      <c r="H263" s="118">
        <f>SUM(H234,H242,H247,H262)</f>
        <v>1214275</v>
      </c>
      <c r="I263" s="131"/>
      <c r="J263" s="131"/>
      <c r="K263" s="118">
        <f>SUM(K234,K242,K247,K262)</f>
        <v>8432539734034.6895</v>
      </c>
      <c r="L263" s="119"/>
      <c r="M263" s="119"/>
      <c r="N263" s="118"/>
      <c r="O263" s="118">
        <f>SUM(O234,O242,O247,O262)</f>
        <v>1225936</v>
      </c>
      <c r="P263" s="132"/>
      <c r="Q263" s="118"/>
      <c r="R263" s="136"/>
      <c r="S263" s="137"/>
      <c r="T263" s="137"/>
      <c r="U263" s="138"/>
      <c r="V263" s="138"/>
      <c r="Z263" s="72"/>
    </row>
    <row r="264" spans="1:26">
      <c r="A264" s="121" t="s">
        <v>313</v>
      </c>
      <c r="B264" s="122" t="s">
        <v>335</v>
      </c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</row>
    <row r="265" spans="1:26">
      <c r="B265" s="124"/>
    </row>
    <row r="266" spans="1:26">
      <c r="B266" s="124"/>
      <c r="C266" s="125"/>
      <c r="D266" s="126"/>
      <c r="K266" s="126"/>
    </row>
    <row r="267" spans="1:26" ht="15">
      <c r="B267" s="127"/>
      <c r="C267" s="128"/>
      <c r="D267" s="129"/>
      <c r="F267" s="130"/>
      <c r="G267" s="130"/>
      <c r="I267" s="133"/>
      <c r="J267" s="134"/>
    </row>
    <row r="268" spans="1:26">
      <c r="C268" s="124"/>
    </row>
    <row r="269" spans="1:26">
      <c r="K269" s="110"/>
    </row>
    <row r="270" spans="1:26">
      <c r="B270" s="125"/>
    </row>
    <row r="271" spans="1:26">
      <c r="K271" s="135"/>
    </row>
  </sheetData>
  <sheetProtection algorithmName="SHA-512" hashValue="zXfBzaBKzhn7L10+/JZnC10LT9ssqTnpiCG/x4vj/WP6rsCchuVQj/Q8EQvYkfzGl9FbqiGoy9RtcxU0mgyODg==" saltValue="eUXjMa9Zr776lzY2yehma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5:V75"/>
    <mergeCell ref="A76:V76"/>
    <mergeCell ref="B117:V117"/>
    <mergeCell ref="A118:V118"/>
    <mergeCell ref="A119:V119"/>
    <mergeCell ref="B137:V137"/>
    <mergeCell ref="A138:V138"/>
    <mergeCell ref="B159:V159"/>
    <mergeCell ref="A160:V160"/>
    <mergeCell ref="B168:V168"/>
    <mergeCell ref="A169:V169"/>
    <mergeCell ref="B200:V200"/>
    <mergeCell ref="A201:V201"/>
    <mergeCell ref="B206:V206"/>
    <mergeCell ref="A207:V207"/>
    <mergeCell ref="A208:V208"/>
    <mergeCell ref="A236:V236"/>
    <mergeCell ref="A244:V244"/>
    <mergeCell ref="B248:V248"/>
    <mergeCell ref="A249:V249"/>
    <mergeCell ref="B211:V211"/>
    <mergeCell ref="A212:V212"/>
    <mergeCell ref="B227:V227"/>
    <mergeCell ref="A228:V228"/>
    <mergeCell ref="B235:U235"/>
  </mergeCells>
  <pageMargins left="0.7" right="0.7" top="0.75" bottom="0.75" header="0.3" footer="0.3"/>
  <pageSetup paperSize="9" orientation="portrait" horizontalDpi="300" verticalDpi="300" r:id="rId1"/>
  <ignoredErrors>
    <ignoredError sqref="E101 E81 L52 L36 E36 L143 E143" formula="1"/>
    <ignoredError sqref="S167 S26 S74 S116 S158 S199 S205 S233 S262 T245:T246 R53:T53 R143 R131:T131 R48:T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74"/>
      <c r="B1" s="174"/>
      <c r="C1" s="174"/>
      <c r="D1" s="174"/>
      <c r="E1" s="15"/>
      <c r="F1" s="15"/>
      <c r="G1" s="15"/>
      <c r="H1" s="20"/>
    </row>
    <row r="2" spans="1:8" ht="27.6">
      <c r="A2" s="175" t="s">
        <v>314</v>
      </c>
      <c r="B2" s="176" t="s">
        <v>334</v>
      </c>
      <c r="C2" s="176" t="s">
        <v>339</v>
      </c>
      <c r="D2" s="177"/>
      <c r="E2" s="15"/>
      <c r="F2" s="15"/>
      <c r="G2" s="15"/>
      <c r="H2" s="20"/>
    </row>
    <row r="3" spans="1:8">
      <c r="A3" s="178" t="s">
        <v>18</v>
      </c>
      <c r="B3" s="179">
        <f t="shared" ref="B3:C10" si="0">B13</f>
        <v>139.85715441589801</v>
      </c>
      <c r="C3" s="179">
        <f t="shared" si="0"/>
        <v>148.19165443143802</v>
      </c>
      <c r="D3" s="177"/>
      <c r="E3" s="15"/>
      <c r="F3" s="15"/>
      <c r="G3" s="15"/>
      <c r="H3" s="20"/>
    </row>
    <row r="4" spans="1:8" ht="15.6" customHeight="1">
      <c r="A4" s="175" t="s">
        <v>57</v>
      </c>
      <c r="B4" s="180">
        <f t="shared" si="0"/>
        <v>5272.9684753521688</v>
      </c>
      <c r="C4" s="180">
        <f t="shared" si="0"/>
        <v>5290.967255505765</v>
      </c>
      <c r="D4" s="177"/>
      <c r="E4" s="15"/>
      <c r="F4" s="15"/>
      <c r="G4" s="15"/>
      <c r="H4" s="20"/>
    </row>
    <row r="5" spans="1:8" ht="16.2" customHeight="1">
      <c r="A5" s="175" t="s">
        <v>315</v>
      </c>
      <c r="B5" s="179">
        <f t="shared" si="0"/>
        <v>244.28472303470218</v>
      </c>
      <c r="C5" s="179">
        <f t="shared" si="0"/>
        <v>246.07228482023424</v>
      </c>
      <c r="D5" s="177"/>
      <c r="E5" s="15"/>
      <c r="F5" s="15"/>
      <c r="G5" s="15"/>
      <c r="H5" s="20"/>
    </row>
    <row r="6" spans="1:8">
      <c r="A6" s="175" t="s">
        <v>174</v>
      </c>
      <c r="B6" s="180">
        <f t="shared" si="0"/>
        <v>1821.0807189042509</v>
      </c>
      <c r="C6" s="180">
        <f t="shared" si="0"/>
        <v>1833.9156884632009</v>
      </c>
      <c r="D6" s="177"/>
      <c r="E6" s="15"/>
      <c r="F6" s="15"/>
      <c r="G6" s="15"/>
      <c r="H6" s="20"/>
    </row>
    <row r="7" spans="1:8">
      <c r="A7" s="175" t="s">
        <v>316</v>
      </c>
      <c r="B7" s="179">
        <f t="shared" si="0"/>
        <v>505.88262716335652</v>
      </c>
      <c r="C7" s="179">
        <f t="shared" si="0"/>
        <v>491.07240982121351</v>
      </c>
      <c r="D7" s="177"/>
      <c r="E7" s="15"/>
      <c r="F7" s="15"/>
      <c r="G7" s="15"/>
      <c r="H7" s="20"/>
    </row>
    <row r="8" spans="1:8">
      <c r="A8" s="175" t="s">
        <v>219</v>
      </c>
      <c r="B8" s="181">
        <f t="shared" si="0"/>
        <v>112.02289974221411</v>
      </c>
      <c r="C8" s="181">
        <f t="shared" si="0"/>
        <v>115.75145513497435</v>
      </c>
      <c r="D8" s="177"/>
      <c r="E8" s="15"/>
      <c r="F8" s="15"/>
      <c r="G8" s="15"/>
      <c r="H8" s="20"/>
    </row>
    <row r="9" spans="1:8">
      <c r="A9" s="175" t="s">
        <v>251</v>
      </c>
      <c r="B9" s="179">
        <f t="shared" si="0"/>
        <v>13.49048332185987</v>
      </c>
      <c r="C9" s="179">
        <f t="shared" si="0"/>
        <v>14.050360664833526</v>
      </c>
      <c r="D9" s="177"/>
      <c r="E9" s="15"/>
      <c r="F9" s="15"/>
      <c r="G9" s="15"/>
      <c r="H9" s="20"/>
    </row>
    <row r="10" spans="1:8">
      <c r="A10" s="175" t="s">
        <v>317</v>
      </c>
      <c r="B10" s="179">
        <f t="shared" si="0"/>
        <v>100.42881283326227</v>
      </c>
      <c r="C10" s="179">
        <f t="shared" si="0"/>
        <v>104.38017091545008</v>
      </c>
      <c r="D10" s="177"/>
      <c r="E10" s="15"/>
      <c r="F10" s="15"/>
      <c r="G10" s="15"/>
      <c r="H10" s="20"/>
    </row>
    <row r="11" spans="1:8">
      <c r="A11" s="175" t="s">
        <v>284</v>
      </c>
      <c r="B11" s="179">
        <f>B21</f>
        <v>19.63953660541069</v>
      </c>
      <c r="C11" s="179">
        <f>C21</f>
        <v>19.763627528168037</v>
      </c>
      <c r="D11" s="177"/>
      <c r="E11" s="15"/>
      <c r="F11" s="15"/>
      <c r="G11" s="15"/>
      <c r="H11" s="20"/>
    </row>
    <row r="12" spans="1:8">
      <c r="A12" s="174"/>
      <c r="B12" s="174"/>
      <c r="C12" s="174"/>
      <c r="D12" s="174"/>
      <c r="E12" s="15"/>
      <c r="F12" s="15"/>
      <c r="G12" s="15"/>
      <c r="H12" s="20"/>
    </row>
    <row r="13" spans="1:8">
      <c r="A13" s="182" t="s">
        <v>18</v>
      </c>
      <c r="B13" s="183">
        <f>'Weekly Valuation'!D26/1000000000</f>
        <v>139.85715441589801</v>
      </c>
      <c r="C13" s="184">
        <f>'Weekly Valuation'!K26/1000000000</f>
        <v>148.19165443143802</v>
      </c>
      <c r="D13" s="174"/>
      <c r="E13" s="15"/>
      <c r="F13" s="15"/>
      <c r="G13" s="15"/>
      <c r="H13" s="20"/>
    </row>
    <row r="14" spans="1:8">
      <c r="A14" s="185" t="s">
        <v>57</v>
      </c>
      <c r="B14" s="183">
        <f>'Weekly Valuation'!D74/1000000000</f>
        <v>5272.9684753521688</v>
      </c>
      <c r="C14" s="186">
        <f>'Weekly Valuation'!K74/1000000000</f>
        <v>5290.967255505765</v>
      </c>
      <c r="D14" s="174"/>
      <c r="E14" s="15"/>
      <c r="F14" s="15"/>
      <c r="G14" s="15"/>
      <c r="H14" s="20"/>
    </row>
    <row r="15" spans="1:8">
      <c r="A15" s="185" t="s">
        <v>315</v>
      </c>
      <c r="B15" s="183">
        <f>'Weekly Valuation'!D116/1000000000</f>
        <v>244.28472303470218</v>
      </c>
      <c r="C15" s="184">
        <f>'Weekly Valuation'!K116/1000000000</f>
        <v>246.07228482023424</v>
      </c>
      <c r="D15" s="174"/>
      <c r="E15" s="15"/>
      <c r="F15" s="15"/>
      <c r="G15" s="15"/>
      <c r="H15" s="20"/>
    </row>
    <row r="16" spans="1:8">
      <c r="A16" s="185" t="s">
        <v>174</v>
      </c>
      <c r="B16" s="183">
        <f>'Weekly Valuation'!D158/1000000000</f>
        <v>1821.0807189042509</v>
      </c>
      <c r="C16" s="186">
        <f>'Weekly Valuation'!K158/1000000000</f>
        <v>1833.9156884632009</v>
      </c>
      <c r="D16" s="174"/>
      <c r="E16" s="15"/>
      <c r="F16" s="15"/>
      <c r="G16" s="15"/>
      <c r="H16" s="20"/>
    </row>
    <row r="17" spans="1:8">
      <c r="A17" s="185" t="s">
        <v>316</v>
      </c>
      <c r="B17" s="183">
        <f>'Weekly Valuation'!D167/1000000000</f>
        <v>505.88262716335652</v>
      </c>
      <c r="C17" s="184">
        <f>'Weekly Valuation'!K167/1000000000</f>
        <v>491.07240982121351</v>
      </c>
      <c r="D17" s="174"/>
      <c r="E17" s="15"/>
      <c r="F17" s="15"/>
      <c r="G17" s="15"/>
      <c r="H17" s="20"/>
    </row>
    <row r="18" spans="1:8">
      <c r="A18" s="185" t="s">
        <v>219</v>
      </c>
      <c r="B18" s="183">
        <f>'Weekly Valuation'!D199/1000000000</f>
        <v>112.02289974221411</v>
      </c>
      <c r="C18" s="187">
        <f>'Weekly Valuation'!K199/1000000000</f>
        <v>115.75145513497435</v>
      </c>
      <c r="D18" s="174"/>
      <c r="E18" s="15"/>
      <c r="F18" s="15"/>
      <c r="G18" s="15"/>
      <c r="H18" s="20"/>
    </row>
    <row r="19" spans="1:8">
      <c r="A19" s="185" t="s">
        <v>251</v>
      </c>
      <c r="B19" s="183">
        <f>'Weekly Valuation'!D205/1000000000</f>
        <v>13.49048332185987</v>
      </c>
      <c r="C19" s="184">
        <f>'Weekly Valuation'!K205/1000000000</f>
        <v>14.050360664833526</v>
      </c>
      <c r="D19" s="174"/>
      <c r="E19" s="15"/>
      <c r="F19" s="15"/>
      <c r="G19" s="15"/>
      <c r="H19" s="20"/>
    </row>
    <row r="20" spans="1:8">
      <c r="A20" s="185" t="s">
        <v>317</v>
      </c>
      <c r="B20" s="183">
        <f>'Weekly Valuation'!D233/1000000000</f>
        <v>100.42881283326227</v>
      </c>
      <c r="C20" s="184">
        <f>'Weekly Valuation'!K233/1000000000</f>
        <v>104.38017091545008</v>
      </c>
      <c r="D20" s="174"/>
      <c r="E20" s="15"/>
      <c r="F20" s="15"/>
      <c r="G20" s="15"/>
      <c r="H20" s="20"/>
    </row>
    <row r="21" spans="1:8">
      <c r="A21" s="185" t="s">
        <v>284</v>
      </c>
      <c r="B21" s="183">
        <f>'Weekly Valuation'!D242/1000000000</f>
        <v>19.63953660541069</v>
      </c>
      <c r="C21" s="184">
        <f>'Weekly Valuation'!K242/1000000000</f>
        <v>19.763627528168037</v>
      </c>
      <c r="D21" s="174"/>
      <c r="E21" s="15"/>
      <c r="F21" s="15"/>
      <c r="G21" s="15"/>
      <c r="H21" s="20"/>
    </row>
    <row r="22" spans="1:8">
      <c r="A22" s="188"/>
      <c r="B22" s="174"/>
      <c r="C22" s="21"/>
      <c r="D22" s="174"/>
      <c r="E22" s="15"/>
      <c r="F22" s="15"/>
      <c r="G22" s="15"/>
      <c r="H22" s="20"/>
    </row>
    <row r="23" spans="1:8">
      <c r="A23" s="153"/>
      <c r="B23" s="154"/>
      <c r="C23" s="156"/>
      <c r="D23" s="15"/>
      <c r="E23" s="15"/>
      <c r="F23" s="15"/>
      <c r="G23" s="15"/>
      <c r="H23" s="20"/>
    </row>
    <row r="24" spans="1:8">
      <c r="A24" s="22"/>
      <c r="B24" s="21"/>
      <c r="C24" s="21"/>
      <c r="F24" s="20"/>
      <c r="G24" s="20"/>
      <c r="H24" s="20"/>
    </row>
    <row r="25" spans="1:8">
      <c r="A25" s="22"/>
      <c r="B25" s="21"/>
      <c r="C25" s="21"/>
      <c r="F25" s="20"/>
      <c r="G25" s="20"/>
      <c r="H25" s="20"/>
    </row>
    <row r="26" spans="1:8">
      <c r="A26" s="22"/>
      <c r="B26" s="21"/>
      <c r="C26" s="21"/>
      <c r="F26" s="20"/>
      <c r="G26" s="20"/>
      <c r="H26" s="20"/>
    </row>
    <row r="27" spans="1:8">
      <c r="A27" s="22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8ThMx0J8bw8hF3yEx0CIoVqJsmnJ9GB7urPBL7h3qDsnmEwBghhmUgJzJUl4cRi7zIfXvcr+mn6Y5ohzVyvCgg==" saltValue="MRkjdMyyMGWIPlnMZRGyG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9" t="s">
        <v>314</v>
      </c>
      <c r="B1" s="190">
        <v>46080</v>
      </c>
      <c r="C1" s="17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88" t="s">
        <v>251</v>
      </c>
      <c r="B2" s="21">
        <f>'Weekly Valuation'!K205</f>
        <v>14050360664.833527</v>
      </c>
      <c r="C2" s="17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88" t="s">
        <v>284</v>
      </c>
      <c r="B3" s="21">
        <f>'Weekly Valuation'!K242</f>
        <v>19763627528.168037</v>
      </c>
      <c r="C3" s="17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88" t="s">
        <v>18</v>
      </c>
      <c r="B4" s="21">
        <f>'Weekly Valuation'!K26</f>
        <v>148191654431.43802</v>
      </c>
      <c r="C4" s="17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8" t="s">
        <v>317</v>
      </c>
      <c r="B5" s="191">
        <f>'Weekly Valuation'!K233</f>
        <v>104380170915.45007</v>
      </c>
      <c r="C5" s="17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88" t="s">
        <v>219</v>
      </c>
      <c r="B6" s="21">
        <f>'Weekly Valuation'!K199</f>
        <v>115751455134.97435</v>
      </c>
      <c r="C6" s="17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88" t="s">
        <v>316</v>
      </c>
      <c r="B7" s="21">
        <f>'Weekly Valuation'!K167</f>
        <v>491072409821.2135</v>
      </c>
      <c r="C7" s="17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88" t="s">
        <v>315</v>
      </c>
      <c r="B8" s="21">
        <f>'Weekly Valuation'!K116</f>
        <v>246072284820.23425</v>
      </c>
      <c r="C8" s="17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88" t="s">
        <v>174</v>
      </c>
      <c r="B9" s="192">
        <f>'Weekly Valuation'!K158</f>
        <v>1833915688463.2009</v>
      </c>
      <c r="C9" s="17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88" t="s">
        <v>57</v>
      </c>
      <c r="B10" s="192">
        <f>'Weekly Valuation'!K74</f>
        <v>5290967255505.7646</v>
      </c>
      <c r="C10" s="17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4"/>
      <c r="B11" s="174"/>
      <c r="C11" s="17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8"/>
      <c r="B12" s="193"/>
      <c r="C12" s="17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8"/>
      <c r="B13" s="174"/>
      <c r="C13" s="17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7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3"/>
      <c r="B16" s="15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4"/>
      <c r="B17" s="15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5"/>
      <c r="B19" s="15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5"/>
      <c r="B20" s="1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5"/>
      <c r="B21" s="15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3"/>
      <c r="B22" s="15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23"/>
    </row>
    <row r="34" spans="1:17" ht="15" customHeight="1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23"/>
    </row>
  </sheetData>
  <sheetProtection algorithmName="SHA-512" hashValue="zBTxGbak/sf3O+OUNPI0tLcll15AFMNck2QOC9eD3hFKBMkcCDT3lYTtL+kbJE/JQfC7MMZLKVpAcafsVRtzBg==" saltValue="1J8AkEG+OJ6+6EEaCpwjd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  <c r="O1" s="152"/>
    </row>
    <row r="2" spans="1:15">
      <c r="A2" s="194" t="s">
        <v>318</v>
      </c>
      <c r="B2" s="195">
        <v>46031</v>
      </c>
      <c r="C2" s="195">
        <v>46038</v>
      </c>
      <c r="D2" s="195">
        <v>46045</v>
      </c>
      <c r="E2" s="195">
        <v>46052</v>
      </c>
      <c r="F2" s="195">
        <v>46059</v>
      </c>
      <c r="G2" s="195">
        <v>46066</v>
      </c>
      <c r="H2" s="195">
        <v>46073</v>
      </c>
      <c r="I2" s="195">
        <v>46080</v>
      </c>
      <c r="J2" s="20"/>
      <c r="K2" s="20"/>
      <c r="L2" s="20"/>
      <c r="M2" s="20"/>
      <c r="N2" s="15"/>
      <c r="O2" s="152"/>
    </row>
    <row r="3" spans="1:15">
      <c r="A3" s="194" t="s">
        <v>319</v>
      </c>
      <c r="B3" s="196">
        <f t="shared" ref="B3:I3" si="0">B4</f>
        <v>7922.6135885840922</v>
      </c>
      <c r="C3" s="196">
        <f t="shared" si="0"/>
        <v>8029.3427073122812</v>
      </c>
      <c r="D3" s="196">
        <f t="shared" si="0"/>
        <v>8056.134516783889</v>
      </c>
      <c r="E3" s="196">
        <f t="shared" si="0"/>
        <v>8081.3813988736874</v>
      </c>
      <c r="F3" s="196">
        <f t="shared" si="0"/>
        <v>8107.597332853632</v>
      </c>
      <c r="G3" s="196">
        <f t="shared" si="0"/>
        <v>8176.5089785345672</v>
      </c>
      <c r="H3" s="196">
        <f t="shared" si="0"/>
        <v>8229.6554313731249</v>
      </c>
      <c r="I3" s="196">
        <f t="shared" si="0"/>
        <v>8264.1649072852797</v>
      </c>
      <c r="J3" s="20"/>
      <c r="K3" s="20"/>
      <c r="L3" s="20"/>
      <c r="M3" s="20"/>
      <c r="N3" s="15"/>
      <c r="O3" s="152"/>
    </row>
    <row r="4" spans="1:15">
      <c r="A4" s="20"/>
      <c r="B4" s="197">
        <f>'NAV Trend'!C11/1000000000</f>
        <v>7922.6135885840922</v>
      </c>
      <c r="C4" s="197">
        <f>'NAV Trend'!D11/1000000000</f>
        <v>8029.3427073122812</v>
      </c>
      <c r="D4" s="197">
        <f>'NAV Trend'!E11/1000000000</f>
        <v>8056.134516783889</v>
      </c>
      <c r="E4" s="197">
        <f>'NAV Trend'!F11/1000000000</f>
        <v>8081.3813988736874</v>
      </c>
      <c r="F4" s="197">
        <f>'NAV Trend'!G11/1000000000</f>
        <v>8107.597332853632</v>
      </c>
      <c r="G4" s="197">
        <f>'NAV Trend'!H11/1000000000</f>
        <v>8176.5089785345672</v>
      </c>
      <c r="H4" s="198">
        <f>'NAV Trend'!I11/1000000000</f>
        <v>8229.6554313731249</v>
      </c>
      <c r="I4" s="198">
        <f>'NAV Trend'!J11/1000000000</f>
        <v>8264.1649072852797</v>
      </c>
      <c r="J4" s="20"/>
      <c r="K4" s="20"/>
      <c r="L4" s="20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3bvE/axOW+4GcdNGYEpk+70BUEudRz0whToRj+h4TXlwZnIox/pidjGY9o+huLIMZxz6EZHSnjgypnqBo8wlUg==" saltValue="H+SjstGR5uMY8FnDvaLzH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9" sqref="E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20"/>
      <c r="N1" s="20"/>
      <c r="O1" s="20"/>
      <c r="P1" s="142"/>
    </row>
    <row r="2" spans="1:16">
      <c r="A2" s="194" t="s">
        <v>318</v>
      </c>
      <c r="B2" s="195">
        <v>46031</v>
      </c>
      <c r="C2" s="195">
        <v>46038</v>
      </c>
      <c r="D2" s="195">
        <v>46045</v>
      </c>
      <c r="E2" s="195">
        <v>46052</v>
      </c>
      <c r="F2" s="195">
        <v>46059</v>
      </c>
      <c r="G2" s="195">
        <v>46066</v>
      </c>
      <c r="H2" s="195">
        <v>46073</v>
      </c>
      <c r="I2" s="195">
        <v>46080</v>
      </c>
      <c r="J2" s="20"/>
      <c r="K2" s="20"/>
      <c r="L2" s="15"/>
      <c r="M2" s="20"/>
      <c r="N2" s="20"/>
      <c r="O2" s="20"/>
      <c r="P2" s="142"/>
    </row>
    <row r="3" spans="1:16">
      <c r="A3" s="194" t="s">
        <v>320</v>
      </c>
      <c r="B3" s="196">
        <f t="shared" ref="B3:I3" si="0">B4</f>
        <v>18.629129376529999</v>
      </c>
      <c r="C3" s="196">
        <f t="shared" si="0"/>
        <v>19.377061801090001</v>
      </c>
      <c r="D3" s="196">
        <f t="shared" si="0"/>
        <v>19.447744548879999</v>
      </c>
      <c r="E3" s="196">
        <f t="shared" si="0"/>
        <v>19.641137987049994</v>
      </c>
      <c r="F3" s="196">
        <f t="shared" si="0"/>
        <v>20.41173907228</v>
      </c>
      <c r="G3" s="196">
        <f t="shared" si="0"/>
        <v>21.462872515840001</v>
      </c>
      <c r="H3" s="196">
        <f t="shared" si="0"/>
        <v>23.060251227759998</v>
      </c>
      <c r="I3" s="196">
        <f t="shared" si="0"/>
        <v>23.429388175410001</v>
      </c>
      <c r="J3" s="20"/>
      <c r="K3" s="20"/>
      <c r="L3" s="15"/>
      <c r="M3" s="20"/>
      <c r="N3" s="20"/>
      <c r="O3" s="20"/>
      <c r="P3" s="142"/>
    </row>
    <row r="4" spans="1:16">
      <c r="A4" s="20"/>
      <c r="B4" s="197">
        <f>'NAV Trend'!C17/1000000000</f>
        <v>18.629129376529999</v>
      </c>
      <c r="C4" s="197">
        <f>'NAV Trend'!D17/1000000000</f>
        <v>19.377061801090001</v>
      </c>
      <c r="D4" s="197">
        <f>'NAV Trend'!E17/1000000000</f>
        <v>19.447744548879999</v>
      </c>
      <c r="E4" s="197">
        <f>'NAV Trend'!F17/1000000000</f>
        <v>19.641137987049994</v>
      </c>
      <c r="F4" s="197">
        <f>'NAV Trend'!G17/1000000000</f>
        <v>20.41173907228</v>
      </c>
      <c r="G4" s="197">
        <f>'NAV Trend'!H17/1000000000</f>
        <v>21.462872515840001</v>
      </c>
      <c r="H4" s="197">
        <f>'NAV Trend'!I17/1000000000</f>
        <v>23.060251227759998</v>
      </c>
      <c r="I4" s="198">
        <f>'NAV Trend'!J17/1000000000</f>
        <v>23.429388175410001</v>
      </c>
      <c r="J4" s="20"/>
      <c r="K4" s="20"/>
      <c r="L4" s="15"/>
      <c r="M4" s="20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20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20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20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20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D0NLlGj3KPp5XIFffayluAI/un7KxlLfBZYvZZDK5w3gDksGOCCI7r7sszeJeCyUxLcIHLLkLRdGfEiP0cjcJg==" saltValue="na/xDKgxB9RGY0sPLCu0b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46024</v>
      </c>
      <c r="C1" s="2">
        <v>46031</v>
      </c>
      <c r="D1" s="2">
        <v>46038</v>
      </c>
      <c r="E1" s="2">
        <v>46045</v>
      </c>
      <c r="F1" s="2">
        <v>46052</v>
      </c>
      <c r="G1" s="2">
        <v>46059</v>
      </c>
      <c r="H1" s="2">
        <v>46066</v>
      </c>
      <c r="I1" s="2">
        <v>46073</v>
      </c>
      <c r="J1" s="2">
        <v>46080</v>
      </c>
    </row>
    <row r="2" spans="1:11">
      <c r="A2" s="3" t="s">
        <v>18</v>
      </c>
      <c r="B2" s="4">
        <v>81634147241.387192</v>
      </c>
      <c r="C2" s="4">
        <v>88746718359.350891</v>
      </c>
      <c r="D2" s="4">
        <v>93935595234.247498</v>
      </c>
      <c r="E2" s="4">
        <v>97343280758.238815</v>
      </c>
      <c r="F2" s="4">
        <v>100449483893.22079</v>
      </c>
      <c r="G2" s="4">
        <v>106635929371.092</v>
      </c>
      <c r="H2" s="4">
        <v>119849143942.72949</v>
      </c>
      <c r="I2" s="4">
        <v>139857154415.89801</v>
      </c>
      <c r="J2" s="4">
        <v>148191654431.43802</v>
      </c>
    </row>
    <row r="3" spans="1:11">
      <c r="A3" s="3" t="s">
        <v>57</v>
      </c>
      <c r="B3" s="4">
        <v>4861697321728.9277</v>
      </c>
      <c r="C3" s="4">
        <v>4966755962611.584</v>
      </c>
      <c r="D3" s="4">
        <v>5059951065309.5</v>
      </c>
      <c r="E3" s="4">
        <v>5108518173049.8516</v>
      </c>
      <c r="F3" s="4">
        <v>5168017665961.8213</v>
      </c>
      <c r="G3" s="4">
        <v>5200745752031.0068</v>
      </c>
      <c r="H3" s="4">
        <v>5255316816008.0068</v>
      </c>
      <c r="I3" s="4">
        <v>5272968475352.1689</v>
      </c>
      <c r="J3" s="4">
        <v>5290967255505.7646</v>
      </c>
    </row>
    <row r="4" spans="1:11">
      <c r="A4" s="3" t="s">
        <v>315</v>
      </c>
      <c r="B4" s="5">
        <v>241491021912.76636</v>
      </c>
      <c r="C4" s="5">
        <v>242702403146.86172</v>
      </c>
      <c r="D4" s="5">
        <v>243520063100.36298</v>
      </c>
      <c r="E4" s="5">
        <v>243035319324.12384</v>
      </c>
      <c r="F4" s="5">
        <v>241463824670.87335</v>
      </c>
      <c r="G4" s="5">
        <v>242097642886.62512</v>
      </c>
      <c r="H4" s="5">
        <v>244647170303.8353</v>
      </c>
      <c r="I4" s="5">
        <v>244284723034.70218</v>
      </c>
      <c r="J4" s="5">
        <v>246072284820.23425</v>
      </c>
    </row>
    <row r="5" spans="1:11">
      <c r="A5" s="3" t="s">
        <v>174</v>
      </c>
      <c r="B5" s="4">
        <v>1957393043586.3616</v>
      </c>
      <c r="C5" s="4">
        <v>1941064146472.0417</v>
      </c>
      <c r="D5" s="4">
        <v>1942452968719.8398</v>
      </c>
      <c r="E5" s="4">
        <v>1915257941328.8516</v>
      </c>
      <c r="F5" s="4">
        <v>1879340816992.0879</v>
      </c>
      <c r="G5" s="4">
        <v>1855852687433.3228</v>
      </c>
      <c r="H5" s="4">
        <v>1840472590032.0491</v>
      </c>
      <c r="I5" s="4">
        <v>1821080718904.251</v>
      </c>
      <c r="J5" s="4">
        <v>1833915688463.2009</v>
      </c>
    </row>
    <row r="6" spans="1:11">
      <c r="A6" s="3" t="s">
        <v>316</v>
      </c>
      <c r="B6" s="5">
        <v>482861100288.11963</v>
      </c>
      <c r="C6" s="5">
        <v>504019075123.87</v>
      </c>
      <c r="D6" s="5">
        <v>504828869652.40448</v>
      </c>
      <c r="E6" s="5">
        <v>505309533936.44556</v>
      </c>
      <c r="F6" s="5">
        <v>503446552793.28357</v>
      </c>
      <c r="G6" s="5">
        <v>504339412317.29657</v>
      </c>
      <c r="H6" s="5">
        <v>505370559321.13531</v>
      </c>
      <c r="I6" s="5">
        <v>505882627163.35651</v>
      </c>
      <c r="J6" s="5">
        <v>491072409821.2135</v>
      </c>
    </row>
    <row r="7" spans="1:11">
      <c r="A7" s="3" t="s">
        <v>219</v>
      </c>
      <c r="B7" s="7">
        <v>84098310043.701248</v>
      </c>
      <c r="C7" s="7">
        <v>88017317935.611069</v>
      </c>
      <c r="D7" s="7">
        <v>90902677733.101563</v>
      </c>
      <c r="E7" s="7">
        <v>92487511317.429947</v>
      </c>
      <c r="F7" s="7">
        <v>93467466492.254761</v>
      </c>
      <c r="G7" s="7">
        <v>97403173769.586121</v>
      </c>
      <c r="H7" s="7">
        <v>104178871055.63953</v>
      </c>
      <c r="I7" s="7">
        <v>112022899742.21411</v>
      </c>
      <c r="J7" s="7">
        <v>115751455134.97435</v>
      </c>
    </row>
    <row r="8" spans="1:11">
      <c r="A8" s="3" t="s">
        <v>251</v>
      </c>
      <c r="B8" s="6">
        <v>8453062319.8899994</v>
      </c>
      <c r="C8" s="6">
        <v>8936439418.3799992</v>
      </c>
      <c r="D8" s="6">
        <v>9318037783.75</v>
      </c>
      <c r="E8" s="6">
        <v>9969512236.25</v>
      </c>
      <c r="F8" s="6">
        <v>9672057599.0100002</v>
      </c>
      <c r="G8" s="6">
        <v>10809295044.16016</v>
      </c>
      <c r="H8" s="6">
        <v>12237483860.206491</v>
      </c>
      <c r="I8" s="6">
        <v>13490483321.859869</v>
      </c>
      <c r="J8" s="6">
        <v>14050360664.833527</v>
      </c>
    </row>
    <row r="9" spans="1:11">
      <c r="A9" s="3" t="s">
        <v>317</v>
      </c>
      <c r="B9" s="6">
        <v>79754070467.976181</v>
      </c>
      <c r="C9" s="6">
        <v>82371525516.392532</v>
      </c>
      <c r="D9" s="6">
        <v>84433429779.074936</v>
      </c>
      <c r="E9" s="6">
        <v>84213244832.69693</v>
      </c>
      <c r="F9" s="6">
        <v>85523530471.136795</v>
      </c>
      <c r="G9" s="6">
        <v>89713440000.541626</v>
      </c>
      <c r="H9" s="6">
        <v>94436344010.965378</v>
      </c>
      <c r="I9" s="6">
        <v>100428812833.26227</v>
      </c>
      <c r="J9" s="6">
        <v>104380170915.45007</v>
      </c>
    </row>
    <row r="10" spans="1:11">
      <c r="A10" s="3" t="s">
        <v>284</v>
      </c>
      <c r="B10" s="6">
        <v>18740964878.253338</v>
      </c>
      <c r="C10" s="6">
        <v>18756838778.421936</v>
      </c>
      <c r="D10" s="6">
        <v>18866349662.769352</v>
      </c>
      <c r="E10" s="6">
        <v>19311194832.128181</v>
      </c>
      <c r="F10" s="6">
        <v>19390708322.203178</v>
      </c>
      <c r="G10" s="6">
        <v>19490186623.385223</v>
      </c>
      <c r="H10" s="6">
        <v>20735268519.028137</v>
      </c>
      <c r="I10" s="6">
        <v>19639536605.41069</v>
      </c>
      <c r="J10" s="6">
        <v>19763627528.168037</v>
      </c>
    </row>
    <row r="11" spans="1:11" ht="15.6">
      <c r="A11" s="8" t="s">
        <v>321</v>
      </c>
      <c r="B11" s="9">
        <f t="shared" ref="B11:H11" si="0">SUM(B2:B9)</f>
        <v>7797382077589.1299</v>
      </c>
      <c r="C11" s="9">
        <f t="shared" si="0"/>
        <v>7922613588584.0918</v>
      </c>
      <c r="D11" s="9">
        <f t="shared" si="0"/>
        <v>8029342707312.2813</v>
      </c>
      <c r="E11" s="9">
        <f t="shared" si="0"/>
        <v>8056134516783.8887</v>
      </c>
      <c r="F11" s="9">
        <f t="shared" si="0"/>
        <v>8081381398873.6875</v>
      </c>
      <c r="G11" s="9">
        <f t="shared" si="0"/>
        <v>8107597332853.6318</v>
      </c>
      <c r="H11" s="9">
        <f t="shared" si="0"/>
        <v>8176508978534.5674</v>
      </c>
      <c r="I11" s="9">
        <f>SUM(I2:I10)</f>
        <v>8229655431373.125</v>
      </c>
      <c r="J11" s="9">
        <f>SUM(J2:J10)</f>
        <v>8264164907285.2793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39" t="s">
        <v>323</v>
      </c>
      <c r="C13" s="13">
        <f>(B11+C11)/2</f>
        <v>7859997833086.6113</v>
      </c>
      <c r="D13" s="14">
        <f t="shared" ref="D13:J13" si="1">(C11+D11)/2</f>
        <v>7975978147948.1865</v>
      </c>
      <c r="E13" s="14">
        <f t="shared" si="1"/>
        <v>8042738612048.085</v>
      </c>
      <c r="F13" s="14">
        <f t="shared" si="1"/>
        <v>8068757957828.7881</v>
      </c>
      <c r="G13" s="14">
        <f t="shared" si="1"/>
        <v>8094489365863.6602</v>
      </c>
      <c r="H13" s="14">
        <f t="shared" si="1"/>
        <v>8142053155694.0996</v>
      </c>
      <c r="I13" s="14">
        <f t="shared" si="1"/>
        <v>8203082204953.8457</v>
      </c>
      <c r="J13" s="14">
        <f t="shared" si="1"/>
        <v>8246910169329.2021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46024</v>
      </c>
      <c r="C16" s="2">
        <v>46031</v>
      </c>
      <c r="D16" s="2">
        <v>46038</v>
      </c>
      <c r="E16" s="2">
        <v>46045</v>
      </c>
      <c r="F16" s="2">
        <v>46052</v>
      </c>
      <c r="G16" s="2">
        <v>46059</v>
      </c>
      <c r="H16" s="2">
        <v>46066</v>
      </c>
      <c r="I16" s="2">
        <v>46073</v>
      </c>
      <c r="J16" s="2">
        <v>46080</v>
      </c>
      <c r="K16" s="15"/>
    </row>
    <row r="17" spans="1:11">
      <c r="A17" s="16" t="s">
        <v>324</v>
      </c>
      <c r="B17" s="17">
        <v>18294657026</v>
      </c>
      <c r="C17" s="17">
        <v>18629129376.529999</v>
      </c>
      <c r="D17" s="17">
        <v>19377061801.09</v>
      </c>
      <c r="E17" s="17">
        <v>19447744548.880001</v>
      </c>
      <c r="F17" s="17">
        <v>19641137987.049995</v>
      </c>
      <c r="G17" s="17">
        <v>20411739072.279999</v>
      </c>
      <c r="H17" s="17">
        <v>21462872515.84</v>
      </c>
      <c r="I17" s="17">
        <v>23060251227.759998</v>
      </c>
      <c r="J17" s="17">
        <v>23429388175.41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96V5JZ8CYja1TTeMgqe5T7ShZxcuK0/E5XzlNVPJpTjmZPT2RW/qYGPBhAI3Bok8p8O3/DGruI0pB3kGfjHxbg==" saltValue="aLWA4Le2jhM4utoryQLA6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2026-03-06T14:13:44Z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