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24000" windowHeight="930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Valuation'!$W$138</definedName>
    <definedName name="NFEM_RATE" localSheetId="0">'Weekly Valuation'!$W$138</definedName>
  </definedNames>
  <calcPr calcId="162913"/>
</workbook>
</file>

<file path=xl/calcChain.xml><?xml version="1.0" encoding="utf-8"?>
<calcChain xmlns="http://schemas.openxmlformats.org/spreadsheetml/2006/main">
  <c r="N236" i="1" l="1"/>
  <c r="M236" i="1"/>
  <c r="K236" i="1"/>
  <c r="N147" i="1" l="1"/>
  <c r="M147" i="1"/>
  <c r="K147" i="1"/>
  <c r="N238" i="1"/>
  <c r="M238" i="1"/>
  <c r="K238" i="1"/>
  <c r="N129" i="1"/>
  <c r="M129" i="1"/>
  <c r="K129" i="1"/>
  <c r="K128" i="1"/>
  <c r="N128" i="1"/>
  <c r="M128" i="1"/>
  <c r="N124" i="1"/>
  <c r="M124" i="1"/>
  <c r="K124" i="1"/>
  <c r="N152" i="1"/>
  <c r="M152" i="1"/>
  <c r="K152" i="1"/>
  <c r="N154" i="1" l="1"/>
  <c r="M154" i="1"/>
  <c r="K154" i="1"/>
  <c r="N153" i="1" l="1"/>
  <c r="M153" i="1"/>
  <c r="K153" i="1"/>
  <c r="N135" i="1"/>
  <c r="M135" i="1"/>
  <c r="K135" i="1"/>
  <c r="K132" i="1"/>
  <c r="N156" i="1"/>
  <c r="M156" i="1"/>
  <c r="K156" i="1"/>
  <c r="N138" i="1" l="1"/>
  <c r="M138" i="1"/>
  <c r="K138" i="1"/>
  <c r="K140" i="1"/>
  <c r="N126" i="1"/>
  <c r="M126" i="1"/>
  <c r="K126" i="1"/>
  <c r="M150" i="1"/>
  <c r="K150" i="1"/>
  <c r="N123" i="1"/>
  <c r="M123" i="1"/>
  <c r="K123" i="1"/>
  <c r="N139" i="1" l="1"/>
  <c r="M139" i="1"/>
  <c r="K139" i="1"/>
  <c r="K146" i="1" l="1"/>
  <c r="N148" i="1"/>
  <c r="M148" i="1"/>
  <c r="N134" i="1"/>
  <c r="M134" i="1"/>
  <c r="K134" i="1"/>
  <c r="N133" i="1" l="1"/>
  <c r="M133" i="1"/>
  <c r="K133" i="1"/>
  <c r="N120" i="1"/>
  <c r="M120" i="1"/>
  <c r="K120" i="1"/>
  <c r="N125" i="1"/>
  <c r="M125" i="1"/>
  <c r="K125" i="1"/>
  <c r="K131" i="1"/>
  <c r="N155" i="1"/>
  <c r="M155" i="1"/>
  <c r="K155" i="1"/>
  <c r="K149" i="1" l="1"/>
  <c r="N142" i="1"/>
  <c r="M142" i="1"/>
  <c r="K142" i="1"/>
  <c r="N122" i="1"/>
  <c r="M122" i="1"/>
  <c r="K122" i="1"/>
  <c r="N121" i="1"/>
  <c r="M121" i="1"/>
  <c r="K121" i="1"/>
  <c r="K144" i="1" l="1"/>
  <c r="K130" i="1"/>
  <c r="N150" i="1" l="1"/>
  <c r="M149" i="1" l="1"/>
  <c r="V64" i="1"/>
  <c r="U64" i="1"/>
  <c r="T64" i="1"/>
  <c r="S64" i="1"/>
  <c r="R64" i="1"/>
  <c r="H204" i="1" l="1"/>
  <c r="O204" i="1"/>
  <c r="K204" i="1"/>
  <c r="D204" i="1"/>
  <c r="V201" i="1" l="1"/>
  <c r="U201" i="1"/>
  <c r="T201" i="1"/>
  <c r="S201" i="1"/>
  <c r="R201" i="1"/>
  <c r="L201" i="1"/>
  <c r="N146" i="1" l="1"/>
  <c r="M146" i="1"/>
  <c r="N149" i="1" l="1"/>
  <c r="S193" i="1" l="1"/>
  <c r="N132" i="1" l="1"/>
  <c r="M132" i="1"/>
  <c r="S82" i="1" l="1"/>
  <c r="I11" i="4" l="1"/>
  <c r="L228" i="1" l="1"/>
  <c r="R228" i="1"/>
  <c r="R255" i="1" l="1"/>
  <c r="R153" i="1"/>
  <c r="J11" i="4" l="1"/>
  <c r="K198" i="1"/>
  <c r="L172" i="1" s="1"/>
  <c r="L187" i="1" l="1"/>
  <c r="N144" i="1"/>
  <c r="S215" i="1"/>
  <c r="S164" i="1"/>
  <c r="M144" i="1" l="1"/>
  <c r="R35" i="1" l="1"/>
  <c r="V24" i="1"/>
  <c r="U24" i="1"/>
  <c r="T24" i="1"/>
  <c r="S24" i="1"/>
  <c r="R24" i="1"/>
  <c r="L202" i="1" l="1"/>
  <c r="L229" i="1" l="1"/>
  <c r="N130" i="1"/>
  <c r="V191" i="1" l="1"/>
  <c r="U191" i="1"/>
  <c r="T191" i="1"/>
  <c r="S191" i="1"/>
  <c r="R191" i="1"/>
  <c r="R144" i="1" l="1"/>
  <c r="S133" i="1"/>
  <c r="S129" i="1"/>
  <c r="S128" i="1"/>
  <c r="S238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61" i="1"/>
  <c r="U261" i="1"/>
  <c r="S261" i="1"/>
  <c r="O261" i="1"/>
  <c r="K261" i="1"/>
  <c r="L260" i="1" s="1"/>
  <c r="H261" i="1"/>
  <c r="D261" i="1"/>
  <c r="E259" i="1" s="1"/>
  <c r="V260" i="1"/>
  <c r="U260" i="1"/>
  <c r="T260" i="1"/>
  <c r="S260" i="1"/>
  <c r="R260" i="1"/>
  <c r="V259" i="1"/>
  <c r="U259" i="1"/>
  <c r="T259" i="1"/>
  <c r="S259" i="1"/>
  <c r="R259" i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O246" i="1"/>
  <c r="K246" i="1"/>
  <c r="L245" i="1" s="1"/>
  <c r="H246" i="1"/>
  <c r="D246" i="1"/>
  <c r="E245" i="1" s="1"/>
  <c r="V245" i="1"/>
  <c r="U245" i="1"/>
  <c r="T245" i="1"/>
  <c r="S245" i="1"/>
  <c r="R245" i="1"/>
  <c r="V244" i="1"/>
  <c r="U244" i="1"/>
  <c r="T244" i="1"/>
  <c r="S244" i="1"/>
  <c r="R244" i="1"/>
  <c r="O241" i="1"/>
  <c r="H241" i="1"/>
  <c r="D241" i="1"/>
  <c r="B21" i="2" s="1"/>
  <c r="B11" i="2" s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R238" i="1"/>
  <c r="V237" i="1"/>
  <c r="U237" i="1"/>
  <c r="T237" i="1"/>
  <c r="S237" i="1"/>
  <c r="R237" i="1"/>
  <c r="V236" i="1"/>
  <c r="U236" i="1"/>
  <c r="T236" i="1"/>
  <c r="S236" i="1"/>
  <c r="K241" i="1"/>
  <c r="V232" i="1"/>
  <c r="U232" i="1"/>
  <c r="S232" i="1"/>
  <c r="O232" i="1"/>
  <c r="K232" i="1"/>
  <c r="H232" i="1"/>
  <c r="D232" i="1"/>
  <c r="V231" i="1"/>
  <c r="U231" i="1"/>
  <c r="T231" i="1"/>
  <c r="S231" i="1"/>
  <c r="R231" i="1"/>
  <c r="V230" i="1"/>
  <c r="U230" i="1"/>
  <c r="T230" i="1"/>
  <c r="S230" i="1"/>
  <c r="R230" i="1"/>
  <c r="V229" i="1"/>
  <c r="U229" i="1"/>
  <c r="T229" i="1"/>
  <c r="S229" i="1"/>
  <c r="R229" i="1"/>
  <c r="V228" i="1"/>
  <c r="U228" i="1"/>
  <c r="T228" i="1"/>
  <c r="S228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R212" i="1"/>
  <c r="V209" i="1"/>
  <c r="U209" i="1"/>
  <c r="T209" i="1"/>
  <c r="S209" i="1"/>
  <c r="R209" i="1"/>
  <c r="V208" i="1"/>
  <c r="U208" i="1"/>
  <c r="T208" i="1"/>
  <c r="S208" i="1"/>
  <c r="R208" i="1"/>
  <c r="V204" i="1"/>
  <c r="U204" i="1"/>
  <c r="S204" i="1"/>
  <c r="B2" i="3"/>
  <c r="B19" i="2"/>
  <c r="B9" i="2" s="1"/>
  <c r="V203" i="1"/>
  <c r="U203" i="1"/>
  <c r="T203" i="1"/>
  <c r="S203" i="1"/>
  <c r="R203" i="1"/>
  <c r="V202" i="1"/>
  <c r="U202" i="1"/>
  <c r="T202" i="1"/>
  <c r="S202" i="1"/>
  <c r="R202" i="1"/>
  <c r="V198" i="1"/>
  <c r="U198" i="1"/>
  <c r="S198" i="1"/>
  <c r="O198" i="1"/>
  <c r="H198" i="1"/>
  <c r="D198" i="1"/>
  <c r="E169" i="1" s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R193" i="1"/>
  <c r="V192" i="1"/>
  <c r="U192" i="1"/>
  <c r="T192" i="1"/>
  <c r="S192" i="1"/>
  <c r="R192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6" i="1"/>
  <c r="U166" i="1"/>
  <c r="S166" i="1"/>
  <c r="O166" i="1"/>
  <c r="K166" i="1"/>
  <c r="L162" i="1" s="1"/>
  <c r="H166" i="1"/>
  <c r="D166" i="1"/>
  <c r="B17" i="2" s="1"/>
  <c r="B7" i="2" s="1"/>
  <c r="V165" i="1"/>
  <c r="U165" i="1"/>
  <c r="T165" i="1"/>
  <c r="S165" i="1"/>
  <c r="R165" i="1"/>
  <c r="V164" i="1"/>
  <c r="U164" i="1"/>
  <c r="T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7" i="1"/>
  <c r="U157" i="1"/>
  <c r="S157" i="1"/>
  <c r="O157" i="1"/>
  <c r="H157" i="1"/>
  <c r="D157" i="1"/>
  <c r="B16" i="2" s="1"/>
  <c r="B6" i="2" s="1"/>
  <c r="V156" i="1"/>
  <c r="U156" i="1"/>
  <c r="T156" i="1"/>
  <c r="R156" i="1"/>
  <c r="S156" i="1"/>
  <c r="V155" i="1"/>
  <c r="U155" i="1"/>
  <c r="T155" i="1"/>
  <c r="R155" i="1"/>
  <c r="S155" i="1"/>
  <c r="V154" i="1"/>
  <c r="U154" i="1"/>
  <c r="T154" i="1"/>
  <c r="S154" i="1"/>
  <c r="V153" i="1"/>
  <c r="U153" i="1"/>
  <c r="T153" i="1"/>
  <c r="S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R148" i="1"/>
  <c r="S148" i="1"/>
  <c r="V147" i="1"/>
  <c r="U147" i="1"/>
  <c r="T147" i="1"/>
  <c r="S147" i="1"/>
  <c r="R147" i="1"/>
  <c r="V146" i="1"/>
  <c r="U146" i="1"/>
  <c r="T146" i="1"/>
  <c r="S146" i="1"/>
  <c r="R146" i="1"/>
  <c r="V145" i="1"/>
  <c r="U145" i="1"/>
  <c r="T145" i="1"/>
  <c r="R145" i="1"/>
  <c r="S145" i="1"/>
  <c r="V144" i="1"/>
  <c r="U144" i="1"/>
  <c r="T144" i="1"/>
  <c r="S144" i="1"/>
  <c r="V143" i="1"/>
  <c r="U143" i="1"/>
  <c r="T143" i="1"/>
  <c r="S143" i="1"/>
  <c r="R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N140" i="1"/>
  <c r="S140" i="1" s="1"/>
  <c r="M140" i="1"/>
  <c r="V139" i="1"/>
  <c r="U139" i="1"/>
  <c r="T139" i="1"/>
  <c r="S139" i="1"/>
  <c r="R139" i="1"/>
  <c r="V138" i="1"/>
  <c r="U138" i="1"/>
  <c r="T138" i="1"/>
  <c r="S138" i="1"/>
  <c r="R138" i="1"/>
  <c r="V135" i="1"/>
  <c r="U135" i="1"/>
  <c r="T135" i="1"/>
  <c r="S135" i="1"/>
  <c r="R135" i="1"/>
  <c r="V134" i="1"/>
  <c r="U134" i="1"/>
  <c r="T134" i="1"/>
  <c r="S134" i="1"/>
  <c r="R134" i="1"/>
  <c r="V133" i="1"/>
  <c r="U133" i="1"/>
  <c r="T133" i="1"/>
  <c r="R133" i="1"/>
  <c r="V132" i="1"/>
  <c r="U132" i="1"/>
  <c r="T132" i="1"/>
  <c r="S132" i="1"/>
  <c r="R132" i="1"/>
  <c r="V131" i="1"/>
  <c r="U131" i="1"/>
  <c r="T131" i="1"/>
  <c r="S131" i="1"/>
  <c r="R131" i="1"/>
  <c r="V130" i="1"/>
  <c r="U130" i="1"/>
  <c r="T130" i="1"/>
  <c r="S130" i="1"/>
  <c r="M130" i="1"/>
  <c r="V129" i="1"/>
  <c r="U129" i="1"/>
  <c r="T129" i="1"/>
  <c r="V128" i="1"/>
  <c r="U128" i="1"/>
  <c r="T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V120" i="1"/>
  <c r="U120" i="1"/>
  <c r="T120" i="1"/>
  <c r="S120" i="1"/>
  <c r="V119" i="1"/>
  <c r="U119" i="1"/>
  <c r="T119" i="1"/>
  <c r="S119" i="1"/>
  <c r="V115" i="1"/>
  <c r="U115" i="1"/>
  <c r="S115" i="1"/>
  <c r="O115" i="1"/>
  <c r="K115" i="1"/>
  <c r="H115" i="1"/>
  <c r="D115" i="1"/>
  <c r="B15" i="2" s="1"/>
  <c r="B5" i="2" s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3" i="1"/>
  <c r="U73" i="1"/>
  <c r="S73" i="1"/>
  <c r="O73" i="1"/>
  <c r="K73" i="1"/>
  <c r="L37" i="1" s="1"/>
  <c r="H73" i="1"/>
  <c r="D73" i="1"/>
  <c r="B14" i="2" s="1"/>
  <c r="B4" i="2" s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95" i="1" l="1"/>
  <c r="L83" i="1"/>
  <c r="L63" i="1"/>
  <c r="L64" i="1"/>
  <c r="L22" i="1"/>
  <c r="L33" i="1"/>
  <c r="E64" i="1"/>
  <c r="L46" i="1"/>
  <c r="L72" i="1"/>
  <c r="L100" i="1"/>
  <c r="L114" i="1"/>
  <c r="L223" i="1"/>
  <c r="L230" i="1"/>
  <c r="B3" i="3"/>
  <c r="C21" i="2"/>
  <c r="C11" i="2" s="1"/>
  <c r="L69" i="1"/>
  <c r="L57" i="1"/>
  <c r="L65" i="1"/>
  <c r="F13" i="4"/>
  <c r="L71" i="1"/>
  <c r="L39" i="1"/>
  <c r="E35" i="1"/>
  <c r="E24" i="1"/>
  <c r="E9" i="1"/>
  <c r="L79" i="1"/>
  <c r="L12" i="1"/>
  <c r="L24" i="1"/>
  <c r="E7" i="1"/>
  <c r="E11" i="1"/>
  <c r="E15" i="1"/>
  <c r="L30" i="1"/>
  <c r="E100" i="1"/>
  <c r="L215" i="1"/>
  <c r="E113" i="1"/>
  <c r="E21" i="1"/>
  <c r="E19" i="1"/>
  <c r="T198" i="1"/>
  <c r="E17" i="1"/>
  <c r="E99" i="1"/>
  <c r="E177" i="1"/>
  <c r="E175" i="1"/>
  <c r="E173" i="1"/>
  <c r="E171" i="1"/>
  <c r="L164" i="1"/>
  <c r="L191" i="1"/>
  <c r="L181" i="1"/>
  <c r="L45" i="1"/>
  <c r="E244" i="1"/>
  <c r="E95" i="1"/>
  <c r="E97" i="1"/>
  <c r="E93" i="1"/>
  <c r="E77" i="1"/>
  <c r="E91" i="1"/>
  <c r="E89" i="1"/>
  <c r="E101" i="1"/>
  <c r="B18" i="2"/>
  <c r="B8" i="2" s="1"/>
  <c r="E191" i="1"/>
  <c r="E162" i="1"/>
  <c r="E160" i="1"/>
  <c r="E58" i="1"/>
  <c r="E60" i="1"/>
  <c r="E67" i="1"/>
  <c r="E163" i="1"/>
  <c r="E165" i="1"/>
  <c r="E87" i="1"/>
  <c r="E111" i="1"/>
  <c r="E85" i="1"/>
  <c r="E109" i="1"/>
  <c r="E65" i="1"/>
  <c r="E83" i="1"/>
  <c r="E107" i="1"/>
  <c r="L59" i="1"/>
  <c r="L61" i="1"/>
  <c r="L66" i="1"/>
  <c r="L68" i="1"/>
  <c r="E81" i="1"/>
  <c r="E105" i="1"/>
  <c r="E62" i="1"/>
  <c r="E79" i="1"/>
  <c r="E103" i="1"/>
  <c r="E69" i="1"/>
  <c r="L70" i="1"/>
  <c r="E71" i="1"/>
  <c r="B5" i="3"/>
  <c r="L78" i="1"/>
  <c r="L32" i="1"/>
  <c r="B20" i="2"/>
  <c r="B10" i="2" s="1"/>
  <c r="E238" i="1"/>
  <c r="T204" i="1"/>
  <c r="E228" i="1"/>
  <c r="E203" i="1"/>
  <c r="E179" i="1"/>
  <c r="E164" i="1"/>
  <c r="E23" i="1"/>
  <c r="D13" i="4"/>
  <c r="T232" i="1"/>
  <c r="L86" i="1"/>
  <c r="E52" i="1"/>
  <c r="L53" i="1"/>
  <c r="E54" i="1"/>
  <c r="L55" i="1"/>
  <c r="E56" i="1"/>
  <c r="L35" i="1"/>
  <c r="B6" i="3"/>
  <c r="L179" i="1"/>
  <c r="E155" i="1"/>
  <c r="K157" i="1"/>
  <c r="L126" i="1" s="1"/>
  <c r="T261" i="1"/>
  <c r="R261" i="1"/>
  <c r="E250" i="1"/>
  <c r="E252" i="1"/>
  <c r="E254" i="1"/>
  <c r="E256" i="1"/>
  <c r="E260" i="1"/>
  <c r="E258" i="1"/>
  <c r="E249" i="1"/>
  <c r="E251" i="1"/>
  <c r="E253" i="1"/>
  <c r="E255" i="1"/>
  <c r="E257" i="1"/>
  <c r="R246" i="1"/>
  <c r="E214" i="1"/>
  <c r="E212" i="1"/>
  <c r="E208" i="1"/>
  <c r="E230" i="1"/>
  <c r="E224" i="1"/>
  <c r="E222" i="1"/>
  <c r="E220" i="1"/>
  <c r="E218" i="1"/>
  <c r="E202" i="1"/>
  <c r="E196" i="1"/>
  <c r="E194" i="1"/>
  <c r="E192" i="1"/>
  <c r="E189" i="1"/>
  <c r="E187" i="1"/>
  <c r="E170" i="1"/>
  <c r="E172" i="1"/>
  <c r="E185" i="1"/>
  <c r="E183" i="1"/>
  <c r="E181" i="1"/>
  <c r="T166" i="1"/>
  <c r="T157" i="1"/>
  <c r="E131" i="1"/>
  <c r="E146" i="1"/>
  <c r="E148" i="1"/>
  <c r="E119" i="1"/>
  <c r="E121" i="1"/>
  <c r="E129" i="1"/>
  <c r="E127" i="1"/>
  <c r="E135" i="1"/>
  <c r="E152" i="1"/>
  <c r="E123" i="1"/>
  <c r="E139" i="1"/>
  <c r="E141" i="1"/>
  <c r="E143" i="1"/>
  <c r="E154" i="1"/>
  <c r="E145" i="1"/>
  <c r="E130" i="1"/>
  <c r="E147" i="1"/>
  <c r="E156" i="1"/>
  <c r="E120" i="1"/>
  <c r="E132" i="1"/>
  <c r="E149" i="1"/>
  <c r="E122" i="1"/>
  <c r="E126" i="1"/>
  <c r="E128" i="1"/>
  <c r="E134" i="1"/>
  <c r="E151" i="1"/>
  <c r="E153" i="1"/>
  <c r="E133" i="1"/>
  <c r="E150" i="1"/>
  <c r="E124" i="1"/>
  <c r="E138" i="1"/>
  <c r="E140" i="1"/>
  <c r="E144" i="1"/>
  <c r="H233" i="1"/>
  <c r="H262" i="1" s="1"/>
  <c r="T115" i="1"/>
  <c r="R115" i="1"/>
  <c r="E82" i="1"/>
  <c r="E84" i="1"/>
  <c r="E86" i="1"/>
  <c r="E102" i="1"/>
  <c r="E104" i="1"/>
  <c r="E106" i="1"/>
  <c r="E108" i="1"/>
  <c r="E110" i="1"/>
  <c r="E112" i="1"/>
  <c r="E114" i="1"/>
  <c r="E76" i="1"/>
  <c r="E78" i="1"/>
  <c r="E88" i="1"/>
  <c r="E90" i="1"/>
  <c r="E92" i="1"/>
  <c r="E94" i="1"/>
  <c r="E96" i="1"/>
  <c r="E98" i="1"/>
  <c r="T73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208" i="1"/>
  <c r="L209" i="1"/>
  <c r="L214" i="1"/>
  <c r="L216" i="1"/>
  <c r="L217" i="1"/>
  <c r="L220" i="1"/>
  <c r="L221" i="1"/>
  <c r="L224" i="1"/>
  <c r="L225" i="1"/>
  <c r="L231" i="1"/>
  <c r="L94" i="1"/>
  <c r="L106" i="1"/>
  <c r="L76" i="1"/>
  <c r="L82" i="1"/>
  <c r="L90" i="1"/>
  <c r="L98" i="1"/>
  <c r="L102" i="1"/>
  <c r="L110" i="1"/>
  <c r="L80" i="1"/>
  <c r="L84" i="1"/>
  <c r="L88" i="1"/>
  <c r="L92" i="1"/>
  <c r="L96" i="1"/>
  <c r="L104" i="1"/>
  <c r="L108" i="1"/>
  <c r="L112" i="1"/>
  <c r="L175" i="1"/>
  <c r="L176" i="1"/>
  <c r="L180" i="1"/>
  <c r="L183" i="1"/>
  <c r="L184" i="1"/>
  <c r="L188" i="1"/>
  <c r="L192" i="1"/>
  <c r="L193" i="1"/>
  <c r="L196" i="1"/>
  <c r="L197" i="1"/>
  <c r="L170" i="1"/>
  <c r="L252" i="1"/>
  <c r="L256" i="1"/>
  <c r="L250" i="1"/>
  <c r="L254" i="1"/>
  <c r="L258" i="1"/>
  <c r="L249" i="1"/>
  <c r="L251" i="1"/>
  <c r="L253" i="1"/>
  <c r="L255" i="1"/>
  <c r="L257" i="1"/>
  <c r="L259" i="1"/>
  <c r="L51" i="1"/>
  <c r="L169" i="1"/>
  <c r="L171" i="1"/>
  <c r="L173" i="1"/>
  <c r="L174" i="1"/>
  <c r="L177" i="1"/>
  <c r="L178" i="1"/>
  <c r="L182" i="1"/>
  <c r="L185" i="1"/>
  <c r="L186" i="1"/>
  <c r="L189" i="1"/>
  <c r="L190" i="1"/>
  <c r="L194" i="1"/>
  <c r="L195" i="1"/>
  <c r="E29" i="1"/>
  <c r="E31" i="1"/>
  <c r="E33" i="1"/>
  <c r="L34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7" i="1"/>
  <c r="E80" i="1"/>
  <c r="L81" i="1"/>
  <c r="L85" i="1"/>
  <c r="L87" i="1"/>
  <c r="L89" i="1"/>
  <c r="L91" i="1"/>
  <c r="L93" i="1"/>
  <c r="L97" i="1"/>
  <c r="L99" i="1"/>
  <c r="L101" i="1"/>
  <c r="L103" i="1"/>
  <c r="L105" i="1"/>
  <c r="L107" i="1"/>
  <c r="L109" i="1"/>
  <c r="L111" i="1"/>
  <c r="L113" i="1"/>
  <c r="L36" i="1"/>
  <c r="E37" i="1"/>
  <c r="L38" i="1"/>
  <c r="E39" i="1"/>
  <c r="L40" i="1"/>
  <c r="L41" i="1"/>
  <c r="E42" i="1"/>
  <c r="L43" i="1"/>
  <c r="E44" i="1"/>
  <c r="E46" i="1"/>
  <c r="L47" i="1"/>
  <c r="E48" i="1"/>
  <c r="L49" i="1"/>
  <c r="E50" i="1"/>
  <c r="O233" i="1"/>
  <c r="O262" i="1" s="1"/>
  <c r="L212" i="1"/>
  <c r="L213" i="1"/>
  <c r="L218" i="1"/>
  <c r="L219" i="1"/>
  <c r="L222" i="1"/>
  <c r="L18" i="1"/>
  <c r="L20" i="1"/>
  <c r="L29" i="1"/>
  <c r="E30" i="1"/>
  <c r="L31" i="1"/>
  <c r="E32" i="1"/>
  <c r="E34" i="1"/>
  <c r="E36" i="1"/>
  <c r="E38" i="1"/>
  <c r="E40" i="1"/>
  <c r="L42" i="1"/>
  <c r="E43" i="1"/>
  <c r="L44" i="1"/>
  <c r="E45" i="1"/>
  <c r="E47" i="1"/>
  <c r="L48" i="1"/>
  <c r="E49" i="1"/>
  <c r="L50" i="1"/>
  <c r="L52" i="1"/>
  <c r="E53" i="1"/>
  <c r="L54" i="1"/>
  <c r="E55" i="1"/>
  <c r="L56" i="1"/>
  <c r="E57" i="1"/>
  <c r="L58" i="1"/>
  <c r="E59" i="1"/>
  <c r="L60" i="1"/>
  <c r="E61" i="1"/>
  <c r="L62" i="1"/>
  <c r="E63" i="1"/>
  <c r="E66" i="1"/>
  <c r="L67" i="1"/>
  <c r="E68" i="1"/>
  <c r="E70" i="1"/>
  <c r="E72" i="1"/>
  <c r="B4" i="3"/>
  <c r="C13" i="2"/>
  <c r="C3" i="2" s="1"/>
  <c r="R73" i="1"/>
  <c r="R119" i="1"/>
  <c r="R120" i="1"/>
  <c r="R121" i="1"/>
  <c r="R128" i="1"/>
  <c r="R129" i="1"/>
  <c r="R130" i="1"/>
  <c r="R154" i="1"/>
  <c r="B7" i="3"/>
  <c r="C17" i="2"/>
  <c r="C7" i="2" s="1"/>
  <c r="R166" i="1"/>
  <c r="L165" i="1"/>
  <c r="L163" i="1"/>
  <c r="L161" i="1"/>
  <c r="L160" i="1"/>
  <c r="L239" i="1"/>
  <c r="L236" i="1"/>
  <c r="R241" i="1"/>
  <c r="L240" i="1"/>
  <c r="L237" i="1"/>
  <c r="L25" i="1"/>
  <c r="B13" i="2"/>
  <c r="B3" i="2" s="1"/>
  <c r="D233" i="1"/>
  <c r="E232" i="1" s="1"/>
  <c r="R26" i="1"/>
  <c r="T26" i="1"/>
  <c r="B10" i="3"/>
  <c r="C14" i="2"/>
  <c r="C4" i="2" s="1"/>
  <c r="B8" i="3"/>
  <c r="C15" i="2"/>
  <c r="C5" i="2" s="1"/>
  <c r="L141" i="1"/>
  <c r="E142" i="1"/>
  <c r="L142" i="1"/>
  <c r="E174" i="1"/>
  <c r="E176" i="1"/>
  <c r="E178" i="1"/>
  <c r="E180" i="1"/>
  <c r="E182" i="1"/>
  <c r="E184" i="1"/>
  <c r="E186" i="1"/>
  <c r="E188" i="1"/>
  <c r="E190" i="1"/>
  <c r="E193" i="1"/>
  <c r="E195" i="1"/>
  <c r="E197" i="1"/>
  <c r="L203" i="1"/>
  <c r="R204" i="1"/>
  <c r="E209" i="1"/>
  <c r="E213" i="1"/>
  <c r="E216" i="1"/>
  <c r="E219" i="1"/>
  <c r="E221" i="1"/>
  <c r="E223" i="1"/>
  <c r="E225" i="1"/>
  <c r="E229" i="1"/>
  <c r="E231" i="1"/>
  <c r="R236" i="1"/>
  <c r="L238" i="1"/>
  <c r="E239" i="1"/>
  <c r="L244" i="1"/>
  <c r="C18" i="2"/>
  <c r="C8" i="2" s="1"/>
  <c r="C19" i="2"/>
  <c r="C9" i="2" s="1"/>
  <c r="C20" i="2"/>
  <c r="C10" i="2" s="1"/>
  <c r="C13" i="4"/>
  <c r="E13" i="4"/>
  <c r="G13" i="4"/>
  <c r="I13" i="4"/>
  <c r="R198" i="1"/>
  <c r="R232" i="1"/>
  <c r="E236" i="1"/>
  <c r="E237" i="1"/>
  <c r="E240" i="1"/>
  <c r="B9" i="3" l="1"/>
  <c r="L156" i="1"/>
  <c r="L144" i="1"/>
  <c r="L132" i="1"/>
  <c r="L121" i="1"/>
  <c r="L146" i="1"/>
  <c r="L130" i="1"/>
  <c r="L123" i="1"/>
  <c r="L138" i="1"/>
  <c r="L153" i="1"/>
  <c r="L150" i="1"/>
  <c r="K233" i="1"/>
  <c r="L157" i="1" s="1"/>
  <c r="L120" i="1"/>
  <c r="L148" i="1"/>
  <c r="L127" i="1"/>
  <c r="L134" i="1"/>
  <c r="L140" i="1"/>
  <c r="L151" i="1"/>
  <c r="C16" i="2"/>
  <c r="C6" i="2" s="1"/>
  <c r="L155" i="1"/>
  <c r="L119" i="1"/>
  <c r="L149" i="1"/>
  <c r="L125" i="1"/>
  <c r="L154" i="1"/>
  <c r="L128" i="1"/>
  <c r="L129" i="1"/>
  <c r="L143" i="1"/>
  <c r="L122" i="1"/>
  <c r="L124" i="1"/>
  <c r="L131" i="1"/>
  <c r="L133" i="1"/>
  <c r="L135" i="1"/>
  <c r="L139" i="1"/>
  <c r="L145" i="1"/>
  <c r="L147" i="1"/>
  <c r="L152" i="1"/>
  <c r="R157" i="1"/>
  <c r="E198" i="1"/>
  <c r="E115" i="1"/>
  <c r="D262" i="1"/>
  <c r="E204" i="1"/>
  <c r="E157" i="1"/>
  <c r="E166" i="1"/>
  <c r="E26" i="1"/>
  <c r="E73" i="1"/>
  <c r="L204" i="1" l="1"/>
  <c r="R233" i="1"/>
  <c r="L73" i="1"/>
  <c r="L232" i="1"/>
  <c r="L166" i="1"/>
  <c r="L198" i="1"/>
  <c r="K262" i="1"/>
  <c r="L115" i="1"/>
  <c r="L26" i="1"/>
</calcChain>
</file>

<file path=xl/sharedStrings.xml><?xml version="1.0" encoding="utf-8"?>
<sst xmlns="http://schemas.openxmlformats.org/spreadsheetml/2006/main" count="540" uniqueCount="339">
  <si>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</si>
  <si>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</si>
  <si>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</si>
  <si>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</si>
  <si>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</si>
  <si>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</si>
  <si>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</si>
  <si>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</si>
  <si>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</si>
  <si>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</si>
  <si>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</si>
  <si>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</si>
  <si>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</si>
  <si>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</si>
  <si>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</si>
  <si>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</si>
  <si>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</si>
  <si>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</si>
  <si>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</si>
  <si>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</si>
  <si>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</si>
  <si>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</si>
  <si>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</si>
  <si>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</si>
  <si>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</si>
  <si>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</si>
  <si>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</si>
  <si>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</si>
  <si>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</si>
  <si>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</si>
  <si>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</si>
  <si>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</si>
  <si>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</si>
  <si>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</si>
  <si>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</si>
  <si>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</si>
  <si>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</si>
  <si>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</si>
  <si>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</si>
  <si>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</si>
  <si>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</si>
  <si>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</si>
  <si>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</si>
  <si>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</si>
  <si>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</si>
  <si>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</si>
  <si>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</si>
  <si>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</si>
  <si>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</si>
  <si>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</si>
  <si>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</si>
  <si>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</si>
  <si>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</si>
  <si>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</si>
  <si>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</si>
  <si>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</si>
  <si>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</si>
  <si>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</si>
  <si>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</si>
  <si>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</si>
  <si>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</si>
  <si>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</si>
  <si>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</si>
  <si>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</si>
  <si>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</si>
  <si>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</si>
  <si>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</si>
  <si>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</si>
  <si>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</si>
  <si>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</si>
  <si>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</si>
  <si>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</si>
  <si>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</si>
  <si>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</si>
  <si>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</si>
  <si>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</si>
  <si>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</si>
  <si>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</si>
  <si>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</si>
  <si>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</si>
  <si>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</si>
  <si>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</si>
  <si>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</si>
  <si>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</si>
  <si>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</si>
  <si>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</si>
  <si>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</si>
  <si>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</si>
  <si>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</si>
  <si>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</si>
  <si>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</si>
  <si>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</si>
  <si>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</si>
  <si>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</si>
  <si>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</si>
  <si>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</si>
  <si>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</si>
  <si>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</si>
  <si>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</si>
  <si>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</si>
  <si>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</si>
  <si>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</si>
  <si>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</si>
  <si>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</si>
  <si>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</si>
  <si>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</si>
  <si>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</si>
  <si>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</si>
  <si>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</si>
  <si>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</si>
  <si>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</si>
  <si>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</si>
  <si>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</si>
  <si>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</si>
  <si>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</si>
  <si>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</si>
  <si>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</si>
  <si>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</si>
  <si>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</si>
  <si>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</si>
  <si>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</si>
  <si>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</si>
  <si>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</si>
  <si>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</si>
  <si>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</si>
  <si>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</si>
  <si>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</si>
  <si>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</si>
  <si>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</si>
  <si>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</si>
  <si>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</si>
  <si>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</si>
  <si>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</si>
  <si>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</si>
  <si>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</si>
  <si>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</si>
  <si>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</si>
  <si>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</si>
  <si>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</si>
  <si>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</si>
  <si>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</si>
  <si>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</si>
  <si>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</si>
  <si>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</si>
  <si>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</si>
  <si>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</si>
  <si>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</si>
  <si>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</si>
  <si>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</si>
  <si>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</si>
  <si>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</si>
  <si>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</si>
  <si>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</si>
  <si>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</si>
  <si>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</si>
  <si>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</si>
  <si>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</si>
  <si>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</si>
  <si>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</si>
  <si>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</si>
  <si>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</si>
  <si>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</si>
  <si>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</si>
  <si>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</si>
  <si>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</si>
  <si>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</si>
  <si>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</si>
  <si>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</si>
  <si>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</si>
  <si>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</si>
  <si>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</si>
  <si>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</si>
  <si>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</si>
  <si>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</si>
  <si>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</si>
  <si>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</si>
  <si>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</si>
  <si>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</si>
  <si>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</si>
  <si>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</si>
  <si>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</si>
  <si>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</si>
  <si>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</si>
  <si>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</si>
  <si>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</si>
  <si>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</si>
  <si>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</si>
  <si>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</si>
  <si>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</si>
  <si>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</si>
  <si>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</si>
  <si>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</si>
  <si>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</si>
  <si>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</si>
  <si>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</si>
  <si>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</si>
  <si>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</si>
  <si>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</si>
  <si>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</si>
  <si>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</si>
  <si>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</si>
  <si>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</si>
  <si>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</si>
  <si>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</si>
  <si>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</si>
  <si>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</si>
  <si>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</si>
  <si>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</si>
  <si>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</si>
  <si>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</si>
  <si>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</si>
  <si>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</si>
  <si>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</si>
  <si>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</si>
  <si>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</si>
  <si>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</si>
  <si>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</si>
  <si>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</si>
  <si>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</si>
  <si>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</si>
  <si>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</si>
  <si>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</si>
  <si>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</si>
  <si>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</si>
  <si>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</si>
  <si>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</si>
  <si>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</si>
  <si>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</si>
  <si>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</si>
  <si>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</si>
  <si>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</si>
  <si>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</si>
  <si>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</si>
  <si>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</si>
  <si>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</si>
  <si>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</si>
  <si>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</si>
  <si>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</si>
  <si>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</si>
  <si>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</si>
  <si>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</si>
  <si>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</si>
  <si>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</si>
  <si>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</si>
  <si>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</si>
  <si>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</si>
  <si>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</si>
  <si>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</si>
  <si>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</si>
  <si>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</si>
  <si>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</si>
  <si>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</si>
  <si>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</si>
  <si>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</si>
  <si>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</si>
  <si>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</si>
  <si>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</si>
  <si>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</si>
  <si>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</si>
  <si>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</si>
  <si>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</si>
  <si>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</si>
  <si>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</si>
  <si>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</si>
  <si>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</si>
  <si>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</si>
  <si>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</si>
  <si>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</si>
  <si>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</si>
  <si>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</si>
  <si>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</si>
  <si>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</si>
  <si>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</si>
  <si>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</si>
  <si>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</si>
  <si>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</si>
  <si>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</si>
  <si>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</si>
  <si>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</si>
  <si>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</si>
  <si>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</si>
  <si>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</si>
  <si>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</si>
  <si>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</si>
  <si>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</si>
  <si>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</si>
  <si>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</si>
  <si>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</si>
  <si>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</si>
  <si>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</si>
  <si>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</si>
  <si>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</si>
  <si>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</si>
  <si>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</si>
  <si>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</si>
  <si>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</si>
  <si>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</si>
  <si>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</si>
  <si>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</si>
  <si>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</si>
  <si>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</si>
  <si>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</si>
  <si>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</si>
  <si>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</si>
  <si>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</si>
  <si>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</si>
  <si>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</si>
  <si>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</si>
  <si>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</si>
  <si>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</si>
  <si>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</si>
  <si>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</si>
  <si>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</si>
  <si>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</si>
  <si>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</si>
  <si>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</si>
  <si>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</si>
  <si>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</si>
  <si>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</si>
  <si>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</si>
  <si>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</si>
  <si>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</si>
  <si>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</si>
  <si>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</si>
  <si>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</si>
  <si>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</si>
  <si>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</si>
  <si>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</si>
  <si>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</si>
  <si>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</si>
  <si>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</si>
  <si>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</si>
  <si>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NAV, Unit Price and Yield as at Week Ended February 13, 2026</t>
  </si>
  <si>
    <t>SCM Capital Money Market Fund</t>
  </si>
  <si>
    <t>Week Ended February 13, 2026</t>
  </si>
  <si>
    <t>WEEKLY VALUATION REPORT OF COLLECTIVE INVESTMENT SCHEMES AS AT WEEK ENDED FRIDAY, FEBRUARY 20, 2026</t>
  </si>
  <si>
    <t>NAV, Unit Price and Yield as at Week Ended February 20, 2026</t>
  </si>
  <si>
    <t>NFEM RATE NG₦/US$ as at 20th February, 2026 = N1346.3234</t>
  </si>
  <si>
    <t>Week Ended February 20,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</si>
</sst>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201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164" fontId="11" fillId="2" borderId="0" xfId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5" fillId="6" borderId="1" xfId="0" applyFont="1" applyFill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0" fillId="2" borderId="1" xfId="0" applyNumberFormat="1" applyFont="1" applyFill="1" applyBorder="1"/>
    <xf numFmtId="10" fontId="20" fillId="7" borderId="1" xfId="2" applyNumberFormat="1" applyFont="1" applyFill="1" applyBorder="1" applyAlignment="1">
      <alignment horizontal="center"/>
    </xf>
    <xf numFmtId="164" fontId="20" fillId="9" borderId="1" xfId="1" applyFont="1" applyFill="1" applyBorder="1" applyAlignment="1">
      <alignment horizontal="center"/>
    </xf>
    <xf numFmtId="0" fontId="21" fillId="0" borderId="0" xfId="0" applyFont="1"/>
    <xf numFmtId="164" fontId="18" fillId="9" borderId="1" xfId="1" applyFont="1" applyFill="1" applyBorder="1" applyAlignment="1">
      <alignment horizontal="center"/>
    </xf>
    <xf numFmtId="164" fontId="20" fillId="2" borderId="1" xfId="1" applyFont="1" applyFill="1" applyBorder="1"/>
    <xf numFmtId="164" fontId="20" fillId="2" borderId="1" xfId="10" applyFont="1" applyFill="1" applyBorder="1"/>
    <xf numFmtId="4" fontId="21" fillId="0" borderId="0" xfId="0" applyNumberFormat="1" applyFont="1"/>
    <xf numFmtId="4" fontId="20" fillId="2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 vertical="top" wrapText="1"/>
    </xf>
    <xf numFmtId="10" fontId="23" fillId="7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17" fillId="9" borderId="1" xfId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9" borderId="1" xfId="1" applyFont="1" applyFill="1" applyBorder="1" applyAlignment="1">
      <alignment horizontal="center" wrapText="1"/>
    </xf>
    <xf numFmtId="164" fontId="20" fillId="2" borderId="1" xfId="1" applyFont="1" applyFill="1" applyBorder="1" applyAlignment="1">
      <alignment horizontal="right"/>
    </xf>
    <xf numFmtId="164" fontId="20" fillId="2" borderId="1" xfId="1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 vertical="top"/>
    </xf>
    <xf numFmtId="10" fontId="20" fillId="9" borderId="1" xfId="2" applyNumberFormat="1" applyFont="1" applyFill="1" applyBorder="1" applyAlignment="1">
      <alignment horizontal="center"/>
    </xf>
    <xf numFmtId="10" fontId="18" fillId="9" borderId="1" xfId="2" applyNumberFormat="1" applyFont="1" applyFill="1" applyBorder="1" applyAlignment="1">
      <alignment horizontal="center"/>
    </xf>
    <xf numFmtId="10" fontId="20" fillId="9" borderId="1" xfId="2" applyNumberFormat="1" applyFont="1" applyFill="1" applyBorder="1" applyAlignment="1">
      <alignment horizontal="center" vertical="top" wrapText="1"/>
    </xf>
    <xf numFmtId="10" fontId="20" fillId="9" borderId="1" xfId="2" applyNumberFormat="1" applyFont="1" applyFill="1" applyBorder="1" applyAlignment="1">
      <alignment horizontal="center" wrapText="1"/>
    </xf>
    <xf numFmtId="10" fontId="20" fillId="7" borderId="1" xfId="2" applyNumberFormat="1" applyFont="1" applyFill="1" applyBorder="1" applyAlignment="1">
      <alignment horizontal="center" wrapText="1"/>
    </xf>
    <xf numFmtId="10" fontId="20" fillId="3" borderId="1" xfId="2" applyNumberFormat="1" applyFont="1" applyFill="1" applyBorder="1" applyAlignment="1">
      <alignment horizontal="center" vertical="top" wrapText="1"/>
    </xf>
    <xf numFmtId="10" fontId="18" fillId="3" borderId="1" xfId="2" applyNumberFormat="1" applyFont="1" applyFill="1" applyBorder="1" applyAlignment="1">
      <alignment horizontal="center" vertical="top" wrapText="1"/>
    </xf>
    <xf numFmtId="10" fontId="18" fillId="3" borderId="1" xfId="1" applyNumberFormat="1" applyFont="1" applyFill="1" applyBorder="1" applyAlignment="1">
      <alignment horizontal="center" vertical="top" wrapText="1"/>
    </xf>
    <xf numFmtId="10" fontId="24" fillId="10" borderId="0" xfId="0" applyNumberFormat="1" applyFont="1" applyFill="1" applyAlignment="1">
      <alignment horizontal="right" vertical="center" wrapText="1"/>
    </xf>
    <xf numFmtId="164" fontId="17" fillId="2" borderId="1" xfId="1" applyFont="1" applyFill="1" applyBorder="1" applyAlignment="1">
      <alignment horizontal="right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1" borderId="1" xfId="1" applyFont="1" applyFill="1" applyBorder="1" applyAlignment="1">
      <alignment horizontal="center"/>
    </xf>
    <xf numFmtId="10" fontId="20" fillId="9" borderId="1" xfId="1" applyNumberFormat="1" applyFont="1" applyFill="1" applyBorder="1" applyAlignment="1">
      <alignment horizontal="center"/>
    </xf>
    <xf numFmtId="10" fontId="20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0" fontId="20" fillId="0" borderId="1" xfId="0" applyFont="1" applyBorder="1"/>
    <xf numFmtId="0" fontId="17" fillId="0" borderId="1" xfId="0" applyFont="1" applyBorder="1" applyAlignment="1">
      <alignment horizontal="right"/>
    </xf>
    <xf numFmtId="4" fontId="28" fillId="0" borderId="1" xfId="0" applyNumberFormat="1" applyFont="1" applyBorder="1"/>
    <xf numFmtId="0" fontId="22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4" fontId="20" fillId="9" borderId="1" xfId="1" applyNumberFormat="1" applyFont="1" applyFill="1" applyBorder="1" applyAlignment="1">
      <alignment horizontal="center"/>
    </xf>
    <xf numFmtId="4" fontId="20" fillId="9" borderId="1" xfId="1" applyNumberFormat="1" applyFont="1" applyFill="1" applyBorder="1" applyAlignment="1">
      <alignment horizontal="center" vertical="top" wrapText="1"/>
    </xf>
    <xf numFmtId="166" fontId="13" fillId="0" borderId="0" xfId="1" applyNumberFormat="1" applyFont="1"/>
    <xf numFmtId="4" fontId="29" fillId="0" borderId="0" xfId="0" applyNumberFormat="1" applyFont="1"/>
    <xf numFmtId="164" fontId="17" fillId="2" borderId="1" xfId="1" applyFont="1" applyFill="1" applyBorder="1"/>
    <xf numFmtId="43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/>
    </xf>
    <xf numFmtId="4" fontId="20" fillId="2" borderId="1" xfId="10" applyNumberFormat="1" applyFont="1" applyFill="1" applyBorder="1" applyAlignment="1">
      <alignment horizontal="right" wrapText="1"/>
    </xf>
    <xf numFmtId="4" fontId="17" fillId="9" borderId="1" xfId="1" applyNumberFormat="1" applyFont="1" applyFill="1" applyBorder="1" applyAlignment="1">
      <alignment horizontal="right" vertical="top" wrapText="1"/>
    </xf>
    <xf numFmtId="0" fontId="20" fillId="14" borderId="1" xfId="0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right" vertical="center"/>
    </xf>
    <xf numFmtId="164" fontId="17" fillId="14" borderId="1" xfId="1" applyFont="1" applyFill="1" applyBorder="1" applyAlignment="1">
      <alignment horizontal="right" vertical="center" wrapText="1"/>
    </xf>
    <xf numFmtId="10" fontId="20" fillId="14" borderId="1" xfId="1" applyNumberFormat="1" applyFont="1" applyFill="1" applyBorder="1" applyAlignment="1">
      <alignment horizontal="right" vertical="center" wrapText="1"/>
    </xf>
    <xf numFmtId="4" fontId="20" fillId="14" borderId="1" xfId="1" applyNumberFormat="1" applyFont="1" applyFill="1" applyBorder="1" applyAlignment="1">
      <alignment horizontal="right" vertical="center" wrapText="1"/>
    </xf>
    <xf numFmtId="164" fontId="17" fillId="14" borderId="1" xfId="1" applyFont="1" applyFill="1" applyBorder="1" applyAlignment="1">
      <alignment horizontal="right" vertical="top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30" fillId="14" borderId="1" xfId="1" applyFont="1" applyFill="1" applyBorder="1" applyAlignment="1">
      <alignment horizontal="right" vertical="top" wrapText="1"/>
    </xf>
    <xf numFmtId="4" fontId="20" fillId="14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7" borderId="1" xfId="2" applyNumberFormat="1" applyFont="1" applyFill="1" applyBorder="1" applyAlignment="1">
      <alignment horizontal="center" vertical="top" wrapText="1"/>
    </xf>
    <xf numFmtId="164" fontId="20" fillId="9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43" fontId="20" fillId="9" borderId="1" xfId="0" applyNumberFormat="1" applyFont="1" applyFill="1" applyBorder="1" applyAlignment="1">
      <alignment horizontal="center"/>
    </xf>
    <xf numFmtId="9" fontId="20" fillId="14" borderId="1" xfId="2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top" wrapText="1"/>
    </xf>
    <xf numFmtId="10" fontId="20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18" fillId="14" borderId="1" xfId="2" applyNumberFormat="1" applyFont="1" applyFill="1" applyBorder="1" applyAlignment="1">
      <alignment horizontal="center" vertical="top" wrapText="1"/>
    </xf>
    <xf numFmtId="167" fontId="18" fillId="14" borderId="1" xfId="2" applyNumberFormat="1" applyFont="1" applyFill="1" applyBorder="1" applyAlignment="1">
      <alignment horizontal="center" vertical="top" wrapText="1"/>
    </xf>
    <xf numFmtId="10" fontId="18" fillId="14" borderId="1" xfId="1" applyNumberFormat="1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right"/>
    </xf>
    <xf numFmtId="0" fontId="17" fillId="14" borderId="1" xfId="0" applyFont="1" applyFill="1" applyBorder="1" applyAlignment="1">
      <alignment horizontal="right"/>
    </xf>
    <xf numFmtId="0" fontId="20" fillId="15" borderId="1" xfId="0" applyFont="1" applyFill="1" applyBorder="1" applyAlignment="1">
      <alignment horizontal="right" vertical="top" wrapText="1"/>
    </xf>
    <xf numFmtId="0" fontId="27" fillId="15" borderId="1" xfId="0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164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0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4" fontId="18" fillId="0" borderId="0" xfId="0" applyNumberFormat="1" applyFont="1"/>
    <xf numFmtId="0" fontId="43" fillId="0" borderId="0" xfId="0" applyFont="1"/>
    <xf numFmtId="10" fontId="18" fillId="7" borderId="1" xfId="2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4" fontId="18" fillId="2" borderId="1" xfId="0" applyNumberFormat="1" applyFont="1" applyFill="1" applyBorder="1"/>
    <xf numFmtId="0" fontId="1" fillId="0" borderId="0" xfId="0" applyFont="1"/>
    <xf numFmtId="2" fontId="21" fillId="0" borderId="0" xfId="0" applyNumberFormat="1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49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44" fillId="0" borderId="0" xfId="0" applyFont="1"/>
    <xf numFmtId="0" fontId="45" fillId="0" borderId="0" xfId="0" applyFont="1"/>
    <xf numFmtId="16" fontId="46" fillId="2" borderId="0" xfId="0" applyNumberFormat="1" applyFont="1" applyFill="1"/>
    <xf numFmtId="164" fontId="47" fillId="0" borderId="0" xfId="1" applyFont="1"/>
    <xf numFmtId="43" fontId="47" fillId="0" borderId="0" xfId="0" applyNumberFormat="1" applyFont="1"/>
    <xf numFmtId="4" fontId="47" fillId="0" borderId="0" xfId="0" applyNumberFormat="1" applyFont="1"/>
    <xf numFmtId="0" fontId="48" fillId="2" borderId="0" xfId="0" applyFont="1" applyFill="1" applyAlignment="1">
      <alignment horizontal="right"/>
    </xf>
    <xf numFmtId="16" fontId="10" fillId="2" borderId="0" xfId="0" applyNumberFormat="1" applyFont="1" applyFill="1"/>
    <xf numFmtId="0" fontId="9" fillId="2" borderId="0" xfId="0" applyFont="1" applyFill="1"/>
    <xf numFmtId="0" fontId="10" fillId="2" borderId="0" xfId="0" applyFont="1" applyFill="1" applyAlignment="1">
      <alignment horizontal="right"/>
    </xf>
    <xf numFmtId="4" fontId="1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49" fillId="0" borderId="0" xfId="0" applyFont="1" applyAlignment="1">
      <alignment horizontal="right"/>
    </xf>
    <xf numFmtId="16" fontId="49" fillId="2" borderId="0" xfId="0" applyNumberFormat="1" applyFont="1" applyFill="1" applyAlignment="1">
      <alignment horizontal="center" wrapText="1"/>
    </xf>
    <xf numFmtId="0" fontId="50" fillId="0" borderId="0" xfId="0" applyFont="1"/>
    <xf numFmtId="0" fontId="49" fillId="0" borderId="0" xfId="0" applyFont="1" applyAlignment="1">
      <alignment horizontal="right" wrapText="1"/>
    </xf>
    <xf numFmtId="4" fontId="51" fillId="2" borderId="0" xfId="0" applyNumberFormat="1" applyFont="1" applyFill="1"/>
    <xf numFmtId="4" fontId="51" fillId="2" borderId="0" xfId="0" applyNumberFormat="1" applyFont="1" applyFill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52" fillId="0" borderId="0" xfId="0" applyFont="1" applyAlignment="1">
      <alignment horizontal="right" wrapText="1"/>
    </xf>
    <xf numFmtId="164" fontId="13" fillId="0" borderId="0" xfId="1" applyFont="1" applyBorder="1"/>
    <xf numFmtId="4" fontId="13" fillId="2" borderId="0" xfId="0" applyNumberFormat="1" applyFont="1" applyFill="1"/>
    <xf numFmtId="0" fontId="52" fillId="0" borderId="0" xfId="0" applyFont="1" applyAlignment="1">
      <alignment horizontal="right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0" fontId="20" fillId="0" borderId="1" xfId="0" applyFont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4" fontId="20" fillId="2" borderId="1" xfId="44" applyNumberFormat="1" applyFont="1" applyFill="1" applyBorder="1" applyAlignment="1">
      <alignment wrapText="1"/>
    </xf>
    <xf numFmtId="4" fontId="20" fillId="0" borderId="1" xfId="0" applyNumberFormat="1" applyFont="1" applyBorder="1" applyAlignment="1">
      <alignment wrapText="1"/>
    </xf>
    <xf numFmtId="164" fontId="4" fillId="2" borderId="0" xfId="1" applyFont="1" applyFill="1" applyBorder="1" applyAlignment="1">
      <alignment horizontal="right" vertical="top" wrapText="1"/>
    </xf>
    <xf numFmtId="0" fontId="7" fillId="2" borderId="0" xfId="0" applyFont="1" applyFill="1"/>
    <xf numFmtId="0" fontId="8" fillId="2" borderId="0" xfId="0" applyFont="1" applyFill="1" applyAlignment="1">
      <alignment horizontal="right"/>
    </xf>
    <xf numFmtId="0" fontId="6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7" fillId="13" borderId="1" xfId="0" applyFont="1" applyFill="1" applyBorder="1" applyAlignment="1">
      <alignment horizontal="center" wrapText="1"/>
    </xf>
    <xf numFmtId="0" fontId="27" fillId="8" borderId="1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February 13,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119.8491439427295</c:v>
                </c:pt>
                <c:pt idx="1">
                  <c:v>5255.3168160080068</c:v>
                </c:pt>
                <c:pt idx="2">
                  <c:v>244.64717030383531</c:v>
                </c:pt>
                <c:pt idx="3">
                  <c:v>1840.4725900320491</c:v>
                </c:pt>
                <c:pt idx="4">
                  <c:v>505.37055932113532</c:v>
                </c:pt>
                <c:pt idx="5" formatCode="_-* #,##0.00_-;\-* #,##0.00_-;_-* &quot;-&quot;??_-;_-@_-">
                  <c:v>104.17887105563953</c:v>
                </c:pt>
                <c:pt idx="6">
                  <c:v>12.237483860206492</c:v>
                </c:pt>
                <c:pt idx="7">
                  <c:v>94.436344010965371</c:v>
                </c:pt>
                <c:pt idx="8">
                  <c:v>20.735268519028136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February 20,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139.85715441589801</c:v>
                </c:pt>
                <c:pt idx="1">
                  <c:v>5272.9684753521688</c:v>
                </c:pt>
                <c:pt idx="2">
                  <c:v>244.28472303470218</c:v>
                </c:pt>
                <c:pt idx="3">
                  <c:v>1821.0807189042509</c:v>
                </c:pt>
                <c:pt idx="4">
                  <c:v>505.88262716335652</c:v>
                </c:pt>
                <c:pt idx="5" formatCode="_-* #,##0.00_-;\-* #,##0.00_-;_-* &quot;-&quot;??_-;_-@_-">
                  <c:v>112.02289974221411</c:v>
                </c:pt>
                <c:pt idx="6">
                  <c:v>13.49048332185987</c:v>
                </c:pt>
                <c:pt idx="7">
                  <c:v>100.42881283326227</c:v>
                </c:pt>
                <c:pt idx="8">
                  <c:v>19.63953660541069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20TH FEBRUARYY,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20-Feb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13490483321.859869</c:v>
                </c:pt>
                <c:pt idx="1">
                  <c:v>19639536605.41069</c:v>
                </c:pt>
                <c:pt idx="2">
                  <c:v>139857154415.89801</c:v>
                </c:pt>
                <c:pt idx="3" formatCode="_-* #,##0.00_-;\-* #,##0.00_-;_-* &quot;-&quot;??_-;_-@_-">
                  <c:v>100428812833.26227</c:v>
                </c:pt>
                <c:pt idx="4">
                  <c:v>112022899742.21411</c:v>
                </c:pt>
                <c:pt idx="5">
                  <c:v>505882627163.35651</c:v>
                </c:pt>
                <c:pt idx="6">
                  <c:v>244284723034.70218</c:v>
                </c:pt>
                <c:pt idx="7">
                  <c:v>1821080718904.251</c:v>
                </c:pt>
                <c:pt idx="8">
                  <c:v>5272968475352.1689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46024</c:v>
                </c:pt>
                <c:pt idx="1">
                  <c:v>46031</c:v>
                </c:pt>
                <c:pt idx="2">
                  <c:v>46038</c:v>
                </c:pt>
                <c:pt idx="3">
                  <c:v>46045</c:v>
                </c:pt>
                <c:pt idx="4">
                  <c:v>46052</c:v>
                </c:pt>
                <c:pt idx="5">
                  <c:v>46059</c:v>
                </c:pt>
                <c:pt idx="6">
                  <c:v>46066</c:v>
                </c:pt>
                <c:pt idx="7">
                  <c:v>46073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7797.3820775891299</c:v>
                </c:pt>
                <c:pt idx="1">
                  <c:v>7922.6135885840922</c:v>
                </c:pt>
                <c:pt idx="2">
                  <c:v>8029.3427073122812</c:v>
                </c:pt>
                <c:pt idx="3">
                  <c:v>8056.134516783889</c:v>
                </c:pt>
                <c:pt idx="4">
                  <c:v>8081.3813988736874</c:v>
                </c:pt>
                <c:pt idx="5">
                  <c:v>8107.597332853632</c:v>
                </c:pt>
                <c:pt idx="6">
                  <c:v>8197.2442470535952</c:v>
                </c:pt>
                <c:pt idx="7">
                  <c:v>8229.6554313731249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46024</c:v>
                </c:pt>
                <c:pt idx="1">
                  <c:v>46031</c:v>
                </c:pt>
                <c:pt idx="2">
                  <c:v>46038</c:v>
                </c:pt>
                <c:pt idx="3">
                  <c:v>46045</c:v>
                </c:pt>
                <c:pt idx="4">
                  <c:v>46052</c:v>
                </c:pt>
                <c:pt idx="5">
                  <c:v>46059</c:v>
                </c:pt>
                <c:pt idx="6">
                  <c:v>46066</c:v>
                </c:pt>
                <c:pt idx="7">
                  <c:v>46073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18.294657025999999</c:v>
                </c:pt>
                <c:pt idx="1">
                  <c:v>18.629129376529999</c:v>
                </c:pt>
                <c:pt idx="2">
                  <c:v>19.377061801090001</c:v>
                </c:pt>
                <c:pt idx="3">
                  <c:v>19.447744548879999</c:v>
                </c:pt>
                <c:pt idx="4">
                  <c:v>19.641137987049994</c:v>
                </c:pt>
                <c:pt idx="5">
                  <c:v>20.41173907228</c:v>
                </c:pt>
                <c:pt idx="6">
                  <c:v>21.462872515840001</c:v>
                </c:pt>
                <c:pt idx="7">
                  <c:v>23.060251227759998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70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98" t="s">
        <v>335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</row>
    <row r="2" spans="1:25" ht="14.4" customHeight="1">
      <c r="A2" s="25"/>
      <c r="B2" s="26"/>
      <c r="C2" s="27"/>
      <c r="D2" s="199" t="s">
        <v>332</v>
      </c>
      <c r="E2" s="199"/>
      <c r="F2" s="199"/>
      <c r="G2" s="199"/>
      <c r="H2" s="199"/>
      <c r="I2" s="199"/>
      <c r="J2" s="199"/>
      <c r="K2" s="199" t="s">
        <v>336</v>
      </c>
      <c r="L2" s="199"/>
      <c r="M2" s="199"/>
      <c r="N2" s="199"/>
      <c r="O2" s="199"/>
      <c r="P2" s="199"/>
      <c r="Q2" s="199"/>
      <c r="R2" s="199" t="s">
        <v>0</v>
      </c>
      <c r="S2" s="199"/>
      <c r="T2" s="199"/>
      <c r="U2" s="199" t="s">
        <v>1</v>
      </c>
      <c r="V2" s="199"/>
    </row>
    <row r="3" spans="1:25" ht="20.399999999999999">
      <c r="A3" s="28" t="s">
        <v>2</v>
      </c>
      <c r="B3" s="29" t="s">
        <v>3</v>
      </c>
      <c r="C3" s="30" t="s">
        <v>4</v>
      </c>
      <c r="D3" s="31" t="s">
        <v>5</v>
      </c>
      <c r="E3" s="32" t="s">
        <v>6</v>
      </c>
      <c r="F3" s="32" t="s">
        <v>7</v>
      </c>
      <c r="G3" s="32" t="s">
        <v>8</v>
      </c>
      <c r="H3" s="32" t="s">
        <v>9</v>
      </c>
      <c r="I3" s="32" t="s">
        <v>10</v>
      </c>
      <c r="J3" s="32" t="s">
        <v>11</v>
      </c>
      <c r="K3" s="57" t="s">
        <v>5</v>
      </c>
      <c r="L3" s="32" t="s">
        <v>6</v>
      </c>
      <c r="M3" s="32" t="s">
        <v>12</v>
      </c>
      <c r="N3" s="32" t="s">
        <v>8</v>
      </c>
      <c r="O3" s="32" t="s">
        <v>9</v>
      </c>
      <c r="P3" s="32" t="s">
        <v>10</v>
      </c>
      <c r="Q3" s="32" t="s">
        <v>11</v>
      </c>
      <c r="R3" s="31" t="s">
        <v>13</v>
      </c>
      <c r="S3" s="32" t="s">
        <v>14</v>
      </c>
      <c r="T3" s="32" t="s">
        <v>15</v>
      </c>
      <c r="U3" s="32" t="s">
        <v>16</v>
      </c>
      <c r="V3" s="32" t="s">
        <v>17</v>
      </c>
    </row>
    <row r="4" spans="1:25" ht="5.25" customHeight="1">
      <c r="A4" s="33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</row>
    <row r="5" spans="1:25" ht="15" customHeight="1">
      <c r="A5" s="196" t="s">
        <v>18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</row>
    <row r="6" spans="1:25">
      <c r="A6" s="183">
        <v>1</v>
      </c>
      <c r="B6" s="150" t="s">
        <v>19</v>
      </c>
      <c r="C6" s="149" t="s">
        <v>20</v>
      </c>
      <c r="D6" s="146">
        <v>7121910818.6400003</v>
      </c>
      <c r="E6" s="144">
        <f t="shared" ref="E6:E24" si="0">(D6/$D$26)</f>
        <v>5.9423960692145124E-2</v>
      </c>
      <c r="F6" s="146">
        <v>726.96320000000003</v>
      </c>
      <c r="G6" s="146">
        <v>732.44960000000003</v>
      </c>
      <c r="H6" s="38">
        <v>1695</v>
      </c>
      <c r="I6" s="59">
        <v>6.3E-2</v>
      </c>
      <c r="J6" s="59">
        <v>0.17449999999999999</v>
      </c>
      <c r="K6" s="146">
        <v>8511764044.4099998</v>
      </c>
      <c r="L6" s="144">
        <f t="shared" ref="L6:L25" si="1">(K6/$K$26)</f>
        <v>6.0860412039403261E-2</v>
      </c>
      <c r="M6" s="146">
        <v>773.11869999999999</v>
      </c>
      <c r="N6" s="146">
        <v>778.26300000000003</v>
      </c>
      <c r="O6" s="38">
        <v>1695</v>
      </c>
      <c r="P6" s="59">
        <v>6.3500000000000001E-2</v>
      </c>
      <c r="Q6" s="59">
        <v>0.24909999999999999</v>
      </c>
      <c r="R6" s="64">
        <f>((K6-D6)/D6)</f>
        <v>0.19515173120848006</v>
      </c>
      <c r="S6" s="64">
        <f>((N6-G6)/G6)</f>
        <v>6.2548194442320668E-2</v>
      </c>
      <c r="T6" s="64">
        <f>((O6-H6)/H6)</f>
        <v>0</v>
      </c>
      <c r="U6" s="64">
        <f>P6-I6</f>
        <v>5.0000000000000044E-4</v>
      </c>
      <c r="V6" s="65">
        <f>Q6-J6</f>
        <v>7.46E-2</v>
      </c>
      <c r="W6" s="147"/>
    </row>
    <row r="7" spans="1:25">
      <c r="A7" s="183">
        <v>2</v>
      </c>
      <c r="B7" s="150" t="s">
        <v>21</v>
      </c>
      <c r="C7" s="149" t="s">
        <v>22</v>
      </c>
      <c r="D7" s="34">
        <v>1569932256.79</v>
      </c>
      <c r="E7" s="35">
        <f t="shared" si="0"/>
        <v>1.309923629942822E-2</v>
      </c>
      <c r="F7" s="34">
        <v>494.97410000000002</v>
      </c>
      <c r="G7" s="34">
        <v>501.30259999999998</v>
      </c>
      <c r="H7" s="36">
        <v>670</v>
      </c>
      <c r="I7" s="58">
        <v>2.8211E-2</v>
      </c>
      <c r="J7" s="58">
        <v>0.20830000000000001</v>
      </c>
      <c r="K7" s="34">
        <v>1697686724.78</v>
      </c>
      <c r="L7" s="35">
        <f t="shared" si="1"/>
        <v>1.2138719194382655E-2</v>
      </c>
      <c r="M7" s="34">
        <v>521.01980000000003</v>
      </c>
      <c r="N7" s="34">
        <v>527.56719999999996</v>
      </c>
      <c r="O7" s="36">
        <v>690</v>
      </c>
      <c r="P7" s="58">
        <v>1.1214999999999999E-2</v>
      </c>
      <c r="Q7" s="58">
        <v>0.27179999999999999</v>
      </c>
      <c r="R7" s="63">
        <f t="shared" ref="R7:R26" si="2">((K7-D7)/D7)</f>
        <v>8.1375783851474121E-2</v>
      </c>
      <c r="S7" s="63">
        <f t="shared" ref="S7:S26" si="3">((N7-G7)/G7)</f>
        <v>5.2392706520971513E-2</v>
      </c>
      <c r="T7" s="63">
        <f t="shared" ref="T7:T26" si="4">((O7-H7)/H7)</f>
        <v>2.9850746268656716E-2</v>
      </c>
      <c r="U7" s="64">
        <f t="shared" ref="U7:U26" si="5">P7-I7</f>
        <v>-1.6996000000000001E-2</v>
      </c>
      <c r="V7" s="65">
        <f t="shared" ref="V7:V26" si="6">Q7-J7</f>
        <v>6.3499999999999973E-2</v>
      </c>
    </row>
    <row r="8" spans="1:25">
      <c r="A8" s="183">
        <v>3</v>
      </c>
      <c r="B8" s="150" t="s">
        <v>23</v>
      </c>
      <c r="C8" s="149" t="s">
        <v>24</v>
      </c>
      <c r="D8" s="34">
        <v>10005023707.540001</v>
      </c>
      <c r="E8" s="35">
        <f t="shared" si="0"/>
        <v>8.3480143273455099E-2</v>
      </c>
      <c r="F8" s="34">
        <v>60.968000000000004</v>
      </c>
      <c r="G8" s="37">
        <v>62.8063</v>
      </c>
      <c r="H8" s="38">
        <v>8947</v>
      </c>
      <c r="I8" s="59">
        <v>2.8997999999999999</v>
      </c>
      <c r="J8" s="59">
        <v>1.2537</v>
      </c>
      <c r="K8" s="34">
        <v>11154420358.65</v>
      </c>
      <c r="L8" s="35">
        <f t="shared" si="1"/>
        <v>7.9755808025949948E-2</v>
      </c>
      <c r="M8" s="34">
        <v>64.856800000000007</v>
      </c>
      <c r="N8" s="37">
        <v>66.812299999999993</v>
      </c>
      <c r="O8" s="38">
        <v>9087</v>
      </c>
      <c r="P8" s="59">
        <v>3.3258000000000001</v>
      </c>
      <c r="Q8" s="59">
        <v>1.6071</v>
      </c>
      <c r="R8" s="63">
        <f t="shared" si="2"/>
        <v>0.11488195177826402</v>
      </c>
      <c r="S8" s="63">
        <f t="shared" si="3"/>
        <v>6.3783410262983065E-2</v>
      </c>
      <c r="T8" s="63">
        <f t="shared" si="4"/>
        <v>1.5647703140717558E-2</v>
      </c>
      <c r="U8" s="64">
        <f t="shared" si="5"/>
        <v>0.42600000000000016</v>
      </c>
      <c r="V8" s="65">
        <f t="shared" si="6"/>
        <v>0.35339999999999994</v>
      </c>
      <c r="X8" s="66"/>
      <c r="Y8" s="66"/>
    </row>
    <row r="9" spans="1:25">
      <c r="A9" s="183">
        <v>4</v>
      </c>
      <c r="B9" s="150" t="s">
        <v>25</v>
      </c>
      <c r="C9" s="149" t="s">
        <v>26</v>
      </c>
      <c r="D9" s="34">
        <v>1449986823.23</v>
      </c>
      <c r="E9" s="35">
        <f t="shared" si="0"/>
        <v>1.2098432875940136E-2</v>
      </c>
      <c r="F9" s="34">
        <v>293.35680000000002</v>
      </c>
      <c r="G9" s="34">
        <v>293.35680000000002</v>
      </c>
      <c r="H9" s="36">
        <v>2357</v>
      </c>
      <c r="I9" s="58">
        <v>6.1899999999999997E-2</v>
      </c>
      <c r="J9" s="58">
        <v>0.17219999999999999</v>
      </c>
      <c r="K9" s="34">
        <v>1655825483.8800001</v>
      </c>
      <c r="L9" s="35">
        <f t="shared" si="1"/>
        <v>1.1839404932807478E-2</v>
      </c>
      <c r="M9" s="34">
        <v>315.80110000000002</v>
      </c>
      <c r="N9" s="34">
        <v>315.80110000000002</v>
      </c>
      <c r="O9" s="36">
        <v>2378</v>
      </c>
      <c r="P9" s="58">
        <v>7.6499999999999999E-2</v>
      </c>
      <c r="Q9" s="58">
        <v>0.26190000000000002</v>
      </c>
      <c r="R9" s="63">
        <f t="shared" si="2"/>
        <v>0.14195898704201501</v>
      </c>
      <c r="S9" s="63">
        <f t="shared" si="3"/>
        <v>7.6508538407836446E-2</v>
      </c>
      <c r="T9" s="63">
        <f t="shared" si="4"/>
        <v>8.9096308867204072E-3</v>
      </c>
      <c r="U9" s="64">
        <f t="shared" si="5"/>
        <v>1.4600000000000002E-2</v>
      </c>
      <c r="V9" s="65">
        <f t="shared" si="6"/>
        <v>8.970000000000003E-2</v>
      </c>
    </row>
    <row r="10" spans="1:25">
      <c r="A10" s="183">
        <v>5</v>
      </c>
      <c r="B10" s="150" t="s">
        <v>27</v>
      </c>
      <c r="C10" s="149" t="s">
        <v>28</v>
      </c>
      <c r="D10" s="34">
        <v>4215926117.4099998</v>
      </c>
      <c r="E10" s="35">
        <f t="shared" si="0"/>
        <v>3.5176939765415437E-2</v>
      </c>
      <c r="F10" s="34">
        <v>2.1848999999999998</v>
      </c>
      <c r="G10" s="34">
        <v>2.2126000000000001</v>
      </c>
      <c r="H10" s="36">
        <v>1361</v>
      </c>
      <c r="I10" s="58">
        <v>6.0199999999999997E-2</v>
      </c>
      <c r="J10" s="58">
        <v>0.1812</v>
      </c>
      <c r="K10" s="34">
        <v>4871838607.4399996</v>
      </c>
      <c r="L10" s="35">
        <f t="shared" si="1"/>
        <v>3.4834389615510455E-2</v>
      </c>
      <c r="M10" s="34">
        <v>2.3603000000000001</v>
      </c>
      <c r="N10" s="34">
        <v>2.3885999999999998</v>
      </c>
      <c r="O10" s="36">
        <v>1442</v>
      </c>
      <c r="P10" s="58">
        <v>7.9899999999999999E-2</v>
      </c>
      <c r="Q10" s="58">
        <v>0.27560000000000001</v>
      </c>
      <c r="R10" s="63">
        <f t="shared" si="2"/>
        <v>0.15557969275632164</v>
      </c>
      <c r="S10" s="63">
        <f t="shared" si="3"/>
        <v>7.954442737051419E-2</v>
      </c>
      <c r="T10" s="63">
        <f t="shared" si="4"/>
        <v>5.9515062454077887E-2</v>
      </c>
      <c r="U10" s="64">
        <f t="shared" si="5"/>
        <v>1.9700000000000002E-2</v>
      </c>
      <c r="V10" s="65">
        <f t="shared" si="6"/>
        <v>9.4400000000000012E-2</v>
      </c>
    </row>
    <row r="11" spans="1:25">
      <c r="A11" s="183">
        <v>6</v>
      </c>
      <c r="B11" s="150" t="s">
        <v>29</v>
      </c>
      <c r="C11" s="149" t="s">
        <v>30</v>
      </c>
      <c r="D11" s="39">
        <v>492986840.48000002</v>
      </c>
      <c r="E11" s="35">
        <f t="shared" si="0"/>
        <v>4.1133947582936113E-3</v>
      </c>
      <c r="F11" s="34">
        <v>245.45230000000001</v>
      </c>
      <c r="G11" s="34">
        <v>246.87260000000001</v>
      </c>
      <c r="H11" s="38">
        <v>140</v>
      </c>
      <c r="I11" s="59">
        <v>2.1080000000000002E-2</v>
      </c>
      <c r="J11" s="59">
        <v>0.1464</v>
      </c>
      <c r="K11" s="39">
        <v>477599700.30000001</v>
      </c>
      <c r="L11" s="35">
        <f t="shared" si="1"/>
        <v>3.414910751578324E-3</v>
      </c>
      <c r="M11" s="34">
        <v>265.51710000000003</v>
      </c>
      <c r="N11" s="34">
        <v>267.59609999999998</v>
      </c>
      <c r="O11" s="38">
        <v>148</v>
      </c>
      <c r="P11" s="59">
        <v>3.2199999999999999E-2</v>
      </c>
      <c r="Q11" s="59">
        <v>0.24010000000000001</v>
      </c>
      <c r="R11" s="63">
        <f t="shared" si="2"/>
        <v>-3.1212070823266221E-2</v>
      </c>
      <c r="S11" s="63">
        <f t="shared" si="3"/>
        <v>8.3944107203472451E-2</v>
      </c>
      <c r="T11" s="63">
        <f t="shared" si="4"/>
        <v>5.7142857142857141E-2</v>
      </c>
      <c r="U11" s="64">
        <f t="shared" si="5"/>
        <v>1.1119999999999998E-2</v>
      </c>
      <c r="V11" s="65">
        <f t="shared" si="6"/>
        <v>9.3700000000000006E-2</v>
      </c>
    </row>
    <row r="12" spans="1:25">
      <c r="A12" s="183">
        <v>7</v>
      </c>
      <c r="B12" s="150" t="s">
        <v>31</v>
      </c>
      <c r="C12" s="149" t="s">
        <v>32</v>
      </c>
      <c r="D12" s="34">
        <v>4193219536.8800001</v>
      </c>
      <c r="E12" s="35">
        <f t="shared" si="0"/>
        <v>3.4987480084828562E-2</v>
      </c>
      <c r="F12" s="34">
        <v>516.51</v>
      </c>
      <c r="G12" s="34">
        <v>523.69000000000005</v>
      </c>
      <c r="H12" s="38">
        <v>1935</v>
      </c>
      <c r="I12" s="59">
        <v>-3.2800000000000003E-2</v>
      </c>
      <c r="J12" s="59">
        <v>0.1394</v>
      </c>
      <c r="K12" s="34">
        <v>4627364247.9200001</v>
      </c>
      <c r="L12" s="35">
        <f t="shared" si="1"/>
        <v>3.3086360631644544E-2</v>
      </c>
      <c r="M12" s="34">
        <v>556.47</v>
      </c>
      <c r="N12" s="34">
        <v>564.69000000000005</v>
      </c>
      <c r="O12" s="38">
        <v>1948</v>
      </c>
      <c r="P12" s="59">
        <v>-7.22E-2</v>
      </c>
      <c r="Q12" s="59">
        <v>0.22750000000000001</v>
      </c>
      <c r="R12" s="63">
        <f t="shared" si="2"/>
        <v>0.10353493472536593</v>
      </c>
      <c r="S12" s="63">
        <f t="shared" si="3"/>
        <v>7.8290591762302117E-2</v>
      </c>
      <c r="T12" s="63">
        <f t="shared" si="4"/>
        <v>6.7183462532299744E-3</v>
      </c>
      <c r="U12" s="64">
        <f t="shared" si="5"/>
        <v>-3.9399999999999998E-2</v>
      </c>
      <c r="V12" s="65">
        <f t="shared" si="6"/>
        <v>8.8100000000000012E-2</v>
      </c>
    </row>
    <row r="13" spans="1:25">
      <c r="A13" s="183">
        <v>8</v>
      </c>
      <c r="B13" s="150" t="s">
        <v>33</v>
      </c>
      <c r="C13" s="149" t="s">
        <v>34</v>
      </c>
      <c r="D13" s="40">
        <v>577716454.03999996</v>
      </c>
      <c r="E13" s="35">
        <f t="shared" si="0"/>
        <v>4.8203636257599354E-3</v>
      </c>
      <c r="F13" s="34">
        <v>288.56</v>
      </c>
      <c r="G13" s="34">
        <v>301.91000000000003</v>
      </c>
      <c r="H13" s="36">
        <v>2469</v>
      </c>
      <c r="I13" s="58">
        <v>5.4199999999999998E-2</v>
      </c>
      <c r="J13" s="58">
        <v>0.36249999999999999</v>
      </c>
      <c r="K13" s="40">
        <v>599242424.49000001</v>
      </c>
      <c r="L13" s="35">
        <f t="shared" si="1"/>
        <v>4.2846747954560288E-3</v>
      </c>
      <c r="M13" s="34">
        <v>299.31</v>
      </c>
      <c r="N13" s="34">
        <v>313.44</v>
      </c>
      <c r="O13" s="36">
        <v>2469</v>
      </c>
      <c r="P13" s="58">
        <v>3.73E-2</v>
      </c>
      <c r="Q13" s="58">
        <v>0.18440000000000001</v>
      </c>
      <c r="R13" s="63">
        <f t="shared" si="2"/>
        <v>3.7260442037729519E-2</v>
      </c>
      <c r="S13" s="63">
        <f t="shared" si="3"/>
        <v>3.81901891292106E-2</v>
      </c>
      <c r="T13" s="63">
        <f t="shared" si="4"/>
        <v>0</v>
      </c>
      <c r="U13" s="64">
        <f t="shared" si="5"/>
        <v>-1.6899999999999998E-2</v>
      </c>
      <c r="V13" s="65">
        <f t="shared" si="6"/>
        <v>-0.17809999999999998</v>
      </c>
    </row>
    <row r="14" spans="1:25">
      <c r="A14" s="183">
        <v>9</v>
      </c>
      <c r="B14" s="150" t="s">
        <v>35</v>
      </c>
      <c r="C14" s="149" t="s">
        <v>36</v>
      </c>
      <c r="D14" s="39">
        <v>107788626.6495</v>
      </c>
      <c r="E14" s="35">
        <f t="shared" si="0"/>
        <v>8.9936918282042407E-4</v>
      </c>
      <c r="F14" s="34">
        <v>385.52199999999999</v>
      </c>
      <c r="G14" s="34">
        <v>396.60950000000003</v>
      </c>
      <c r="H14" s="36">
        <v>31</v>
      </c>
      <c r="I14" s="58">
        <v>3.61E-2</v>
      </c>
      <c r="J14" s="58">
        <v>0.74229999999999996</v>
      </c>
      <c r="K14" s="39">
        <v>113111348.57799999</v>
      </c>
      <c r="L14" s="35">
        <f t="shared" si="1"/>
        <v>8.0876340613678511E-4</v>
      </c>
      <c r="M14" s="34">
        <v>404.0872</v>
      </c>
      <c r="N14" s="34">
        <v>416.46679999999998</v>
      </c>
      <c r="O14" s="36">
        <v>34</v>
      </c>
      <c r="P14" s="58">
        <v>4.9200000000000001E-2</v>
      </c>
      <c r="Q14" s="58">
        <v>0.27410000000000001</v>
      </c>
      <c r="R14" s="63">
        <f t="shared" si="2"/>
        <v>4.9381109064577614E-2</v>
      </c>
      <c r="S14" s="63">
        <f t="shared" si="3"/>
        <v>5.0067635797932102E-2</v>
      </c>
      <c r="T14" s="63">
        <f t="shared" si="4"/>
        <v>9.6774193548387094E-2</v>
      </c>
      <c r="U14" s="64">
        <f t="shared" si="5"/>
        <v>1.3100000000000001E-2</v>
      </c>
      <c r="V14" s="65">
        <f t="shared" si="6"/>
        <v>-0.46819999999999995</v>
      </c>
    </row>
    <row r="15" spans="1:25" ht="14.25" customHeight="1">
      <c r="A15" s="183">
        <v>10</v>
      </c>
      <c r="B15" s="150" t="s">
        <v>37</v>
      </c>
      <c r="C15" s="149" t="s">
        <v>38</v>
      </c>
      <c r="D15" s="40">
        <v>6125414562.04</v>
      </c>
      <c r="E15" s="35">
        <f t="shared" si="0"/>
        <v>5.1109372670755659E-2</v>
      </c>
      <c r="F15" s="34">
        <v>4.5909750000000003</v>
      </c>
      <c r="G15" s="34">
        <v>4.6171189999999998</v>
      </c>
      <c r="H15" s="36">
        <v>5199</v>
      </c>
      <c r="I15" s="58">
        <v>3.61E-2</v>
      </c>
      <c r="J15" s="58">
        <v>4.2500000000000003E-2</v>
      </c>
      <c r="K15" s="40">
        <v>10778557877.049999</v>
      </c>
      <c r="L15" s="35">
        <f t="shared" si="1"/>
        <v>7.7068333915885578E-2</v>
      </c>
      <c r="M15" s="34">
        <v>5.0726000000000004</v>
      </c>
      <c r="N15" s="34">
        <v>5.1291000000000002</v>
      </c>
      <c r="O15" s="36">
        <v>6058</v>
      </c>
      <c r="P15" s="58">
        <v>0.10489999999999999</v>
      </c>
      <c r="Q15" s="58">
        <v>0.27500000000000002</v>
      </c>
      <c r="R15" s="63">
        <f t="shared" si="2"/>
        <v>0.759645452219045</v>
      </c>
      <c r="S15" s="63">
        <f t="shared" si="3"/>
        <v>0.11088754697463948</v>
      </c>
      <c r="T15" s="63">
        <f t="shared" si="4"/>
        <v>0.16522408155414503</v>
      </c>
      <c r="U15" s="64">
        <f t="shared" si="5"/>
        <v>6.88E-2</v>
      </c>
      <c r="V15" s="65">
        <f t="shared" si="6"/>
        <v>0.23250000000000001</v>
      </c>
    </row>
    <row r="16" spans="1:25" ht="14.25" customHeight="1">
      <c r="A16" s="184">
        <v>11</v>
      </c>
      <c r="B16" s="150" t="s">
        <v>39</v>
      </c>
      <c r="C16" s="149" t="s">
        <v>40</v>
      </c>
      <c r="D16" s="40">
        <v>334624256.06</v>
      </c>
      <c r="E16" s="35">
        <f t="shared" si="0"/>
        <v>2.7920454418923664E-3</v>
      </c>
      <c r="F16" s="34">
        <v>33.51</v>
      </c>
      <c r="G16" s="34">
        <v>33.78</v>
      </c>
      <c r="H16" s="36">
        <v>113</v>
      </c>
      <c r="I16" s="58">
        <v>0.1</v>
      </c>
      <c r="J16" s="58">
        <v>0.27</v>
      </c>
      <c r="K16" s="40">
        <v>362700197.00999999</v>
      </c>
      <c r="L16" s="35">
        <f t="shared" si="1"/>
        <v>2.5933617663307091E-3</v>
      </c>
      <c r="M16" s="34">
        <v>36.29</v>
      </c>
      <c r="N16" s="34">
        <v>36.58</v>
      </c>
      <c r="O16" s="36">
        <v>113</v>
      </c>
      <c r="P16" s="58">
        <v>0.09</v>
      </c>
      <c r="Q16" s="58">
        <v>0.37</v>
      </c>
      <c r="R16" s="63">
        <f t="shared" ref="R16" si="7">((K16-D16)/D16)</f>
        <v>8.3902886421257566E-2</v>
      </c>
      <c r="S16" s="63">
        <f t="shared" ref="S16" si="8">((N16-G16)/G16)</f>
        <v>8.2889283599763081E-2</v>
      </c>
      <c r="T16" s="63">
        <f t="shared" ref="T16" si="9">((O16-H16)/H16)</f>
        <v>0</v>
      </c>
      <c r="U16" s="64">
        <f t="shared" ref="U16" si="10">P16-I16</f>
        <v>-1.0000000000000009E-2</v>
      </c>
      <c r="V16" s="65">
        <f t="shared" ref="V16" si="11">Q16-J16</f>
        <v>9.9999999999999978E-2</v>
      </c>
    </row>
    <row r="17" spans="1:22">
      <c r="A17" s="183">
        <v>12</v>
      </c>
      <c r="B17" s="150" t="s">
        <v>41</v>
      </c>
      <c r="C17" s="149" t="s">
        <v>42</v>
      </c>
      <c r="D17" s="41">
        <v>3341394759.0500002</v>
      </c>
      <c r="E17" s="35">
        <f t="shared" si="0"/>
        <v>2.7880005222621383E-2</v>
      </c>
      <c r="F17" s="34">
        <v>6.58</v>
      </c>
      <c r="G17" s="34">
        <v>6.72</v>
      </c>
      <c r="H17" s="36">
        <v>3737</v>
      </c>
      <c r="I17" s="58">
        <v>9.6100000000000005E-2</v>
      </c>
      <c r="J17" s="58">
        <v>0.18890000000000001</v>
      </c>
      <c r="K17" s="41">
        <v>3569863936</v>
      </c>
      <c r="L17" s="35">
        <f t="shared" si="1"/>
        <v>2.5525071998706433E-2</v>
      </c>
      <c r="M17" s="34">
        <v>7.16</v>
      </c>
      <c r="N17" s="34">
        <v>7.32</v>
      </c>
      <c r="O17" s="36">
        <v>3737</v>
      </c>
      <c r="P17" s="58">
        <v>0.1933</v>
      </c>
      <c r="Q17" s="58">
        <v>0.2944</v>
      </c>
      <c r="R17" s="63">
        <f t="shared" si="2"/>
        <v>6.8375392141620653E-2</v>
      </c>
      <c r="S17" s="63">
        <f t="shared" si="3"/>
        <v>8.9285714285714371E-2</v>
      </c>
      <c r="T17" s="63">
        <f t="shared" si="4"/>
        <v>0</v>
      </c>
      <c r="U17" s="64">
        <f t="shared" si="5"/>
        <v>9.7199999999999995E-2</v>
      </c>
      <c r="V17" s="65">
        <f t="shared" si="6"/>
        <v>0.10549999999999998</v>
      </c>
    </row>
    <row r="18" spans="1:22">
      <c r="A18" s="183">
        <v>13</v>
      </c>
      <c r="B18" s="150" t="s">
        <v>43</v>
      </c>
      <c r="C18" s="149" t="s">
        <v>44</v>
      </c>
      <c r="D18" s="34">
        <v>5522559768.0100002</v>
      </c>
      <c r="E18" s="35">
        <f t="shared" si="0"/>
        <v>4.6079259194783929E-2</v>
      </c>
      <c r="F18" s="34">
        <v>39.82</v>
      </c>
      <c r="G18" s="34">
        <v>39.67</v>
      </c>
      <c r="H18" s="36">
        <v>1448</v>
      </c>
      <c r="I18" s="58">
        <v>0.1527</v>
      </c>
      <c r="J18" s="58">
        <v>0.21940000000000001</v>
      </c>
      <c r="K18" s="34">
        <v>6256227022.2299995</v>
      </c>
      <c r="L18" s="35">
        <f t="shared" si="1"/>
        <v>4.4732978075798992E-2</v>
      </c>
      <c r="M18" s="34">
        <v>42.040982</v>
      </c>
      <c r="N18" s="34">
        <v>42.192025000000001</v>
      </c>
      <c r="O18" s="36">
        <v>1537</v>
      </c>
      <c r="P18" s="58">
        <v>5.5899999999999998E-2</v>
      </c>
      <c r="Q18" s="58">
        <v>0.26400000000000001</v>
      </c>
      <c r="R18" s="63">
        <f t="shared" si="2"/>
        <v>0.13284912885322545</v>
      </c>
      <c r="S18" s="63">
        <f t="shared" si="3"/>
        <v>6.3575119737837138E-2</v>
      </c>
      <c r="T18" s="63">
        <f t="shared" si="4"/>
        <v>6.1464088397790058E-2</v>
      </c>
      <c r="U18" s="64">
        <f t="shared" si="5"/>
        <v>-9.6799999999999997E-2</v>
      </c>
      <c r="V18" s="65">
        <f t="shared" si="6"/>
        <v>4.4600000000000001E-2</v>
      </c>
    </row>
    <row r="19" spans="1:22">
      <c r="A19" s="183">
        <v>14</v>
      </c>
      <c r="B19" s="150" t="s">
        <v>45</v>
      </c>
      <c r="C19" s="149" t="s">
        <v>46</v>
      </c>
      <c r="D19" s="34">
        <v>216543802.47999999</v>
      </c>
      <c r="E19" s="35">
        <f t="shared" si="0"/>
        <v>1.8068030805749979E-3</v>
      </c>
      <c r="F19" s="34">
        <v>2.3284859999999998</v>
      </c>
      <c r="G19" s="34">
        <v>2.4040360000000001</v>
      </c>
      <c r="H19" s="36">
        <v>26</v>
      </c>
      <c r="I19" s="58">
        <v>3.8899999999999997E-2</v>
      </c>
      <c r="J19" s="58">
        <v>0.189</v>
      </c>
      <c r="K19" s="34">
        <v>232123450.31</v>
      </c>
      <c r="L19" s="35">
        <f t="shared" si="1"/>
        <v>1.6597180979367459E-3</v>
      </c>
      <c r="M19" s="34">
        <v>2.4960140000000002</v>
      </c>
      <c r="N19" s="34">
        <v>2.5724870000000002</v>
      </c>
      <c r="O19" s="36">
        <v>26</v>
      </c>
      <c r="P19" s="58">
        <v>-2.0000000000000001E-4</v>
      </c>
      <c r="Q19" s="58">
        <v>0.27339999999999998</v>
      </c>
      <c r="R19" s="63">
        <f t="shared" si="2"/>
        <v>7.1946865491285303E-2</v>
      </c>
      <c r="S19" s="63">
        <f t="shared" si="3"/>
        <v>7.0070082145192558E-2</v>
      </c>
      <c r="T19" s="63">
        <f t="shared" si="4"/>
        <v>0</v>
      </c>
      <c r="U19" s="64">
        <f t="shared" si="5"/>
        <v>-3.9099999999999996E-2</v>
      </c>
      <c r="V19" s="65">
        <f t="shared" si="6"/>
        <v>8.4399999999999975E-2</v>
      </c>
    </row>
    <row r="20" spans="1:22">
      <c r="A20" s="183">
        <v>15</v>
      </c>
      <c r="B20" s="150" t="s">
        <v>47</v>
      </c>
      <c r="C20" s="149" t="s">
        <v>48</v>
      </c>
      <c r="D20" s="142">
        <v>12131644984.690001</v>
      </c>
      <c r="E20" s="35">
        <f t="shared" si="0"/>
        <v>0.10122429402155068</v>
      </c>
      <c r="F20" s="34">
        <v>59.06</v>
      </c>
      <c r="G20" s="34">
        <v>59.18</v>
      </c>
      <c r="H20" s="36">
        <v>15268</v>
      </c>
      <c r="I20" s="58">
        <v>0.10050000000000001</v>
      </c>
      <c r="J20" s="58">
        <v>0.24440000000000001</v>
      </c>
      <c r="K20" s="142">
        <v>13332410171.379999</v>
      </c>
      <c r="L20" s="35">
        <f t="shared" si="1"/>
        <v>9.5328767606217377E-2</v>
      </c>
      <c r="M20" s="34">
        <v>63.42</v>
      </c>
      <c r="N20" s="34">
        <v>63.56</v>
      </c>
      <c r="O20" s="36">
        <v>15486</v>
      </c>
      <c r="P20" s="58">
        <v>9.1800000000000007E-2</v>
      </c>
      <c r="Q20" s="58">
        <v>0.3362</v>
      </c>
      <c r="R20" s="63">
        <f t="shared" si="2"/>
        <v>9.8977936479789086E-2</v>
      </c>
      <c r="S20" s="63">
        <f t="shared" si="3"/>
        <v>7.4011490368367738E-2</v>
      </c>
      <c r="T20" s="63">
        <f t="shared" si="4"/>
        <v>1.4278228975635316E-2</v>
      </c>
      <c r="U20" s="64">
        <f t="shared" si="5"/>
        <v>-8.6999999999999994E-3</v>
      </c>
      <c r="V20" s="65">
        <f t="shared" si="6"/>
        <v>9.1799999999999993E-2</v>
      </c>
    </row>
    <row r="21" spans="1:22" ht="12.75" customHeight="1">
      <c r="A21" s="183">
        <v>16</v>
      </c>
      <c r="B21" s="150" t="s">
        <v>49</v>
      </c>
      <c r="C21" s="149" t="s">
        <v>50</v>
      </c>
      <c r="D21" s="34">
        <v>2772417166.1599998</v>
      </c>
      <c r="E21" s="35">
        <f t="shared" si="0"/>
        <v>2.3132557104327864E-2</v>
      </c>
      <c r="F21" s="34">
        <v>14709.33</v>
      </c>
      <c r="G21" s="34">
        <v>14868.44</v>
      </c>
      <c r="H21" s="36">
        <v>49</v>
      </c>
      <c r="I21" s="58">
        <v>5.33E-2</v>
      </c>
      <c r="J21" s="58">
        <v>0.15609999999999999</v>
      </c>
      <c r="K21" s="34">
        <v>3254179056.3299999</v>
      </c>
      <c r="L21" s="35">
        <f t="shared" si="1"/>
        <v>2.3267876927146224E-2</v>
      </c>
      <c r="M21" s="34">
        <v>15572.96</v>
      </c>
      <c r="N21" s="34">
        <v>15740.22</v>
      </c>
      <c r="O21" s="36">
        <v>52</v>
      </c>
      <c r="P21" s="58">
        <v>5.8599999999999999E-2</v>
      </c>
      <c r="Q21" s="58">
        <v>0.2238</v>
      </c>
      <c r="R21" s="63">
        <f t="shared" si="2"/>
        <v>0.17376962458982154</v>
      </c>
      <c r="S21" s="63">
        <f t="shared" si="3"/>
        <v>5.8632916432389597E-2</v>
      </c>
      <c r="T21" s="63">
        <f t="shared" si="4"/>
        <v>6.1224489795918366E-2</v>
      </c>
      <c r="U21" s="64">
        <f t="shared" si="5"/>
        <v>5.2999999999999992E-3</v>
      </c>
      <c r="V21" s="65">
        <f t="shared" si="6"/>
        <v>6.770000000000001E-2</v>
      </c>
    </row>
    <row r="22" spans="1:22">
      <c r="A22" s="183">
        <v>17</v>
      </c>
      <c r="B22" s="150" t="s">
        <v>51</v>
      </c>
      <c r="C22" s="149" t="s">
        <v>50</v>
      </c>
      <c r="D22" s="34">
        <v>36523897040.989998</v>
      </c>
      <c r="E22" s="35">
        <f t="shared" si="0"/>
        <v>0.30474891884453614</v>
      </c>
      <c r="F22" s="34">
        <v>49762.38</v>
      </c>
      <c r="G22" s="34">
        <v>50418.5</v>
      </c>
      <c r="H22" s="36">
        <v>22802</v>
      </c>
      <c r="I22" s="58">
        <v>5.62E-2</v>
      </c>
      <c r="J22" s="58">
        <v>0.16500000000000001</v>
      </c>
      <c r="K22" s="34">
        <v>42419009333.550003</v>
      </c>
      <c r="L22" s="35">
        <f t="shared" si="1"/>
        <v>0.30330239100537643</v>
      </c>
      <c r="M22" s="34">
        <v>54098.48</v>
      </c>
      <c r="N22" s="34">
        <v>54811.29</v>
      </c>
      <c r="O22" s="36">
        <v>23514</v>
      </c>
      <c r="P22" s="58">
        <v>8.7099999999999997E-2</v>
      </c>
      <c r="Q22" s="58">
        <v>0.26650000000000001</v>
      </c>
      <c r="R22" s="63">
        <f t="shared" si="2"/>
        <v>0.16140425228841396</v>
      </c>
      <c r="S22" s="63">
        <f t="shared" si="3"/>
        <v>8.7126550770054656E-2</v>
      </c>
      <c r="T22" s="63">
        <f t="shared" si="4"/>
        <v>3.1225331111306025E-2</v>
      </c>
      <c r="U22" s="64">
        <f t="shared" si="5"/>
        <v>3.0899999999999997E-2</v>
      </c>
      <c r="V22" s="65">
        <f t="shared" si="6"/>
        <v>0.10150000000000001</v>
      </c>
    </row>
    <row r="23" spans="1:22">
      <c r="A23" s="184">
        <v>18</v>
      </c>
      <c r="B23" s="149" t="s">
        <v>52</v>
      </c>
      <c r="C23" s="149" t="s">
        <v>53</v>
      </c>
      <c r="D23" s="34">
        <v>8894081855.6900005</v>
      </c>
      <c r="E23" s="35">
        <f t="shared" si="0"/>
        <v>7.421064150395669E-2</v>
      </c>
      <c r="F23" s="34">
        <v>2.2469999999999999</v>
      </c>
      <c r="G23" s="42">
        <v>2.2694000000000001</v>
      </c>
      <c r="H23" s="36">
        <v>7095</v>
      </c>
      <c r="I23" s="58">
        <v>6.4699999999999994E-2</v>
      </c>
      <c r="J23" s="58">
        <v>0.16889999999999999</v>
      </c>
      <c r="K23" s="34">
        <v>10076655668.82</v>
      </c>
      <c r="L23" s="35">
        <f t="shared" si="1"/>
        <v>7.2049625998071604E-2</v>
      </c>
      <c r="M23" s="34">
        <v>2.4222999999999999</v>
      </c>
      <c r="N23" s="42">
        <v>2.4462000000000002</v>
      </c>
      <c r="O23" s="36">
        <v>7203</v>
      </c>
      <c r="P23" s="58">
        <v>7.8E-2</v>
      </c>
      <c r="Q23" s="58">
        <v>0.2601</v>
      </c>
      <c r="R23" s="63">
        <f t="shared" ref="R23:R24" si="12">((K23-D23)/D23)</f>
        <v>0.13296187648345578</v>
      </c>
      <c r="S23" s="63">
        <f t="shared" ref="S23:S24" si="13">((N23-G23)/G23)</f>
        <v>7.7906054463734942E-2</v>
      </c>
      <c r="T23" s="63">
        <f t="shared" ref="T23:T24" si="14">((O23-H23)/H23)</f>
        <v>1.5221987315010571E-2</v>
      </c>
      <c r="U23" s="64">
        <f t="shared" ref="U23:U24" si="15">P23-I23</f>
        <v>1.3300000000000006E-2</v>
      </c>
      <c r="V23" s="65">
        <f t="shared" ref="V23:V24" si="16">Q23-J23</f>
        <v>9.1200000000000003E-2</v>
      </c>
    </row>
    <row r="24" spans="1:22">
      <c r="A24" s="184">
        <v>19</v>
      </c>
      <c r="B24" s="150" t="s">
        <v>328</v>
      </c>
      <c r="C24" s="149" t="s">
        <v>125</v>
      </c>
      <c r="D24" s="34">
        <v>755588786.69000006</v>
      </c>
      <c r="E24" s="35">
        <f t="shared" si="0"/>
        <v>6.3044988210434099E-3</v>
      </c>
      <c r="F24" s="34">
        <v>1.33</v>
      </c>
      <c r="G24" s="42">
        <v>1.35</v>
      </c>
      <c r="H24" s="36">
        <v>362</v>
      </c>
      <c r="I24" s="58">
        <v>9.7699999999999995E-2</v>
      </c>
      <c r="J24" s="58">
        <v>0.3125</v>
      </c>
      <c r="K24" s="34">
        <v>1054735767.49</v>
      </c>
      <c r="L24" s="35">
        <f t="shared" si="1"/>
        <v>7.5415217183205097E-3</v>
      </c>
      <c r="M24" s="34">
        <v>1.46</v>
      </c>
      <c r="N24" s="42">
        <v>1.46</v>
      </c>
      <c r="O24" s="36">
        <v>475</v>
      </c>
      <c r="P24" s="58">
        <v>9.3600000000000003E-2</v>
      </c>
      <c r="Q24" s="58">
        <v>0.43519999999999998</v>
      </c>
      <c r="R24" s="63">
        <f t="shared" si="12"/>
        <v>0.39591241435764291</v>
      </c>
      <c r="S24" s="63">
        <f t="shared" si="13"/>
        <v>8.1481481481481391E-2</v>
      </c>
      <c r="T24" s="63">
        <f t="shared" si="14"/>
        <v>0.31215469613259667</v>
      </c>
      <c r="U24" s="64">
        <f t="shared" si="15"/>
        <v>-4.0999999999999925E-3</v>
      </c>
      <c r="V24" s="65">
        <f t="shared" si="16"/>
        <v>0.12269999999999998</v>
      </c>
    </row>
    <row r="25" spans="1:22">
      <c r="A25" s="183">
        <v>20</v>
      </c>
      <c r="B25" s="149" t="s">
        <v>54</v>
      </c>
      <c r="C25" s="149" t="s">
        <v>55</v>
      </c>
      <c r="D25" s="34">
        <v>13496485779.209999</v>
      </c>
      <c r="E25" s="35">
        <f>(D25/$D$26)</f>
        <v>0.11261228353587041</v>
      </c>
      <c r="F25" s="34">
        <v>270.17</v>
      </c>
      <c r="G25" s="42">
        <v>274.58</v>
      </c>
      <c r="H25" s="36">
        <v>92</v>
      </c>
      <c r="I25" s="58">
        <v>0.1079</v>
      </c>
      <c r="J25" s="58">
        <v>0.2787</v>
      </c>
      <c r="K25" s="34">
        <v>14811838995.280001</v>
      </c>
      <c r="L25" s="35">
        <f t="shared" si="1"/>
        <v>0.10590690949733989</v>
      </c>
      <c r="M25" s="34">
        <v>286.02999999999997</v>
      </c>
      <c r="N25" s="42">
        <v>290.86</v>
      </c>
      <c r="O25" s="36">
        <v>98</v>
      </c>
      <c r="P25" s="58">
        <v>7.17E-2</v>
      </c>
      <c r="Q25" s="58">
        <v>0.35410000000000003</v>
      </c>
      <c r="R25" s="63">
        <f t="shared" si="2"/>
        <v>9.7458941356139764E-2</v>
      </c>
      <c r="S25" s="63">
        <f t="shared" si="3"/>
        <v>5.9290552844344202E-2</v>
      </c>
      <c r="T25" s="63">
        <f t="shared" si="4"/>
        <v>6.5217391304347824E-2</v>
      </c>
      <c r="U25" s="64">
        <f t="shared" si="5"/>
        <v>-3.6199999999999996E-2</v>
      </c>
      <c r="V25" s="65">
        <f t="shared" si="6"/>
        <v>7.5400000000000023E-2</v>
      </c>
    </row>
    <row r="26" spans="1:22">
      <c r="A26" s="43"/>
      <c r="B26" s="44"/>
      <c r="C26" s="45" t="s">
        <v>56</v>
      </c>
      <c r="D26" s="46">
        <f>SUM(D6:D25)</f>
        <v>119849143942.72949</v>
      </c>
      <c r="E26" s="47">
        <f>(D26/$D$233)</f>
        <v>1.4657740150150171E-2</v>
      </c>
      <c r="F26" s="48"/>
      <c r="G26" s="49"/>
      <c r="H26" s="50">
        <f>SUM(H6:H25)</f>
        <v>75796</v>
      </c>
      <c r="I26" s="60"/>
      <c r="J26" s="36">
        <v>0</v>
      </c>
      <c r="K26" s="46">
        <f>SUM(K6:K25)</f>
        <v>139857154415.89801</v>
      </c>
      <c r="L26" s="47">
        <f>(K26/$K$233)</f>
        <v>1.7034943197251264E-2</v>
      </c>
      <c r="M26" s="48"/>
      <c r="N26" s="49"/>
      <c r="O26" s="50">
        <f>SUM(O6:O25)</f>
        <v>78190</v>
      </c>
      <c r="P26" s="60"/>
      <c r="Q26" s="50"/>
      <c r="R26" s="63">
        <f t="shared" si="2"/>
        <v>0.16694329066488323</v>
      </c>
      <c r="S26" s="63" t="e">
        <f t="shared" si="3"/>
        <v>#DIV/0!</v>
      </c>
      <c r="T26" s="63">
        <f t="shared" si="4"/>
        <v>3.1584780199482819E-2</v>
      </c>
      <c r="U26" s="64">
        <f t="shared" si="5"/>
        <v>0</v>
      </c>
      <c r="V26" s="65">
        <f t="shared" si="6"/>
        <v>0</v>
      </c>
    </row>
    <row r="27" spans="1:22" ht="4.5" customHeight="1">
      <c r="A27" s="43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</row>
    <row r="28" spans="1:22" ht="15" customHeight="1">
      <c r="A28" s="196" t="s">
        <v>57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</row>
    <row r="29" spans="1:22">
      <c r="A29" s="181">
        <v>21</v>
      </c>
      <c r="B29" s="150" t="s">
        <v>58</v>
      </c>
      <c r="C29" s="149" t="s">
        <v>20</v>
      </c>
      <c r="D29" s="52">
        <v>6257454379.1499996</v>
      </c>
      <c r="E29" s="35">
        <f t="shared" ref="E29:E34" si="17">(D29/$K$73)</f>
        <v>1.1867043029746313E-3</v>
      </c>
      <c r="F29" s="42">
        <v>100</v>
      </c>
      <c r="G29" s="42">
        <v>100</v>
      </c>
      <c r="H29" s="36">
        <v>908</v>
      </c>
      <c r="I29" s="58">
        <v>0.15049999999999999</v>
      </c>
      <c r="J29" s="58">
        <v>0.15049999999999999</v>
      </c>
      <c r="K29" s="52">
        <v>6096224936.6000004</v>
      </c>
      <c r="L29" s="35">
        <f t="shared" ref="L29:L34" si="18">(K29/$K$73)</f>
        <v>1.1561277039861021E-3</v>
      </c>
      <c r="M29" s="42">
        <v>100</v>
      </c>
      <c r="N29" s="42">
        <v>100</v>
      </c>
      <c r="O29" s="36">
        <v>908</v>
      </c>
      <c r="P29" s="58">
        <v>0.1472</v>
      </c>
      <c r="Q29" s="58">
        <v>0.1472</v>
      </c>
      <c r="R29" s="63">
        <f>((K29-D29)/D29)</f>
        <v>-2.5765979706894857E-2</v>
      </c>
      <c r="S29" s="63">
        <f>((N29-G29)/G29)</f>
        <v>0</v>
      </c>
      <c r="T29" s="63">
        <f>((O29-H29)/H29)</f>
        <v>0</v>
      </c>
      <c r="U29" s="63">
        <f>P29-I29</f>
        <v>-3.2999999999999974E-3</v>
      </c>
      <c r="V29" s="110">
        <f>Q29-J29</f>
        <v>-3.2999999999999974E-3</v>
      </c>
    </row>
    <row r="30" spans="1:22">
      <c r="A30" s="181">
        <v>22</v>
      </c>
      <c r="B30" s="150" t="s">
        <v>59</v>
      </c>
      <c r="C30" s="149" t="s">
        <v>60</v>
      </c>
      <c r="D30" s="52">
        <v>37141823175.309998</v>
      </c>
      <c r="E30" s="35">
        <f t="shared" si="17"/>
        <v>7.0438166563909499E-3</v>
      </c>
      <c r="F30" s="42">
        <v>100</v>
      </c>
      <c r="G30" s="42">
        <v>100</v>
      </c>
      <c r="H30" s="36">
        <v>4268</v>
      </c>
      <c r="I30" s="58">
        <v>0.17003699999999999</v>
      </c>
      <c r="J30" s="58">
        <v>0.17003699999999999</v>
      </c>
      <c r="K30" s="52">
        <v>37633275193.860001</v>
      </c>
      <c r="L30" s="35">
        <f t="shared" si="18"/>
        <v>7.1370188101393048E-3</v>
      </c>
      <c r="M30" s="42">
        <v>100</v>
      </c>
      <c r="N30" s="42">
        <v>100</v>
      </c>
      <c r="O30" s="36">
        <v>4323</v>
      </c>
      <c r="P30" s="58">
        <v>0.17943400000000001</v>
      </c>
      <c r="Q30" s="58">
        <v>0.17943400000000001</v>
      </c>
      <c r="R30" s="63">
        <f t="shared" ref="R30:R73" si="19">((K30-D30)/D30)</f>
        <v>1.3231768839950094E-2</v>
      </c>
      <c r="S30" s="63">
        <f t="shared" ref="S30:S73" si="20">((N30-G30)/G30)</f>
        <v>0</v>
      </c>
      <c r="T30" s="63">
        <f t="shared" ref="T30:T73" si="21">((O30-H30)/H30)</f>
        <v>1.2886597938144329E-2</v>
      </c>
      <c r="U30" s="64">
        <f t="shared" ref="U30:U73" si="22">P30-I30</f>
        <v>9.3970000000000165E-3</v>
      </c>
      <c r="V30" s="65">
        <f t="shared" ref="V30:V73" si="23">Q30-J30</f>
        <v>9.3970000000000165E-3</v>
      </c>
    </row>
    <row r="31" spans="1:22">
      <c r="A31" s="181">
        <v>23</v>
      </c>
      <c r="B31" s="150" t="s">
        <v>61</v>
      </c>
      <c r="C31" s="149" t="s">
        <v>22</v>
      </c>
      <c r="D31" s="52">
        <v>3541999595.3800001</v>
      </c>
      <c r="E31" s="35">
        <f t="shared" si="17"/>
        <v>6.7172781554386942E-4</v>
      </c>
      <c r="F31" s="42">
        <v>100</v>
      </c>
      <c r="G31" s="42">
        <v>100</v>
      </c>
      <c r="H31" s="36">
        <v>2417</v>
      </c>
      <c r="I31" s="58">
        <v>0.17319999999999999</v>
      </c>
      <c r="J31" s="58">
        <v>0.17319999999999999</v>
      </c>
      <c r="K31" s="52">
        <v>3526022749.1399999</v>
      </c>
      <c r="L31" s="35">
        <f t="shared" si="18"/>
        <v>6.6869786262177587E-4</v>
      </c>
      <c r="M31" s="42">
        <v>100</v>
      </c>
      <c r="N31" s="42">
        <v>100</v>
      </c>
      <c r="O31" s="36">
        <v>2429</v>
      </c>
      <c r="P31" s="58">
        <v>0.1749</v>
      </c>
      <c r="Q31" s="58">
        <v>0.1749</v>
      </c>
      <c r="R31" s="63">
        <f t="shared" si="19"/>
        <v>-4.5106855068079666E-3</v>
      </c>
      <c r="S31" s="63">
        <f t="shared" si="20"/>
        <v>0</v>
      </c>
      <c r="T31" s="63">
        <f t="shared" si="21"/>
        <v>4.9648324369052548E-3</v>
      </c>
      <c r="U31" s="64">
        <f t="shared" si="22"/>
        <v>1.7000000000000071E-3</v>
      </c>
      <c r="V31" s="65">
        <f t="shared" si="23"/>
        <v>1.7000000000000071E-3</v>
      </c>
    </row>
    <row r="32" spans="1:22">
      <c r="A32" s="181">
        <v>24</v>
      </c>
      <c r="B32" s="150" t="s">
        <v>62</v>
      </c>
      <c r="C32" s="149" t="s">
        <v>24</v>
      </c>
      <c r="D32" s="52">
        <v>367953050815.85999</v>
      </c>
      <c r="E32" s="35">
        <f t="shared" si="17"/>
        <v>6.9781007137784054E-2</v>
      </c>
      <c r="F32" s="42">
        <v>1</v>
      </c>
      <c r="G32" s="42">
        <v>1</v>
      </c>
      <c r="H32" s="36">
        <v>80448</v>
      </c>
      <c r="I32" s="58">
        <v>0.17760000000000001</v>
      </c>
      <c r="J32" s="58">
        <v>0.17760000000000001</v>
      </c>
      <c r="K32" s="52">
        <v>370003058334.51001</v>
      </c>
      <c r="L32" s="35">
        <f t="shared" si="18"/>
        <v>7.016978388246449E-2</v>
      </c>
      <c r="M32" s="42">
        <v>1</v>
      </c>
      <c r="N32" s="42">
        <v>1</v>
      </c>
      <c r="O32" s="36">
        <v>80739</v>
      </c>
      <c r="P32" s="58">
        <v>0.17469999999999999</v>
      </c>
      <c r="Q32" s="58">
        <v>0.17469999999999999</v>
      </c>
      <c r="R32" s="63">
        <f t="shared" si="19"/>
        <v>5.5713833982475635E-3</v>
      </c>
      <c r="S32" s="63">
        <f t="shared" si="20"/>
        <v>0</v>
      </c>
      <c r="T32" s="63">
        <f t="shared" si="21"/>
        <v>3.6172434367541767E-3</v>
      </c>
      <c r="U32" s="64">
        <f t="shared" si="22"/>
        <v>-2.9000000000000137E-3</v>
      </c>
      <c r="V32" s="65">
        <f t="shared" si="23"/>
        <v>-2.9000000000000137E-3</v>
      </c>
    </row>
    <row r="33" spans="1:22">
      <c r="A33" s="181">
        <v>25</v>
      </c>
      <c r="B33" s="150" t="s">
        <v>63</v>
      </c>
      <c r="C33" s="149" t="s">
        <v>64</v>
      </c>
      <c r="D33" s="52">
        <v>2341125694.1300001</v>
      </c>
      <c r="E33" s="35">
        <f t="shared" si="17"/>
        <v>4.4398628686541537E-4</v>
      </c>
      <c r="F33" s="42">
        <v>1</v>
      </c>
      <c r="G33" s="42">
        <v>1</v>
      </c>
      <c r="H33" s="36">
        <v>300</v>
      </c>
      <c r="I33" s="58">
        <v>0.16200000000000001</v>
      </c>
      <c r="J33" s="58">
        <v>0.16200000000000001</v>
      </c>
      <c r="K33" s="52">
        <v>2250143312.9899998</v>
      </c>
      <c r="L33" s="35">
        <f t="shared" si="18"/>
        <v>4.2673179699594506E-4</v>
      </c>
      <c r="M33" s="42">
        <v>1</v>
      </c>
      <c r="N33" s="42">
        <v>1</v>
      </c>
      <c r="O33" s="36">
        <v>300</v>
      </c>
      <c r="P33" s="58">
        <v>0.16500000000000001</v>
      </c>
      <c r="Q33" s="58">
        <v>0.16500000000000001</v>
      </c>
      <c r="R33" s="63">
        <f t="shared" si="19"/>
        <v>-3.8862663960386311E-2</v>
      </c>
      <c r="S33" s="63">
        <f t="shared" si="20"/>
        <v>0</v>
      </c>
      <c r="T33" s="63">
        <f t="shared" si="21"/>
        <v>0</v>
      </c>
      <c r="U33" s="64">
        <f t="shared" si="22"/>
        <v>3.0000000000000027E-3</v>
      </c>
      <c r="V33" s="65">
        <f t="shared" si="23"/>
        <v>3.0000000000000027E-3</v>
      </c>
    </row>
    <row r="34" spans="1:22">
      <c r="A34" s="181">
        <v>26</v>
      </c>
      <c r="B34" s="150" t="s">
        <v>65</v>
      </c>
      <c r="C34" s="149" t="s">
        <v>26</v>
      </c>
      <c r="D34" s="52">
        <v>168630312633.89001</v>
      </c>
      <c r="E34" s="35">
        <f t="shared" si="17"/>
        <v>3.1980148074491871E-2</v>
      </c>
      <c r="F34" s="42">
        <v>1</v>
      </c>
      <c r="G34" s="42">
        <v>1</v>
      </c>
      <c r="H34" s="36">
        <v>38717</v>
      </c>
      <c r="I34" s="58">
        <v>0.16300000000000001</v>
      </c>
      <c r="J34" s="58">
        <v>0.16300000000000001</v>
      </c>
      <c r="K34" s="52">
        <v>169544138613.63</v>
      </c>
      <c r="L34" s="35">
        <f t="shared" si="18"/>
        <v>3.2153451970392551E-2</v>
      </c>
      <c r="M34" s="42">
        <v>1</v>
      </c>
      <c r="N34" s="42">
        <v>1</v>
      </c>
      <c r="O34" s="36">
        <v>38801</v>
      </c>
      <c r="P34" s="58">
        <v>0.16120000000000001</v>
      </c>
      <c r="Q34" s="58">
        <v>0.16120000000000001</v>
      </c>
      <c r="R34" s="63">
        <f t="shared" si="19"/>
        <v>5.4191086137874867E-3</v>
      </c>
      <c r="S34" s="63">
        <f t="shared" si="20"/>
        <v>0</v>
      </c>
      <c r="T34" s="63">
        <f t="shared" si="21"/>
        <v>2.1695895859699874E-3</v>
      </c>
      <c r="U34" s="64">
        <f t="shared" si="22"/>
        <v>-1.799999999999996E-3</v>
      </c>
      <c r="V34" s="65">
        <f t="shared" si="23"/>
        <v>-1.799999999999996E-3</v>
      </c>
    </row>
    <row r="35" spans="1:22">
      <c r="A35" s="181">
        <v>27</v>
      </c>
      <c r="B35" s="150" t="s">
        <v>66</v>
      </c>
      <c r="C35" s="149" t="s">
        <v>28</v>
      </c>
      <c r="D35" s="34">
        <v>19584075426.360001</v>
      </c>
      <c r="E35" s="35">
        <f t="shared" ref="E35" si="24">(D35/$D$26)</f>
        <v>0.16340605182560461</v>
      </c>
      <c r="F35" s="34">
        <v>1</v>
      </c>
      <c r="G35" s="34">
        <v>1</v>
      </c>
      <c r="H35" s="36">
        <v>1652</v>
      </c>
      <c r="I35" s="58">
        <v>0.1744</v>
      </c>
      <c r="J35" s="58">
        <v>0.1744</v>
      </c>
      <c r="K35" s="34">
        <v>19174776227.360001</v>
      </c>
      <c r="L35" s="35">
        <f t="shared" ref="L35" si="25">(K35/$K$26)</f>
        <v>0.1371025766071238</v>
      </c>
      <c r="M35" s="34">
        <v>1</v>
      </c>
      <c r="N35" s="34">
        <v>1</v>
      </c>
      <c r="O35" s="36">
        <v>1642</v>
      </c>
      <c r="P35" s="58">
        <v>0.18060000000000001</v>
      </c>
      <c r="Q35" s="58">
        <v>0.18060000000000001</v>
      </c>
      <c r="R35" s="63">
        <f t="shared" si="19"/>
        <v>-2.0899592658282284E-2</v>
      </c>
      <c r="S35" s="63">
        <f t="shared" si="20"/>
        <v>0</v>
      </c>
      <c r="T35" s="63">
        <f t="shared" si="21"/>
        <v>-6.0532687651331718E-3</v>
      </c>
      <c r="U35" s="64">
        <f t="shared" si="22"/>
        <v>6.2000000000000111E-3</v>
      </c>
      <c r="V35" s="65">
        <f t="shared" si="23"/>
        <v>6.2000000000000111E-3</v>
      </c>
    </row>
    <row r="36" spans="1:22" ht="15" customHeight="1">
      <c r="A36" s="181">
        <v>28</v>
      </c>
      <c r="B36" s="150" t="s">
        <v>67</v>
      </c>
      <c r="C36" s="149" t="s">
        <v>48</v>
      </c>
      <c r="D36" s="52">
        <v>38053367709.900002</v>
      </c>
      <c r="E36" s="35">
        <f>(D36/$K$73)</f>
        <v>7.2166878842108966E-3</v>
      </c>
      <c r="F36" s="42">
        <v>100</v>
      </c>
      <c r="G36" s="42">
        <v>100</v>
      </c>
      <c r="H36" s="36">
        <v>12552</v>
      </c>
      <c r="I36" s="58">
        <v>0.17699999999999999</v>
      </c>
      <c r="J36" s="58">
        <v>0.17699999999999999</v>
      </c>
      <c r="K36" s="52">
        <v>39902322219.82</v>
      </c>
      <c r="L36" s="35">
        <f t="shared" ref="L36:L50" si="26">(K36/$K$73)</f>
        <v>7.5673356300797944E-3</v>
      </c>
      <c r="M36" s="42">
        <v>100</v>
      </c>
      <c r="N36" s="42">
        <v>100</v>
      </c>
      <c r="O36" s="36">
        <v>12810</v>
      </c>
      <c r="P36" s="58">
        <v>0.18160000000000001</v>
      </c>
      <c r="Q36" s="58">
        <v>0.18160000000000001</v>
      </c>
      <c r="R36" s="63">
        <f t="shared" si="19"/>
        <v>4.8588459345188843E-2</v>
      </c>
      <c r="S36" s="63">
        <f t="shared" si="20"/>
        <v>0</v>
      </c>
      <c r="T36" s="63">
        <f t="shared" si="21"/>
        <v>2.0554493307839389E-2</v>
      </c>
      <c r="U36" s="64">
        <f t="shared" si="22"/>
        <v>4.6000000000000207E-3</v>
      </c>
      <c r="V36" s="65">
        <f t="shared" si="23"/>
        <v>4.6000000000000207E-3</v>
      </c>
    </row>
    <row r="37" spans="1:22" ht="15" customHeight="1">
      <c r="A37" s="181">
        <v>29</v>
      </c>
      <c r="B37" s="150" t="s">
        <v>68</v>
      </c>
      <c r="C37" s="149" t="s">
        <v>69</v>
      </c>
      <c r="D37" s="52">
        <v>2774042986.3000002</v>
      </c>
      <c r="E37" s="35">
        <f>(D37/$K$73)</f>
        <v>5.260875348045256E-4</v>
      </c>
      <c r="F37" s="42">
        <v>1</v>
      </c>
      <c r="G37" s="42">
        <v>1</v>
      </c>
      <c r="H37" s="36">
        <v>654</v>
      </c>
      <c r="I37" s="58">
        <v>0.15540000000000001</v>
      </c>
      <c r="J37" s="58">
        <v>0.15540000000000001</v>
      </c>
      <c r="K37" s="52">
        <v>2617089692.54</v>
      </c>
      <c r="L37" s="35">
        <f t="shared" si="26"/>
        <v>4.9632189245455533E-4</v>
      </c>
      <c r="M37" s="42">
        <v>1</v>
      </c>
      <c r="N37" s="42">
        <v>1</v>
      </c>
      <c r="O37" s="36">
        <v>665</v>
      </c>
      <c r="P37" s="58">
        <v>0.15540000000000001</v>
      </c>
      <c r="Q37" s="58">
        <v>0.15540000000000001</v>
      </c>
      <c r="R37" s="63">
        <f t="shared" si="19"/>
        <v>-5.6579257976583655E-2</v>
      </c>
      <c r="S37" s="63">
        <f t="shared" si="20"/>
        <v>0</v>
      </c>
      <c r="T37" s="63">
        <f t="shared" si="21"/>
        <v>1.6819571865443424E-2</v>
      </c>
      <c r="U37" s="64">
        <f t="shared" si="22"/>
        <v>0</v>
      </c>
      <c r="V37" s="65">
        <f t="shared" si="23"/>
        <v>0</v>
      </c>
    </row>
    <row r="38" spans="1:22">
      <c r="A38" s="181">
        <v>30</v>
      </c>
      <c r="B38" s="150" t="s">
        <v>70</v>
      </c>
      <c r="C38" s="149" t="s">
        <v>71</v>
      </c>
      <c r="D38" s="52">
        <v>89470829239.830002</v>
      </c>
      <c r="E38" s="35">
        <f>(D38/$K$73)</f>
        <v>1.6967829346610015E-2</v>
      </c>
      <c r="F38" s="42">
        <v>100</v>
      </c>
      <c r="G38" s="42">
        <v>100</v>
      </c>
      <c r="H38" s="36">
        <v>5782</v>
      </c>
      <c r="I38" s="58">
        <v>0.16320000000000001</v>
      </c>
      <c r="J38" s="58">
        <v>0.16320000000000001</v>
      </c>
      <c r="K38" s="52">
        <v>90324555037.679993</v>
      </c>
      <c r="L38" s="35">
        <f t="shared" si="26"/>
        <v>1.7129735453547811E-2</v>
      </c>
      <c r="M38" s="42">
        <v>100</v>
      </c>
      <c r="N38" s="42">
        <v>100</v>
      </c>
      <c r="O38" s="36">
        <v>5803</v>
      </c>
      <c r="P38" s="58">
        <v>0.16439999999999999</v>
      </c>
      <c r="Q38" s="58">
        <v>0.16439999999999999</v>
      </c>
      <c r="R38" s="63">
        <f t="shared" si="19"/>
        <v>9.5419457392257531E-3</v>
      </c>
      <c r="S38" s="63">
        <f t="shared" si="20"/>
        <v>0</v>
      </c>
      <c r="T38" s="63">
        <f t="shared" si="21"/>
        <v>3.6319612590799033E-3</v>
      </c>
      <c r="U38" s="64">
        <f t="shared" si="22"/>
        <v>1.1999999999999789E-3</v>
      </c>
      <c r="V38" s="65">
        <f t="shared" si="23"/>
        <v>1.1999999999999789E-3</v>
      </c>
    </row>
    <row r="39" spans="1:22">
      <c r="A39" s="181">
        <v>31</v>
      </c>
      <c r="B39" s="150" t="s">
        <v>72</v>
      </c>
      <c r="C39" s="149" t="s">
        <v>73</v>
      </c>
      <c r="D39" s="52">
        <v>40471286117.32</v>
      </c>
      <c r="E39" s="35">
        <f>(D39/$K$73)</f>
        <v>7.6752376401448179E-3</v>
      </c>
      <c r="F39" s="42">
        <v>100</v>
      </c>
      <c r="G39" s="42">
        <v>100</v>
      </c>
      <c r="H39" s="36">
        <v>5718</v>
      </c>
      <c r="I39" s="58">
        <v>0.1613</v>
      </c>
      <c r="J39" s="58">
        <v>0.1613</v>
      </c>
      <c r="K39" s="52">
        <v>39004389817.389999</v>
      </c>
      <c r="L39" s="35">
        <f t="shared" si="26"/>
        <v>7.3970458954403266E-3</v>
      </c>
      <c r="M39" s="42">
        <v>100</v>
      </c>
      <c r="N39" s="42">
        <v>100</v>
      </c>
      <c r="O39" s="36">
        <v>5747</v>
      </c>
      <c r="P39" s="58">
        <v>0.16420000000000001</v>
      </c>
      <c r="Q39" s="58">
        <v>0.16420000000000001</v>
      </c>
      <c r="R39" s="63">
        <f t="shared" si="19"/>
        <v>-3.624535913382379E-2</v>
      </c>
      <c r="S39" s="63">
        <f t="shared" si="20"/>
        <v>0</v>
      </c>
      <c r="T39" s="63">
        <f t="shared" si="21"/>
        <v>5.0717033927946834E-3</v>
      </c>
      <c r="U39" s="64">
        <f t="shared" si="22"/>
        <v>2.9000000000000137E-3</v>
      </c>
      <c r="V39" s="65">
        <f t="shared" si="23"/>
        <v>2.9000000000000137E-3</v>
      </c>
    </row>
    <row r="40" spans="1:22">
      <c r="A40" s="181">
        <v>32</v>
      </c>
      <c r="B40" s="150" t="s">
        <v>74</v>
      </c>
      <c r="C40" s="149" t="s">
        <v>75</v>
      </c>
      <c r="D40" s="52">
        <v>79167058151.960007</v>
      </c>
      <c r="E40" s="35">
        <f>(D40/$K$73)</f>
        <v>1.5013755254183012E-2</v>
      </c>
      <c r="F40" s="42">
        <v>1</v>
      </c>
      <c r="G40" s="42">
        <v>1</v>
      </c>
      <c r="H40" s="36">
        <v>14860</v>
      </c>
      <c r="I40" s="58">
        <v>0.16200000000000001</v>
      </c>
      <c r="J40" s="58">
        <v>0.16200000000000001</v>
      </c>
      <c r="K40" s="52">
        <v>74693000444.169998</v>
      </c>
      <c r="L40" s="35">
        <f t="shared" si="26"/>
        <v>1.4165265882645247E-2</v>
      </c>
      <c r="M40" s="42">
        <v>1</v>
      </c>
      <c r="N40" s="42">
        <v>1</v>
      </c>
      <c r="O40" s="36">
        <v>15068</v>
      </c>
      <c r="P40" s="58">
        <v>0.16839999999999999</v>
      </c>
      <c r="Q40" s="58">
        <v>0.16839999999999999</v>
      </c>
      <c r="R40" s="63">
        <f t="shared" si="19"/>
        <v>-5.6514133684267012E-2</v>
      </c>
      <c r="S40" s="63">
        <f t="shared" si="20"/>
        <v>0</v>
      </c>
      <c r="T40" s="63">
        <f t="shared" si="21"/>
        <v>1.3997308209959623E-2</v>
      </c>
      <c r="U40" s="64">
        <f t="shared" si="22"/>
        <v>6.399999999999989E-3</v>
      </c>
      <c r="V40" s="65">
        <f t="shared" si="23"/>
        <v>6.399999999999989E-3</v>
      </c>
    </row>
    <row r="41" spans="1:22">
      <c r="A41" s="181">
        <v>33</v>
      </c>
      <c r="B41" s="150" t="s">
        <v>76</v>
      </c>
      <c r="C41" s="149" t="s">
        <v>77</v>
      </c>
      <c r="D41" s="52">
        <v>834310294.62</v>
      </c>
      <c r="E41" s="35">
        <v>0</v>
      </c>
      <c r="F41" s="42">
        <v>1000</v>
      </c>
      <c r="G41" s="42">
        <v>1000</v>
      </c>
      <c r="H41" s="36">
        <v>68</v>
      </c>
      <c r="I41" s="58">
        <v>0.18709999999999999</v>
      </c>
      <c r="J41" s="58">
        <v>0.18709999999999999</v>
      </c>
      <c r="K41" s="52">
        <v>840155377.69000006</v>
      </c>
      <c r="L41" s="35">
        <f t="shared" si="26"/>
        <v>1.5933252429200007E-4</v>
      </c>
      <c r="M41" s="42">
        <v>1000</v>
      </c>
      <c r="N41" s="42">
        <v>1000</v>
      </c>
      <c r="O41" s="36">
        <v>71</v>
      </c>
      <c r="P41" s="58">
        <v>0.19520000000000001</v>
      </c>
      <c r="Q41" s="58">
        <v>0.19520000000000001</v>
      </c>
      <c r="R41" s="63">
        <f t="shared" si="19"/>
        <v>7.0058863083575984E-3</v>
      </c>
      <c r="S41" s="63">
        <f t="shared" si="20"/>
        <v>0</v>
      </c>
      <c r="T41" s="63">
        <f t="shared" si="21"/>
        <v>4.4117647058823532E-2</v>
      </c>
      <c r="U41" s="64">
        <f t="shared" si="22"/>
        <v>8.1000000000000238E-3</v>
      </c>
      <c r="V41" s="65">
        <f t="shared" si="23"/>
        <v>8.1000000000000238E-3</v>
      </c>
    </row>
    <row r="42" spans="1:22">
      <c r="A42" s="181">
        <v>34</v>
      </c>
      <c r="B42" s="150" t="s">
        <v>78</v>
      </c>
      <c r="C42" s="149" t="s">
        <v>79</v>
      </c>
      <c r="D42" s="52">
        <v>88290601542.389999</v>
      </c>
      <c r="E42" s="35">
        <f t="shared" ref="E42:E50" si="27">(D42/$K$73)</f>
        <v>1.6744003298159921E-2</v>
      </c>
      <c r="F42" s="53">
        <v>100</v>
      </c>
      <c r="G42" s="53">
        <v>100</v>
      </c>
      <c r="H42" s="36">
        <v>4546</v>
      </c>
      <c r="I42" s="58">
        <v>0.1575</v>
      </c>
      <c r="J42" s="58">
        <v>0.1575</v>
      </c>
      <c r="K42" s="52">
        <v>86150350899.169998</v>
      </c>
      <c r="L42" s="35">
        <f t="shared" si="26"/>
        <v>1.6338112261028874E-2</v>
      </c>
      <c r="M42" s="53">
        <v>100</v>
      </c>
      <c r="N42" s="53">
        <v>100</v>
      </c>
      <c r="O42" s="36">
        <v>4776</v>
      </c>
      <c r="P42" s="58">
        <v>0.15509999999999999</v>
      </c>
      <c r="Q42" s="58">
        <v>0.15509999999999999</v>
      </c>
      <c r="R42" s="63">
        <f t="shared" si="19"/>
        <v>-2.4240979286933799E-2</v>
      </c>
      <c r="S42" s="63">
        <f t="shared" si="20"/>
        <v>0</v>
      </c>
      <c r="T42" s="63">
        <f t="shared" si="21"/>
        <v>5.0593928728552576E-2</v>
      </c>
      <c r="U42" s="64">
        <f t="shared" si="22"/>
        <v>-2.4000000000000132E-3</v>
      </c>
      <c r="V42" s="65">
        <f t="shared" si="23"/>
        <v>-2.4000000000000132E-3</v>
      </c>
    </row>
    <row r="43" spans="1:22">
      <c r="A43" s="181">
        <v>35</v>
      </c>
      <c r="B43" s="150" t="s">
        <v>80</v>
      </c>
      <c r="C43" s="149" t="s">
        <v>79</v>
      </c>
      <c r="D43" s="52">
        <v>9368400961.7000008</v>
      </c>
      <c r="E43" s="35">
        <f t="shared" si="27"/>
        <v>1.7766844246256009E-3</v>
      </c>
      <c r="F43" s="53">
        <v>1000000</v>
      </c>
      <c r="G43" s="53">
        <v>1000000</v>
      </c>
      <c r="H43" s="36">
        <v>45</v>
      </c>
      <c r="I43" s="58">
        <v>0.1583</v>
      </c>
      <c r="J43" s="58">
        <v>0.1583</v>
      </c>
      <c r="K43" s="52">
        <v>8699411845.6900005</v>
      </c>
      <c r="L43" s="35">
        <f t="shared" si="26"/>
        <v>1.6498129822611898E-3</v>
      </c>
      <c r="M43" s="53">
        <v>1000000</v>
      </c>
      <c r="N43" s="53">
        <v>1000000</v>
      </c>
      <c r="O43" s="36">
        <v>43</v>
      </c>
      <c r="P43" s="58">
        <v>0.15870000000000001</v>
      </c>
      <c r="Q43" s="58">
        <v>0.15870000000000001</v>
      </c>
      <c r="R43" s="63">
        <f t="shared" si="19"/>
        <v>-7.1409103724847905E-2</v>
      </c>
      <c r="S43" s="63">
        <f t="shared" si="20"/>
        <v>0</v>
      </c>
      <c r="T43" s="63">
        <f t="shared" si="21"/>
        <v>-4.4444444444444446E-2</v>
      </c>
      <c r="U43" s="64">
        <f t="shared" si="22"/>
        <v>4.0000000000001146E-4</v>
      </c>
      <c r="V43" s="65">
        <f t="shared" si="23"/>
        <v>4.0000000000001146E-4</v>
      </c>
    </row>
    <row r="44" spans="1:22">
      <c r="A44" s="181">
        <v>36</v>
      </c>
      <c r="B44" s="150" t="s">
        <v>81</v>
      </c>
      <c r="C44" s="149" t="s">
        <v>82</v>
      </c>
      <c r="D44" s="52">
        <v>7505139203.71</v>
      </c>
      <c r="E44" s="35">
        <f t="shared" si="27"/>
        <v>1.4233233592789022E-3</v>
      </c>
      <c r="F44" s="42">
        <v>1</v>
      </c>
      <c r="G44" s="42">
        <v>1</v>
      </c>
      <c r="H44" s="36">
        <v>1147</v>
      </c>
      <c r="I44" s="58">
        <v>0.18010000000000001</v>
      </c>
      <c r="J44" s="58">
        <v>0.18010000000000001</v>
      </c>
      <c r="K44" s="52">
        <v>7810437417.1300001</v>
      </c>
      <c r="L44" s="35">
        <f t="shared" si="26"/>
        <v>1.4812220959861437E-3</v>
      </c>
      <c r="M44" s="42">
        <v>1</v>
      </c>
      <c r="N44" s="42">
        <v>1</v>
      </c>
      <c r="O44" s="36">
        <v>1161</v>
      </c>
      <c r="P44" s="58">
        <v>0.18010000000000001</v>
      </c>
      <c r="Q44" s="58">
        <v>0.18010000000000001</v>
      </c>
      <c r="R44" s="63">
        <f t="shared" si="19"/>
        <v>4.0678554405637495E-2</v>
      </c>
      <c r="S44" s="63">
        <f t="shared" si="20"/>
        <v>0</v>
      </c>
      <c r="T44" s="63">
        <f t="shared" si="21"/>
        <v>1.2205754141238012E-2</v>
      </c>
      <c r="U44" s="64">
        <f t="shared" si="22"/>
        <v>0</v>
      </c>
      <c r="V44" s="65">
        <f t="shared" si="23"/>
        <v>0</v>
      </c>
    </row>
    <row r="45" spans="1:22">
      <c r="A45" s="181">
        <v>37</v>
      </c>
      <c r="B45" s="150" t="s">
        <v>83</v>
      </c>
      <c r="C45" s="149" t="s">
        <v>84</v>
      </c>
      <c r="D45" s="52">
        <v>740261173268.95996</v>
      </c>
      <c r="E45" s="35">
        <f t="shared" si="27"/>
        <v>0.14038793835563745</v>
      </c>
      <c r="F45" s="42">
        <v>100</v>
      </c>
      <c r="G45" s="42">
        <v>100</v>
      </c>
      <c r="H45" s="36">
        <v>33118</v>
      </c>
      <c r="I45" s="58">
        <v>0.16389999999999999</v>
      </c>
      <c r="J45" s="58">
        <v>0.16389999999999999</v>
      </c>
      <c r="K45" s="52">
        <v>741288308920.29004</v>
      </c>
      <c r="L45" s="35">
        <f t="shared" si="26"/>
        <v>0.14058273103382837</v>
      </c>
      <c r="M45" s="42">
        <v>100</v>
      </c>
      <c r="N45" s="42">
        <v>100</v>
      </c>
      <c r="O45" s="36">
        <v>33106</v>
      </c>
      <c r="P45" s="58">
        <v>0.16350000000000001</v>
      </c>
      <c r="Q45" s="58">
        <v>0.16350000000000001</v>
      </c>
      <c r="R45" s="63">
        <f t="shared" si="19"/>
        <v>1.3875314394706038E-3</v>
      </c>
      <c r="S45" s="63">
        <f t="shared" si="20"/>
        <v>0</v>
      </c>
      <c r="T45" s="63">
        <f t="shared" si="21"/>
        <v>-3.623407210580349E-4</v>
      </c>
      <c r="U45" s="64">
        <f t="shared" si="22"/>
        <v>-3.999999999999837E-4</v>
      </c>
      <c r="V45" s="65">
        <f t="shared" si="23"/>
        <v>-3.999999999999837E-4</v>
      </c>
    </row>
    <row r="46" spans="1:22">
      <c r="A46" s="181">
        <v>38</v>
      </c>
      <c r="B46" s="150" t="s">
        <v>85</v>
      </c>
      <c r="C46" s="149" t="s">
        <v>86</v>
      </c>
      <c r="D46" s="52">
        <v>4917823345.0900002</v>
      </c>
      <c r="E46" s="35">
        <f t="shared" si="27"/>
        <v>9.3264797012873298E-4</v>
      </c>
      <c r="F46" s="42">
        <v>1</v>
      </c>
      <c r="G46" s="42">
        <v>1</v>
      </c>
      <c r="H46" s="54">
        <v>1991</v>
      </c>
      <c r="I46" s="61">
        <v>0.1757</v>
      </c>
      <c r="J46" s="61">
        <v>0.1757</v>
      </c>
      <c r="K46" s="52">
        <v>5084274207.79</v>
      </c>
      <c r="L46" s="35">
        <f t="shared" si="26"/>
        <v>9.6421479315793432E-4</v>
      </c>
      <c r="M46" s="42">
        <v>1</v>
      </c>
      <c r="N46" s="42">
        <v>1</v>
      </c>
      <c r="O46" s="54">
        <v>2016</v>
      </c>
      <c r="P46" s="61">
        <v>0.17660000000000001</v>
      </c>
      <c r="Q46" s="61">
        <v>0.17660000000000001</v>
      </c>
      <c r="R46" s="63">
        <f t="shared" si="19"/>
        <v>3.3846450150794023E-2</v>
      </c>
      <c r="S46" s="63">
        <f t="shared" si="20"/>
        <v>0</v>
      </c>
      <c r="T46" s="63">
        <f t="shared" si="21"/>
        <v>1.2556504269211451E-2</v>
      </c>
      <c r="U46" s="64">
        <f t="shared" si="22"/>
        <v>9.000000000000119E-4</v>
      </c>
      <c r="V46" s="65">
        <f t="shared" si="23"/>
        <v>9.000000000000119E-4</v>
      </c>
    </row>
    <row r="47" spans="1:22">
      <c r="A47" s="181">
        <v>39</v>
      </c>
      <c r="B47" s="150" t="s">
        <v>87</v>
      </c>
      <c r="C47" s="149" t="s">
        <v>88</v>
      </c>
      <c r="D47" s="52">
        <v>4054907152.7399998</v>
      </c>
      <c r="E47" s="35">
        <f t="shared" si="27"/>
        <v>7.6899893706821037E-4</v>
      </c>
      <c r="F47" s="42">
        <v>1</v>
      </c>
      <c r="G47" s="42">
        <v>1</v>
      </c>
      <c r="H47" s="54">
        <v>579</v>
      </c>
      <c r="I47" s="61">
        <v>0.1651</v>
      </c>
      <c r="J47" s="61">
        <v>0.1653</v>
      </c>
      <c r="K47" s="52">
        <v>4135897308.2199998</v>
      </c>
      <c r="L47" s="35">
        <f t="shared" si="26"/>
        <v>7.8435843634429715E-4</v>
      </c>
      <c r="M47" s="42">
        <v>1</v>
      </c>
      <c r="N47" s="42">
        <v>1</v>
      </c>
      <c r="O47" s="54">
        <v>619</v>
      </c>
      <c r="P47" s="61">
        <v>0.1628</v>
      </c>
      <c r="Q47" s="61">
        <v>0.1628</v>
      </c>
      <c r="R47" s="63">
        <f t="shared" si="19"/>
        <v>1.9973368668940544E-2</v>
      </c>
      <c r="S47" s="63">
        <f t="shared" si="20"/>
        <v>0</v>
      </c>
      <c r="T47" s="63">
        <f t="shared" si="21"/>
        <v>6.9084628670120898E-2</v>
      </c>
      <c r="U47" s="64">
        <f t="shared" si="22"/>
        <v>-2.2999999999999965E-3</v>
      </c>
      <c r="V47" s="65">
        <f t="shared" si="23"/>
        <v>-2.5000000000000022E-3</v>
      </c>
    </row>
    <row r="48" spans="1:22">
      <c r="A48" s="181">
        <v>40</v>
      </c>
      <c r="B48" s="150" t="s">
        <v>89</v>
      </c>
      <c r="C48" s="149" t="s">
        <v>90</v>
      </c>
      <c r="D48" s="52">
        <v>7400914.2199999997</v>
      </c>
      <c r="E48" s="35">
        <f t="shared" si="27"/>
        <v>1.4035574562212247E-6</v>
      </c>
      <c r="F48" s="42">
        <v>1</v>
      </c>
      <c r="G48" s="42">
        <v>1</v>
      </c>
      <c r="H48" s="54">
        <v>21</v>
      </c>
      <c r="I48" s="61">
        <v>0.105</v>
      </c>
      <c r="J48" s="61">
        <v>0.105</v>
      </c>
      <c r="K48" s="52">
        <v>7400914.2199999997</v>
      </c>
      <c r="L48" s="35">
        <f t="shared" si="26"/>
        <v>1.4035574562212247E-6</v>
      </c>
      <c r="M48" s="42">
        <v>1</v>
      </c>
      <c r="N48" s="42">
        <v>1</v>
      </c>
      <c r="O48" s="54">
        <v>21</v>
      </c>
      <c r="P48" s="61">
        <v>0.105</v>
      </c>
      <c r="Q48" s="61">
        <v>0.105</v>
      </c>
      <c r="R48" s="63">
        <f t="shared" si="19"/>
        <v>0</v>
      </c>
      <c r="S48" s="63">
        <f t="shared" si="20"/>
        <v>0</v>
      </c>
      <c r="T48" s="63">
        <f t="shared" si="21"/>
        <v>0</v>
      </c>
      <c r="U48" s="64">
        <f t="shared" si="22"/>
        <v>0</v>
      </c>
      <c r="V48" s="65">
        <f t="shared" si="23"/>
        <v>0</v>
      </c>
    </row>
    <row r="49" spans="1:22">
      <c r="A49" s="181">
        <v>41</v>
      </c>
      <c r="B49" s="150" t="s">
        <v>91</v>
      </c>
      <c r="C49" s="149" t="s">
        <v>92</v>
      </c>
      <c r="D49" s="52">
        <v>1876406246.1199999</v>
      </c>
      <c r="E49" s="35">
        <f t="shared" si="27"/>
        <v>3.5585387147505737E-4</v>
      </c>
      <c r="F49" s="42">
        <v>10</v>
      </c>
      <c r="G49" s="42">
        <v>10</v>
      </c>
      <c r="H49" s="36">
        <v>570</v>
      </c>
      <c r="I49" s="58">
        <v>0.16819999999999999</v>
      </c>
      <c r="J49" s="58">
        <v>0.16819999999999999</v>
      </c>
      <c r="K49" s="52">
        <v>1911451493.78</v>
      </c>
      <c r="L49" s="35">
        <f t="shared" si="26"/>
        <v>3.6250007992933027E-4</v>
      </c>
      <c r="M49" s="42">
        <v>10</v>
      </c>
      <c r="N49" s="42">
        <v>10</v>
      </c>
      <c r="O49" s="36">
        <v>570</v>
      </c>
      <c r="P49" s="58">
        <v>0.16500000000000001</v>
      </c>
      <c r="Q49" s="58">
        <v>0.16500000000000001</v>
      </c>
      <c r="R49" s="63">
        <f t="shared" si="19"/>
        <v>1.8676791197250617E-2</v>
      </c>
      <c r="S49" s="63">
        <f t="shared" si="20"/>
        <v>0</v>
      </c>
      <c r="T49" s="63">
        <f t="shared" si="21"/>
        <v>0</v>
      </c>
      <c r="U49" s="64">
        <f t="shared" si="22"/>
        <v>-3.1999999999999806E-3</v>
      </c>
      <c r="V49" s="65">
        <f t="shared" si="23"/>
        <v>-3.1999999999999806E-3</v>
      </c>
    </row>
    <row r="50" spans="1:22">
      <c r="A50" s="181">
        <v>42</v>
      </c>
      <c r="B50" s="150" t="s">
        <v>93</v>
      </c>
      <c r="C50" s="149" t="s">
        <v>94</v>
      </c>
      <c r="D50" s="52">
        <v>10818833512.93</v>
      </c>
      <c r="E50" s="35">
        <f t="shared" si="27"/>
        <v>2.0517538770620921E-3</v>
      </c>
      <c r="F50" s="42">
        <v>100</v>
      </c>
      <c r="G50" s="42">
        <v>100</v>
      </c>
      <c r="H50" s="36">
        <v>1032</v>
      </c>
      <c r="I50" s="58">
        <v>0.1855</v>
      </c>
      <c r="J50" s="58">
        <v>0.1855</v>
      </c>
      <c r="K50" s="52">
        <v>10577452200.950001</v>
      </c>
      <c r="L50" s="35">
        <f t="shared" si="26"/>
        <v>2.0059767568103197E-3</v>
      </c>
      <c r="M50" s="42">
        <v>100</v>
      </c>
      <c r="N50" s="42">
        <v>100</v>
      </c>
      <c r="O50" s="36">
        <v>1038</v>
      </c>
      <c r="P50" s="58">
        <v>0.18720000000000001</v>
      </c>
      <c r="Q50" s="58">
        <v>0.18720000000000001</v>
      </c>
      <c r="R50" s="63">
        <f t="shared" si="19"/>
        <v>-2.2311214207290975E-2</v>
      </c>
      <c r="S50" s="63">
        <f t="shared" si="20"/>
        <v>0</v>
      </c>
      <c r="T50" s="63">
        <f t="shared" si="21"/>
        <v>5.8139534883720929E-3</v>
      </c>
      <c r="U50" s="64">
        <f t="shared" si="22"/>
        <v>1.7000000000000071E-3</v>
      </c>
      <c r="V50" s="65">
        <f t="shared" si="23"/>
        <v>1.7000000000000071E-3</v>
      </c>
    </row>
    <row r="51" spans="1:22">
      <c r="A51" s="181">
        <v>43</v>
      </c>
      <c r="B51" s="150" t="s">
        <v>95</v>
      </c>
      <c r="C51" s="150" t="s">
        <v>96</v>
      </c>
      <c r="D51" s="55">
        <v>215377410.44</v>
      </c>
      <c r="E51" s="35">
        <v>0</v>
      </c>
      <c r="F51" s="34">
        <v>1</v>
      </c>
      <c r="G51" s="34">
        <v>1</v>
      </c>
      <c r="H51" s="36">
        <v>140</v>
      </c>
      <c r="I51" s="58">
        <v>0.1537</v>
      </c>
      <c r="J51" s="58">
        <v>0.1537</v>
      </c>
      <c r="K51" s="55">
        <v>216935176.80000001</v>
      </c>
      <c r="L51" s="62">
        <f>(K51/$K$198)</f>
        <v>1.9365252756285446E-3</v>
      </c>
      <c r="M51" s="34">
        <v>1</v>
      </c>
      <c r="N51" s="34">
        <v>1</v>
      </c>
      <c r="O51" s="36">
        <v>140</v>
      </c>
      <c r="P51" s="58">
        <v>0.15670000000000001</v>
      </c>
      <c r="Q51" s="58">
        <v>0.15670000000000001</v>
      </c>
      <c r="R51" s="64">
        <f t="shared" si="19"/>
        <v>7.2327286172566277E-3</v>
      </c>
      <c r="S51" s="64">
        <f t="shared" si="20"/>
        <v>0</v>
      </c>
      <c r="T51" s="64">
        <f t="shared" si="21"/>
        <v>0</v>
      </c>
      <c r="U51" s="64">
        <f t="shared" si="22"/>
        <v>3.0000000000000027E-3</v>
      </c>
      <c r="V51" s="65">
        <f t="shared" si="23"/>
        <v>3.0000000000000027E-3</v>
      </c>
    </row>
    <row r="52" spans="1:22">
      <c r="A52" s="181">
        <v>44</v>
      </c>
      <c r="B52" s="150" t="s">
        <v>97</v>
      </c>
      <c r="C52" s="149" t="s">
        <v>38</v>
      </c>
      <c r="D52" s="52">
        <v>1978968003.23</v>
      </c>
      <c r="E52" s="35">
        <f t="shared" ref="E52:E72" si="28">(D52/$K$73)</f>
        <v>3.7530434943437236E-4</v>
      </c>
      <c r="F52" s="42">
        <v>100</v>
      </c>
      <c r="G52" s="42">
        <v>100</v>
      </c>
      <c r="H52" s="36">
        <v>7516</v>
      </c>
      <c r="I52" s="58">
        <v>0.1542</v>
      </c>
      <c r="J52" s="58">
        <v>0.1542</v>
      </c>
      <c r="K52" s="52">
        <v>2071774093.9300001</v>
      </c>
      <c r="L52" s="35">
        <f t="shared" ref="L52:L64" si="29">(K52/$K$73)</f>
        <v>3.9290469943339289E-4</v>
      </c>
      <c r="M52" s="42">
        <v>100</v>
      </c>
      <c r="N52" s="42">
        <v>100</v>
      </c>
      <c r="O52" s="36">
        <v>7599</v>
      </c>
      <c r="P52" s="58">
        <v>0.14849999999999999</v>
      </c>
      <c r="Q52" s="58">
        <v>0.14849999999999999</v>
      </c>
      <c r="R52" s="63">
        <f t="shared" ref="R52" si="30">((K52-D52)/D52)</f>
        <v>4.689620577418397E-2</v>
      </c>
      <c r="S52" s="63">
        <f t="shared" ref="S52" si="31">((N52-G52)/G52)</f>
        <v>0</v>
      </c>
      <c r="T52" s="63">
        <f t="shared" ref="T52" si="32">((O52-H52)/H52)</f>
        <v>1.1043108036189462E-2</v>
      </c>
      <c r="U52" s="64">
        <f t="shared" ref="U52" si="33">P52-I52</f>
        <v>-5.7000000000000106E-3</v>
      </c>
      <c r="V52" s="65">
        <f t="shared" ref="V52" si="34">Q52-J52</f>
        <v>-5.7000000000000106E-3</v>
      </c>
    </row>
    <row r="53" spans="1:22">
      <c r="A53" s="181">
        <v>45</v>
      </c>
      <c r="B53" s="150" t="s">
        <v>98</v>
      </c>
      <c r="C53" s="149" t="s">
        <v>38</v>
      </c>
      <c r="D53" s="52">
        <v>323806056916.08002</v>
      </c>
      <c r="E53" s="35">
        <f t="shared" si="28"/>
        <v>6.1408684392799028E-2</v>
      </c>
      <c r="F53" s="42">
        <v>100</v>
      </c>
      <c r="G53" s="42">
        <v>100</v>
      </c>
      <c r="H53" s="36">
        <v>31857</v>
      </c>
      <c r="I53" s="58">
        <v>0.17599999999999999</v>
      </c>
      <c r="J53" s="58">
        <v>0.17599999999999999</v>
      </c>
      <c r="K53" s="52">
        <v>331293164115.94</v>
      </c>
      <c r="L53" s="35">
        <f t="shared" si="29"/>
        <v>6.2828588045714368E-2</v>
      </c>
      <c r="M53" s="42">
        <v>100</v>
      </c>
      <c r="N53" s="42">
        <v>100</v>
      </c>
      <c r="O53" s="36">
        <v>32825</v>
      </c>
      <c r="P53" s="58">
        <v>0.17710000000000001</v>
      </c>
      <c r="Q53" s="58">
        <v>0.17710000000000001</v>
      </c>
      <c r="R53" s="63">
        <f t="shared" si="19"/>
        <v>2.3122196265156335E-2</v>
      </c>
      <c r="S53" s="63">
        <f t="shared" si="20"/>
        <v>0</v>
      </c>
      <c r="T53" s="63">
        <f t="shared" si="21"/>
        <v>3.0385786483347457E-2</v>
      </c>
      <c r="U53" s="64">
        <f t="shared" si="22"/>
        <v>1.1000000000000176E-3</v>
      </c>
      <c r="V53" s="65">
        <f t="shared" si="23"/>
        <v>1.1000000000000176E-3</v>
      </c>
    </row>
    <row r="54" spans="1:22">
      <c r="A54" s="181">
        <v>46</v>
      </c>
      <c r="B54" s="150" t="s">
        <v>99</v>
      </c>
      <c r="C54" s="149" t="s">
        <v>42</v>
      </c>
      <c r="D54" s="52">
        <v>54136969566.709999</v>
      </c>
      <c r="E54" s="35">
        <f t="shared" si="28"/>
        <v>1.0266886635064573E-2</v>
      </c>
      <c r="F54" s="42">
        <v>1</v>
      </c>
      <c r="G54" s="42">
        <v>1</v>
      </c>
      <c r="H54" s="36">
        <v>3243</v>
      </c>
      <c r="I54" s="58">
        <v>0.1656</v>
      </c>
      <c r="J54" s="58">
        <v>0.1656</v>
      </c>
      <c r="K54" s="52">
        <v>54484601985.010002</v>
      </c>
      <c r="L54" s="35">
        <f t="shared" si="29"/>
        <v>1.0332813905429446E-2</v>
      </c>
      <c r="M54" s="42">
        <v>1</v>
      </c>
      <c r="N54" s="42">
        <v>1</v>
      </c>
      <c r="O54" s="36">
        <v>3273</v>
      </c>
      <c r="P54" s="58">
        <v>0.1656</v>
      </c>
      <c r="Q54" s="58">
        <v>0.1656</v>
      </c>
      <c r="R54" s="63">
        <f t="shared" si="19"/>
        <v>6.4213497926150966E-3</v>
      </c>
      <c r="S54" s="63">
        <f t="shared" si="20"/>
        <v>0</v>
      </c>
      <c r="T54" s="63">
        <f t="shared" si="21"/>
        <v>9.2506938020351526E-3</v>
      </c>
      <c r="U54" s="64">
        <f t="shared" si="22"/>
        <v>0</v>
      </c>
      <c r="V54" s="65">
        <f t="shared" si="23"/>
        <v>0</v>
      </c>
    </row>
    <row r="55" spans="1:22">
      <c r="A55" s="181">
        <v>47</v>
      </c>
      <c r="B55" s="150" t="s">
        <v>100</v>
      </c>
      <c r="C55" s="149" t="s">
        <v>101</v>
      </c>
      <c r="D55" s="52">
        <v>5412553944.2290001</v>
      </c>
      <c r="E55" s="35">
        <f t="shared" si="28"/>
        <v>1.0264718952008353E-3</v>
      </c>
      <c r="F55" s="42">
        <v>100</v>
      </c>
      <c r="G55" s="42">
        <v>100</v>
      </c>
      <c r="H55" s="36">
        <v>930</v>
      </c>
      <c r="I55" s="58">
        <v>0.17069999999999999</v>
      </c>
      <c r="J55" s="58">
        <v>0.17069999999999999</v>
      </c>
      <c r="K55" s="52">
        <v>5443949981.3540001</v>
      </c>
      <c r="L55" s="35">
        <f t="shared" si="29"/>
        <v>1.0324260436604283E-3</v>
      </c>
      <c r="M55" s="42">
        <v>100</v>
      </c>
      <c r="N55" s="42">
        <v>100</v>
      </c>
      <c r="O55" s="36">
        <v>941</v>
      </c>
      <c r="P55" s="58">
        <v>0.16980000000000001</v>
      </c>
      <c r="Q55" s="58">
        <v>0.16980000000000001</v>
      </c>
      <c r="R55" s="63">
        <f t="shared" si="19"/>
        <v>5.8005956981685581E-3</v>
      </c>
      <c r="S55" s="63">
        <f t="shared" si="20"/>
        <v>0</v>
      </c>
      <c r="T55" s="63">
        <f t="shared" si="21"/>
        <v>1.1827956989247311E-2</v>
      </c>
      <c r="U55" s="64">
        <f t="shared" si="22"/>
        <v>-8.9999999999998415E-4</v>
      </c>
      <c r="V55" s="65">
        <f t="shared" si="23"/>
        <v>-8.9999999999998415E-4</v>
      </c>
    </row>
    <row r="56" spans="1:22">
      <c r="A56" s="181">
        <v>48</v>
      </c>
      <c r="B56" s="150" t="s">
        <v>102</v>
      </c>
      <c r="C56" s="149" t="s">
        <v>44</v>
      </c>
      <c r="D56" s="56">
        <v>101162316767.55</v>
      </c>
      <c r="E56" s="35">
        <f t="shared" si="28"/>
        <v>1.9185079000646522E-2</v>
      </c>
      <c r="F56" s="42">
        <v>10</v>
      </c>
      <c r="G56" s="42">
        <v>10</v>
      </c>
      <c r="H56" s="36">
        <v>9560</v>
      </c>
      <c r="I56" s="58">
        <v>0.1835</v>
      </c>
      <c r="J56" s="58">
        <v>0.1835</v>
      </c>
      <c r="K56" s="56">
        <v>100432709278.78</v>
      </c>
      <c r="L56" s="35">
        <f t="shared" si="29"/>
        <v>1.9046711496235966E-2</v>
      </c>
      <c r="M56" s="42">
        <v>10</v>
      </c>
      <c r="N56" s="42">
        <v>10</v>
      </c>
      <c r="O56" s="36">
        <v>9675</v>
      </c>
      <c r="P56" s="58">
        <v>0.1865</v>
      </c>
      <c r="Q56" s="58">
        <v>0.1865</v>
      </c>
      <c r="R56" s="63">
        <f t="shared" si="19"/>
        <v>-7.2122457460764835E-3</v>
      </c>
      <c r="S56" s="63">
        <f t="shared" si="20"/>
        <v>0</v>
      </c>
      <c r="T56" s="63">
        <f t="shared" si="21"/>
        <v>1.202928870292887E-2</v>
      </c>
      <c r="U56" s="64">
        <f t="shared" si="22"/>
        <v>3.0000000000000027E-3</v>
      </c>
      <c r="V56" s="65">
        <f t="shared" si="23"/>
        <v>3.0000000000000027E-3</v>
      </c>
    </row>
    <row r="57" spans="1:22">
      <c r="A57" s="181">
        <v>49</v>
      </c>
      <c r="B57" s="150" t="s">
        <v>103</v>
      </c>
      <c r="C57" s="149" t="s">
        <v>104</v>
      </c>
      <c r="D57" s="52">
        <v>38819304418</v>
      </c>
      <c r="E57" s="35">
        <f t="shared" si="28"/>
        <v>7.3619450978051511E-3</v>
      </c>
      <c r="F57" s="42">
        <v>100</v>
      </c>
      <c r="G57" s="42">
        <v>100</v>
      </c>
      <c r="H57" s="36">
        <v>5832</v>
      </c>
      <c r="I57" s="58">
        <v>0.1762</v>
      </c>
      <c r="J57" s="58">
        <v>0.1762</v>
      </c>
      <c r="K57" s="52">
        <v>39255167567</v>
      </c>
      <c r="L57" s="35">
        <f t="shared" si="29"/>
        <v>7.4446050171726548E-3</v>
      </c>
      <c r="M57" s="42">
        <v>100</v>
      </c>
      <c r="N57" s="42">
        <v>100</v>
      </c>
      <c r="O57" s="36">
        <v>5877</v>
      </c>
      <c r="P57" s="58">
        <v>0.1762</v>
      </c>
      <c r="Q57" s="58">
        <v>0.1762</v>
      </c>
      <c r="R57" s="63">
        <f t="shared" si="19"/>
        <v>1.1227999974102988E-2</v>
      </c>
      <c r="S57" s="63">
        <f t="shared" si="20"/>
        <v>0</v>
      </c>
      <c r="T57" s="63">
        <f t="shared" si="21"/>
        <v>7.716049382716049E-3</v>
      </c>
      <c r="U57" s="64">
        <f t="shared" si="22"/>
        <v>0</v>
      </c>
      <c r="V57" s="65">
        <f t="shared" si="23"/>
        <v>0</v>
      </c>
    </row>
    <row r="58" spans="1:22">
      <c r="A58" s="181">
        <v>50</v>
      </c>
      <c r="B58" s="150" t="s">
        <v>105</v>
      </c>
      <c r="C58" s="149" t="s">
        <v>106</v>
      </c>
      <c r="D58" s="52">
        <v>176924381.13999999</v>
      </c>
      <c r="E58" s="35">
        <f t="shared" si="28"/>
        <v>3.3553089112330344E-5</v>
      </c>
      <c r="F58" s="42">
        <v>1</v>
      </c>
      <c r="G58" s="42">
        <v>1</v>
      </c>
      <c r="H58" s="36">
        <v>93</v>
      </c>
      <c r="I58" s="58">
        <v>0.1181</v>
      </c>
      <c r="J58" s="58">
        <v>0.1181</v>
      </c>
      <c r="K58" s="52">
        <v>176924381.13999999</v>
      </c>
      <c r="L58" s="35">
        <f t="shared" si="29"/>
        <v>3.3553089112330344E-5</v>
      </c>
      <c r="M58" s="42">
        <v>1</v>
      </c>
      <c r="N58" s="42">
        <v>1</v>
      </c>
      <c r="O58" s="36">
        <v>93</v>
      </c>
      <c r="P58" s="58">
        <v>0.1181</v>
      </c>
      <c r="Q58" s="58">
        <v>0.1181</v>
      </c>
      <c r="R58" s="63">
        <f t="shared" si="19"/>
        <v>0</v>
      </c>
      <c r="S58" s="63">
        <f t="shared" si="20"/>
        <v>0</v>
      </c>
      <c r="T58" s="63">
        <f t="shared" si="21"/>
        <v>0</v>
      </c>
      <c r="U58" s="64">
        <f t="shared" si="22"/>
        <v>0</v>
      </c>
      <c r="V58" s="65">
        <f t="shared" si="23"/>
        <v>0</v>
      </c>
    </row>
    <row r="59" spans="1:22">
      <c r="A59" s="181">
        <v>51</v>
      </c>
      <c r="B59" s="150" t="s">
        <v>107</v>
      </c>
      <c r="C59" s="149" t="s">
        <v>46</v>
      </c>
      <c r="D59" s="56">
        <v>2659564454.1399999</v>
      </c>
      <c r="E59" s="35">
        <f t="shared" si="28"/>
        <v>5.0437708220176186E-4</v>
      </c>
      <c r="F59" s="42">
        <v>10</v>
      </c>
      <c r="G59" s="42">
        <v>10</v>
      </c>
      <c r="H59" s="36">
        <v>962</v>
      </c>
      <c r="I59" s="58">
        <v>0.155</v>
      </c>
      <c r="J59" s="58">
        <v>0.155</v>
      </c>
      <c r="K59" s="56">
        <v>2627888280.0999999</v>
      </c>
      <c r="L59" s="35">
        <f t="shared" si="29"/>
        <v>4.9836980675756638E-4</v>
      </c>
      <c r="M59" s="42">
        <v>10</v>
      </c>
      <c r="N59" s="42">
        <v>10</v>
      </c>
      <c r="O59" s="36">
        <v>950</v>
      </c>
      <c r="P59" s="58">
        <v>0.14580000000000001</v>
      </c>
      <c r="Q59" s="58">
        <v>0.14580000000000001</v>
      </c>
      <c r="R59" s="63">
        <f t="shared" si="19"/>
        <v>-1.1910286284166334E-2</v>
      </c>
      <c r="S59" s="63">
        <f t="shared" si="20"/>
        <v>0</v>
      </c>
      <c r="T59" s="63">
        <f t="shared" si="21"/>
        <v>-1.2474012474012475E-2</v>
      </c>
      <c r="U59" s="64">
        <f t="shared" si="22"/>
        <v>-9.199999999999986E-3</v>
      </c>
      <c r="V59" s="65">
        <f t="shared" si="23"/>
        <v>-9.199999999999986E-3</v>
      </c>
    </row>
    <row r="60" spans="1:22">
      <c r="A60" s="181">
        <v>52</v>
      </c>
      <c r="B60" s="150" t="s">
        <v>108</v>
      </c>
      <c r="C60" s="149" t="s">
        <v>109</v>
      </c>
      <c r="D60" s="56">
        <v>1357562887</v>
      </c>
      <c r="E60" s="35">
        <f t="shared" si="28"/>
        <v>2.5745704594020574E-4</v>
      </c>
      <c r="F60" s="42">
        <v>1</v>
      </c>
      <c r="G60" s="42">
        <v>1</v>
      </c>
      <c r="H60" s="36">
        <v>210</v>
      </c>
      <c r="I60" s="58">
        <v>0.2142</v>
      </c>
      <c r="J60" s="58">
        <v>0.2142</v>
      </c>
      <c r="K60" s="56">
        <v>1361063887</v>
      </c>
      <c r="L60" s="35">
        <f t="shared" si="29"/>
        <v>2.581209983261085E-4</v>
      </c>
      <c r="M60" s="42">
        <v>1</v>
      </c>
      <c r="N60" s="42">
        <v>1</v>
      </c>
      <c r="O60" s="36">
        <v>213</v>
      </c>
      <c r="P60" s="58">
        <v>0.21360000000000001</v>
      </c>
      <c r="Q60" s="58">
        <v>0.21360000000000001</v>
      </c>
      <c r="R60" s="63">
        <f t="shared" si="19"/>
        <v>2.5788860564217825E-3</v>
      </c>
      <c r="S60" s="63">
        <f t="shared" si="20"/>
        <v>0</v>
      </c>
      <c r="T60" s="63">
        <f t="shared" si="21"/>
        <v>1.4285714285714285E-2</v>
      </c>
      <c r="U60" s="64">
        <f t="shared" si="22"/>
        <v>-5.9999999999998943E-4</v>
      </c>
      <c r="V60" s="65">
        <f t="shared" si="23"/>
        <v>-5.9999999999998943E-4</v>
      </c>
    </row>
    <row r="61" spans="1:22">
      <c r="A61" s="181">
        <v>53</v>
      </c>
      <c r="B61" s="150" t="s">
        <v>110</v>
      </c>
      <c r="C61" s="149" t="s">
        <v>111</v>
      </c>
      <c r="D61" s="56">
        <v>2098693581.0282199</v>
      </c>
      <c r="E61" s="35">
        <f t="shared" si="28"/>
        <v>3.9800988586188223E-4</v>
      </c>
      <c r="F61" s="42">
        <v>1</v>
      </c>
      <c r="G61" s="42">
        <v>1</v>
      </c>
      <c r="H61" s="36">
        <v>2237</v>
      </c>
      <c r="I61" s="58">
        <v>0.15590000000000001</v>
      </c>
      <c r="J61" s="58">
        <v>0.15590000000000001</v>
      </c>
      <c r="K61" s="56">
        <v>2109714563.99</v>
      </c>
      <c r="L61" s="35">
        <f t="shared" si="29"/>
        <v>4.0009997667378379E-4</v>
      </c>
      <c r="M61" s="42">
        <v>1</v>
      </c>
      <c r="N61" s="42">
        <v>1</v>
      </c>
      <c r="O61" s="36">
        <v>2290</v>
      </c>
      <c r="P61" s="58">
        <v>0.1384</v>
      </c>
      <c r="Q61" s="58">
        <v>0.1384</v>
      </c>
      <c r="R61" s="63">
        <f t="shared" si="19"/>
        <v>5.2513540144247849E-3</v>
      </c>
      <c r="S61" s="63">
        <f t="shared" si="20"/>
        <v>0</v>
      </c>
      <c r="T61" s="63">
        <f t="shared" si="21"/>
        <v>2.3692445239159587E-2</v>
      </c>
      <c r="U61" s="64">
        <f t="shared" si="22"/>
        <v>-1.7500000000000016E-2</v>
      </c>
      <c r="V61" s="65">
        <f t="shared" si="23"/>
        <v>-1.7500000000000016E-2</v>
      </c>
    </row>
    <row r="62" spans="1:22">
      <c r="A62" s="181">
        <v>54</v>
      </c>
      <c r="B62" s="150" t="s">
        <v>112</v>
      </c>
      <c r="C62" s="149" t="s">
        <v>113</v>
      </c>
      <c r="D62" s="56">
        <v>14466205820.200001</v>
      </c>
      <c r="E62" s="35">
        <f t="shared" si="28"/>
        <v>2.743465258292453E-3</v>
      </c>
      <c r="F62" s="42">
        <v>100</v>
      </c>
      <c r="G62" s="42">
        <v>100</v>
      </c>
      <c r="H62" s="36">
        <v>157</v>
      </c>
      <c r="I62" s="58">
        <v>0.16700000000000001</v>
      </c>
      <c r="J62" s="58">
        <v>0.16700000000000001</v>
      </c>
      <c r="K62" s="56">
        <v>13759427138.854401</v>
      </c>
      <c r="L62" s="35">
        <f t="shared" si="29"/>
        <v>2.6094271572400102E-3</v>
      </c>
      <c r="M62" s="42">
        <v>100</v>
      </c>
      <c r="N62" s="42">
        <v>100</v>
      </c>
      <c r="O62" s="36">
        <v>157</v>
      </c>
      <c r="P62" s="58">
        <v>0.16700000000000001</v>
      </c>
      <c r="Q62" s="58">
        <v>0.16700000000000001</v>
      </c>
      <c r="R62" s="63">
        <f t="shared" si="19"/>
        <v>-4.8857225600833366E-2</v>
      </c>
      <c r="S62" s="63">
        <f t="shared" si="20"/>
        <v>0</v>
      </c>
      <c r="T62" s="63">
        <f t="shared" si="21"/>
        <v>0</v>
      </c>
      <c r="U62" s="64">
        <f t="shared" si="22"/>
        <v>0</v>
      </c>
      <c r="V62" s="65">
        <f t="shared" si="23"/>
        <v>0</v>
      </c>
    </row>
    <row r="63" spans="1:22">
      <c r="A63" s="181">
        <v>55</v>
      </c>
      <c r="B63" s="150" t="s">
        <v>330</v>
      </c>
      <c r="C63" s="149" t="s">
        <v>77</v>
      </c>
      <c r="D63" s="56">
        <v>73654868.159999996</v>
      </c>
      <c r="E63" s="35">
        <f t="shared" si="28"/>
        <v>1.3968387731557748E-5</v>
      </c>
      <c r="F63" s="42">
        <v>1000</v>
      </c>
      <c r="G63" s="42">
        <v>1000</v>
      </c>
      <c r="H63" s="36">
        <v>24</v>
      </c>
      <c r="I63" s="58">
        <v>0.2427</v>
      </c>
      <c r="J63" s="58">
        <v>0.2427</v>
      </c>
      <c r="K63" s="56">
        <v>73927782.159999996</v>
      </c>
      <c r="L63" s="35">
        <f t="shared" si="29"/>
        <v>1.4020144915632657E-5</v>
      </c>
      <c r="M63" s="42">
        <v>1000</v>
      </c>
      <c r="N63" s="42">
        <v>1000</v>
      </c>
      <c r="O63" s="36">
        <v>20</v>
      </c>
      <c r="P63" s="58">
        <v>0.2427</v>
      </c>
      <c r="Q63" s="58">
        <v>0.2427</v>
      </c>
      <c r="R63" s="63">
        <f t="shared" si="19"/>
        <v>3.7053083769989334E-3</v>
      </c>
      <c r="S63" s="63">
        <f t="shared" si="20"/>
        <v>0</v>
      </c>
      <c r="T63" s="63">
        <f t="shared" si="21"/>
        <v>-0.16666666666666666</v>
      </c>
      <c r="U63" s="64">
        <f t="shared" si="22"/>
        <v>0</v>
      </c>
      <c r="V63" s="65">
        <f t="shared" si="23"/>
        <v>0</v>
      </c>
    </row>
    <row r="64" spans="1:22">
      <c r="A64" s="181">
        <v>56</v>
      </c>
      <c r="B64" s="150" t="s">
        <v>333</v>
      </c>
      <c r="C64" s="149" t="s">
        <v>34</v>
      </c>
      <c r="D64" s="40">
        <v>1629974082</v>
      </c>
      <c r="E64" s="35">
        <f t="shared" si="28"/>
        <v>3.0911887480820525E-4</v>
      </c>
      <c r="F64" s="34">
        <v>1</v>
      </c>
      <c r="G64" s="34">
        <v>1</v>
      </c>
      <c r="H64" s="36">
        <v>320</v>
      </c>
      <c r="I64" s="58">
        <v>0.17230000000000001</v>
      </c>
      <c r="J64" s="58">
        <v>0.17230000000000001</v>
      </c>
      <c r="K64" s="40">
        <v>1591197000</v>
      </c>
      <c r="L64" s="35">
        <f t="shared" si="29"/>
        <v>3.0176493704406755E-4</v>
      </c>
      <c r="M64" s="34">
        <v>1</v>
      </c>
      <c r="N64" s="34">
        <v>1</v>
      </c>
      <c r="O64" s="36">
        <v>345</v>
      </c>
      <c r="P64" s="58">
        <v>0.1772</v>
      </c>
      <c r="Q64" s="58">
        <v>0.1772</v>
      </c>
      <c r="R64" s="63">
        <f t="shared" si="19"/>
        <v>-2.3789999134477036E-2</v>
      </c>
      <c r="S64" s="63">
        <f t="shared" si="20"/>
        <v>0</v>
      </c>
      <c r="T64" s="63">
        <f t="shared" si="21"/>
        <v>7.8125E-2</v>
      </c>
      <c r="U64" s="64">
        <f t="shared" si="22"/>
        <v>4.8999999999999877E-3</v>
      </c>
      <c r="V64" s="65">
        <f t="shared" si="23"/>
        <v>4.8999999999999877E-3</v>
      </c>
    </row>
    <row r="65" spans="1:22">
      <c r="A65" s="181">
        <v>57</v>
      </c>
      <c r="B65" s="150" t="s">
        <v>114</v>
      </c>
      <c r="C65" s="149" t="s">
        <v>50</v>
      </c>
      <c r="D65" s="52">
        <v>2568861318622.7798</v>
      </c>
      <c r="E65" s="35">
        <f t="shared" si="28"/>
        <v>0.48717555028644688</v>
      </c>
      <c r="F65" s="42">
        <v>100</v>
      </c>
      <c r="G65" s="42">
        <v>100</v>
      </c>
      <c r="H65" s="36">
        <v>288917</v>
      </c>
      <c r="I65" s="58">
        <v>0.15090000000000001</v>
      </c>
      <c r="J65" s="58">
        <v>0.15090000000000001</v>
      </c>
      <c r="K65" s="52">
        <v>2582464486731.77</v>
      </c>
      <c r="L65" s="35">
        <f t="shared" ref="L65:L72" si="35">(K65/$K$73)</f>
        <v>0.48975534346605276</v>
      </c>
      <c r="M65" s="42">
        <v>100</v>
      </c>
      <c r="N65" s="42">
        <v>100</v>
      </c>
      <c r="O65" s="36">
        <v>292242</v>
      </c>
      <c r="P65" s="58">
        <v>0.1547</v>
      </c>
      <c r="Q65" s="58">
        <v>0.1547</v>
      </c>
      <c r="R65" s="63">
        <f t="shared" si="19"/>
        <v>5.2954077397541948E-3</v>
      </c>
      <c r="S65" s="63">
        <f t="shared" si="20"/>
        <v>0</v>
      </c>
      <c r="T65" s="63">
        <f t="shared" si="21"/>
        <v>1.1508495519474452E-2</v>
      </c>
      <c r="U65" s="64">
        <f t="shared" si="22"/>
        <v>3.7999999999999978E-3</v>
      </c>
      <c r="V65" s="65">
        <f t="shared" si="23"/>
        <v>3.7999999999999978E-3</v>
      </c>
    </row>
    <row r="66" spans="1:22">
      <c r="A66" s="181">
        <v>58</v>
      </c>
      <c r="B66" s="150" t="s">
        <v>115</v>
      </c>
      <c r="C66" s="150" t="s">
        <v>116</v>
      </c>
      <c r="D66" s="52">
        <v>8799173256.4599991</v>
      </c>
      <c r="E66" s="35">
        <f t="shared" si="28"/>
        <v>1.668732384346812E-3</v>
      </c>
      <c r="F66" s="42">
        <v>100</v>
      </c>
      <c r="G66" s="42">
        <v>100</v>
      </c>
      <c r="H66" s="36">
        <v>1094</v>
      </c>
      <c r="I66" s="58">
        <v>0.20130000000000001</v>
      </c>
      <c r="J66" s="58">
        <v>0.20130000000000001</v>
      </c>
      <c r="K66" s="52">
        <v>8847721070.7999992</v>
      </c>
      <c r="L66" s="35">
        <f t="shared" si="35"/>
        <v>1.6779393072720924E-3</v>
      </c>
      <c r="M66" s="42">
        <v>100</v>
      </c>
      <c r="N66" s="42">
        <v>100</v>
      </c>
      <c r="O66" s="36">
        <v>1129</v>
      </c>
      <c r="P66" s="58">
        <v>0.2014</v>
      </c>
      <c r="Q66" s="58">
        <v>0.2014</v>
      </c>
      <c r="R66" s="63">
        <f t="shared" si="19"/>
        <v>5.5173154255552699E-3</v>
      </c>
      <c r="S66" s="63">
        <f t="shared" si="20"/>
        <v>0</v>
      </c>
      <c r="T66" s="63">
        <f t="shared" si="21"/>
        <v>3.1992687385740404E-2</v>
      </c>
      <c r="U66" s="64">
        <f t="shared" si="22"/>
        <v>9.9999999999988987E-5</v>
      </c>
      <c r="V66" s="65">
        <f t="shared" si="23"/>
        <v>9.9999999999988987E-5</v>
      </c>
    </row>
    <row r="67" spans="1:22">
      <c r="A67" s="181">
        <v>59</v>
      </c>
      <c r="B67" s="185" t="s">
        <v>117</v>
      </c>
      <c r="C67" s="149" t="s">
        <v>118</v>
      </c>
      <c r="D67" s="52">
        <v>15395909292.469999</v>
      </c>
      <c r="E67" s="35">
        <f t="shared" si="28"/>
        <v>2.9197802650321636E-3</v>
      </c>
      <c r="F67" s="42">
        <v>1</v>
      </c>
      <c r="G67" s="42">
        <v>1</v>
      </c>
      <c r="H67" s="36">
        <v>748</v>
      </c>
      <c r="I67" s="58">
        <v>0.19505900000000001</v>
      </c>
      <c r="J67" s="58">
        <v>0.19505900000000001</v>
      </c>
      <c r="K67" s="52">
        <v>15142976362.709999</v>
      </c>
      <c r="L67" s="35">
        <f t="shared" si="35"/>
        <v>2.8718124209340425E-3</v>
      </c>
      <c r="M67" s="42">
        <v>1</v>
      </c>
      <c r="N67" s="42">
        <v>1</v>
      </c>
      <c r="O67" s="36">
        <v>760</v>
      </c>
      <c r="P67" s="58">
        <v>0.19536899999999999</v>
      </c>
      <c r="Q67" s="58">
        <v>0.19536899999999999</v>
      </c>
      <c r="R67" s="63">
        <f t="shared" si="19"/>
        <v>-1.6428580147825854E-2</v>
      </c>
      <c r="S67" s="63">
        <f t="shared" si="20"/>
        <v>0</v>
      </c>
      <c r="T67" s="63">
        <f t="shared" si="21"/>
        <v>1.6042780748663103E-2</v>
      </c>
      <c r="U67" s="64">
        <f t="shared" si="22"/>
        <v>3.0999999999997696E-4</v>
      </c>
      <c r="V67" s="65">
        <f t="shared" si="23"/>
        <v>3.0999999999997696E-4</v>
      </c>
    </row>
    <row r="68" spans="1:22">
      <c r="A68" s="181">
        <v>60</v>
      </c>
      <c r="B68" s="150" t="s">
        <v>119</v>
      </c>
      <c r="C68" s="149" t="s">
        <v>53</v>
      </c>
      <c r="D68" s="52">
        <v>221135952467.13</v>
      </c>
      <c r="E68" s="35">
        <f t="shared" si="28"/>
        <v>4.1937658740195838E-2</v>
      </c>
      <c r="F68" s="42">
        <v>1</v>
      </c>
      <c r="G68" s="42">
        <v>1</v>
      </c>
      <c r="H68" s="36">
        <v>81841</v>
      </c>
      <c r="I68" s="58">
        <v>0.15740000000000001</v>
      </c>
      <c r="J68" s="58">
        <v>0.15740000000000001</v>
      </c>
      <c r="K68" s="52">
        <v>215889768002.67001</v>
      </c>
      <c r="L68" s="35">
        <f t="shared" si="35"/>
        <v>4.0942738234036428E-2</v>
      </c>
      <c r="M68" s="42">
        <v>1</v>
      </c>
      <c r="N68" s="42">
        <v>1</v>
      </c>
      <c r="O68" s="36">
        <v>82431</v>
      </c>
      <c r="P68" s="58">
        <v>0.158</v>
      </c>
      <c r="Q68" s="58">
        <v>0.158</v>
      </c>
      <c r="R68" s="63">
        <f t="shared" si="19"/>
        <v>-2.3723797084690662E-2</v>
      </c>
      <c r="S68" s="63">
        <f t="shared" si="20"/>
        <v>0</v>
      </c>
      <c r="T68" s="63">
        <f t="shared" si="21"/>
        <v>7.2091005730624018E-3</v>
      </c>
      <c r="U68" s="64">
        <f t="shared" si="22"/>
        <v>5.9999999999998943E-4</v>
      </c>
      <c r="V68" s="65">
        <f t="shared" si="23"/>
        <v>5.9999999999998943E-4</v>
      </c>
    </row>
    <row r="69" spans="1:22">
      <c r="A69" s="181">
        <v>61</v>
      </c>
      <c r="B69" s="150" t="s">
        <v>120</v>
      </c>
      <c r="C69" s="149" t="s">
        <v>121</v>
      </c>
      <c r="D69" s="52">
        <v>2430487936.7399998</v>
      </c>
      <c r="E69" s="35">
        <f t="shared" si="28"/>
        <v>4.6093352313805996E-4</v>
      </c>
      <c r="F69" s="42">
        <v>1</v>
      </c>
      <c r="G69" s="42">
        <v>1</v>
      </c>
      <c r="H69" s="36">
        <v>158</v>
      </c>
      <c r="I69" s="58">
        <v>0.15609999999999999</v>
      </c>
      <c r="J69" s="58">
        <v>0.15609999999999999</v>
      </c>
      <c r="K69" s="52">
        <v>2743034607.9299998</v>
      </c>
      <c r="L69" s="35">
        <f t="shared" si="35"/>
        <v>5.2020690446983925E-4</v>
      </c>
      <c r="M69" s="42">
        <v>1</v>
      </c>
      <c r="N69" s="42">
        <v>1</v>
      </c>
      <c r="O69" s="36">
        <v>158</v>
      </c>
      <c r="P69" s="58">
        <v>0.13539999999999999</v>
      </c>
      <c r="Q69" s="58">
        <v>0.13539999999999999</v>
      </c>
      <c r="R69" s="63">
        <f t="shared" si="19"/>
        <v>0.1285942079635323</v>
      </c>
      <c r="S69" s="63">
        <f t="shared" si="20"/>
        <v>0</v>
      </c>
      <c r="T69" s="63">
        <f t="shared" si="21"/>
        <v>0</v>
      </c>
      <c r="U69" s="64">
        <f t="shared" si="22"/>
        <v>-2.0699999999999996E-2</v>
      </c>
      <c r="V69" s="65">
        <f t="shared" si="23"/>
        <v>-2.0699999999999996E-2</v>
      </c>
    </row>
    <row r="70" spans="1:22">
      <c r="A70" s="181">
        <v>62</v>
      </c>
      <c r="B70" s="150" t="s">
        <v>122</v>
      </c>
      <c r="C70" s="149" t="s">
        <v>123</v>
      </c>
      <c r="D70" s="52">
        <v>8788959731.7099991</v>
      </c>
      <c r="E70" s="35">
        <f t="shared" si="28"/>
        <v>1.6667954251562266E-3</v>
      </c>
      <c r="F70" s="42">
        <v>1</v>
      </c>
      <c r="G70" s="42">
        <v>1</v>
      </c>
      <c r="H70" s="36">
        <v>567</v>
      </c>
      <c r="I70" s="58">
        <v>0.17</v>
      </c>
      <c r="J70" s="58">
        <v>0.17</v>
      </c>
      <c r="K70" s="52">
        <v>8791297211.6200008</v>
      </c>
      <c r="L70" s="35">
        <f t="shared" si="35"/>
        <v>1.6672387200329034E-3</v>
      </c>
      <c r="M70" s="42">
        <v>1</v>
      </c>
      <c r="N70" s="42">
        <v>1</v>
      </c>
      <c r="O70" s="36">
        <v>567</v>
      </c>
      <c r="P70" s="58">
        <v>0.16270000000000001</v>
      </c>
      <c r="Q70" s="58">
        <v>0.16270000000000001</v>
      </c>
      <c r="R70" s="63">
        <f t="shared" si="19"/>
        <v>2.6595637952103458E-4</v>
      </c>
      <c r="S70" s="63">
        <f t="shared" si="20"/>
        <v>0</v>
      </c>
      <c r="T70" s="63">
        <f t="shared" si="21"/>
        <v>0</v>
      </c>
      <c r="U70" s="64">
        <f t="shared" si="22"/>
        <v>-7.3000000000000009E-3</v>
      </c>
      <c r="V70" s="65">
        <f t="shared" si="23"/>
        <v>-7.3000000000000009E-3</v>
      </c>
    </row>
    <row r="71" spans="1:22">
      <c r="A71" s="181">
        <v>63</v>
      </c>
      <c r="B71" s="150" t="s">
        <v>124</v>
      </c>
      <c r="C71" s="149" t="s">
        <v>125</v>
      </c>
      <c r="D71" s="52">
        <v>14509897020.219999</v>
      </c>
      <c r="E71" s="35">
        <f t="shared" si="28"/>
        <v>2.7517511413247958E-3</v>
      </c>
      <c r="F71" s="42">
        <v>1</v>
      </c>
      <c r="G71" s="42">
        <v>1</v>
      </c>
      <c r="H71" s="36">
        <v>6048</v>
      </c>
      <c r="I71" s="58">
        <v>0.1825</v>
      </c>
      <c r="J71" s="58">
        <v>0.1825</v>
      </c>
      <c r="K71" s="52">
        <v>14383937618.790001</v>
      </c>
      <c r="L71" s="35">
        <f t="shared" si="35"/>
        <v>2.7278633820827713E-3</v>
      </c>
      <c r="M71" s="42">
        <v>1</v>
      </c>
      <c r="N71" s="42">
        <v>1</v>
      </c>
      <c r="O71" s="36">
        <v>6167</v>
      </c>
      <c r="P71" s="58">
        <v>0.18149999999999999</v>
      </c>
      <c r="Q71" s="58">
        <v>0.18149999999999999</v>
      </c>
      <c r="R71" s="63">
        <f t="shared" si="19"/>
        <v>-8.6809300751390581E-3</v>
      </c>
      <c r="S71" s="63">
        <f t="shared" si="20"/>
        <v>0</v>
      </c>
      <c r="T71" s="63">
        <f t="shared" si="21"/>
        <v>1.9675925925925927E-2</v>
      </c>
      <c r="U71" s="64">
        <f t="shared" si="22"/>
        <v>-1.0000000000000009E-3</v>
      </c>
      <c r="V71" s="65">
        <f t="shared" si="23"/>
        <v>-1.0000000000000009E-3</v>
      </c>
    </row>
    <row r="72" spans="1:22">
      <c r="A72" s="181">
        <v>64</v>
      </c>
      <c r="B72" s="150" t="s">
        <v>126</v>
      </c>
      <c r="C72" s="149" t="s">
        <v>127</v>
      </c>
      <c r="D72" s="52">
        <v>144079568212.72</v>
      </c>
      <c r="E72" s="35">
        <f t="shared" si="28"/>
        <v>2.7324185396935693E-2</v>
      </c>
      <c r="F72" s="42">
        <v>1</v>
      </c>
      <c r="G72" s="42">
        <v>1</v>
      </c>
      <c r="H72" s="36">
        <v>7787</v>
      </c>
      <c r="I72" s="58">
        <v>0.16869999999999999</v>
      </c>
      <c r="J72" s="58">
        <v>0.16869999999999999</v>
      </c>
      <c r="K72" s="52">
        <v>148532671349.20001</v>
      </c>
      <c r="L72" s="35">
        <f t="shared" si="35"/>
        <v>2.8168700807428945E-2</v>
      </c>
      <c r="M72" s="42">
        <v>1</v>
      </c>
      <c r="N72" s="42">
        <v>1</v>
      </c>
      <c r="O72" s="36">
        <v>7831</v>
      </c>
      <c r="P72" s="58">
        <v>0.1671</v>
      </c>
      <c r="Q72" s="58">
        <v>0.1671</v>
      </c>
      <c r="R72" s="63">
        <f t="shared" si="19"/>
        <v>3.0907249318691883E-2</v>
      </c>
      <c r="S72" s="63">
        <f t="shared" si="20"/>
        <v>0</v>
      </c>
      <c r="T72" s="63">
        <f t="shared" si="21"/>
        <v>5.6504430461024784E-3</v>
      </c>
      <c r="U72" s="64">
        <f t="shared" si="22"/>
        <v>-1.5999999999999903E-3</v>
      </c>
      <c r="V72" s="65">
        <f t="shared" si="23"/>
        <v>-1.5999999999999903E-3</v>
      </c>
    </row>
    <row r="73" spans="1:22">
      <c r="A73" s="43"/>
      <c r="B73" s="44"/>
      <c r="C73" s="45" t="s">
        <v>56</v>
      </c>
      <c r="D73" s="67">
        <f>SUM(D29:D72)</f>
        <v>5255316816008.0068</v>
      </c>
      <c r="E73" s="47">
        <f>(D73/$D$233)</f>
        <v>0.6427335712349318</v>
      </c>
      <c r="F73" s="48"/>
      <c r="G73" s="53"/>
      <c r="H73" s="50">
        <f>SUM(H29:H72)</f>
        <v>661634</v>
      </c>
      <c r="I73" s="71"/>
      <c r="J73" s="71"/>
      <c r="K73" s="67">
        <f>SUM(K29:K72)</f>
        <v>5272968475352.1689</v>
      </c>
      <c r="L73" s="47">
        <f>(K73/$K$233)</f>
        <v>0.64226044662260151</v>
      </c>
      <c r="M73" s="48"/>
      <c r="N73" s="53"/>
      <c r="O73" s="50">
        <f>SUM(O29:O72)</f>
        <v>668339</v>
      </c>
      <c r="P73" s="71"/>
      <c r="Q73" s="71"/>
      <c r="R73" s="63">
        <f t="shared" si="19"/>
        <v>3.3588192609804433E-3</v>
      </c>
      <c r="S73" s="63" t="e">
        <f t="shared" si="20"/>
        <v>#DIV/0!</v>
      </c>
      <c r="T73" s="63">
        <f t="shared" si="21"/>
        <v>1.0134001577911654E-2</v>
      </c>
      <c r="U73" s="64">
        <f t="shared" si="22"/>
        <v>0</v>
      </c>
      <c r="V73" s="65">
        <f t="shared" si="23"/>
        <v>0</v>
      </c>
    </row>
    <row r="74" spans="1:22" ht="3" customHeight="1">
      <c r="A74" s="43"/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</row>
    <row r="75" spans="1:22" ht="15" customHeight="1">
      <c r="A75" s="196" t="s">
        <v>128</v>
      </c>
      <c r="B75" s="196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</row>
    <row r="76" spans="1:22">
      <c r="A76" s="181">
        <v>65</v>
      </c>
      <c r="B76" s="150" t="s">
        <v>129</v>
      </c>
      <c r="C76" s="149" t="s">
        <v>22</v>
      </c>
      <c r="D76" s="40">
        <v>756564754.69000006</v>
      </c>
      <c r="E76" s="35">
        <f>(D76/$D$115)</f>
        <v>3.0924729427705936E-3</v>
      </c>
      <c r="F76" s="68">
        <v>1.7265999999999999</v>
      </c>
      <c r="G76" s="68">
        <v>1.7265999999999999</v>
      </c>
      <c r="H76" s="36">
        <v>545</v>
      </c>
      <c r="I76" s="58">
        <v>-1.041E-3</v>
      </c>
      <c r="J76" s="58">
        <v>3.4299999999999997E-2</v>
      </c>
      <c r="K76" s="40">
        <v>767533607.74000001</v>
      </c>
      <c r="L76" s="35">
        <f t="shared" ref="L76:L99" si="36">(K76/$K$115)</f>
        <v>3.1419631903504956E-3</v>
      </c>
      <c r="M76" s="68">
        <v>1.7513000000000001</v>
      </c>
      <c r="N76" s="68">
        <v>1.7513000000000001</v>
      </c>
      <c r="O76" s="36">
        <v>545</v>
      </c>
      <c r="P76" s="58">
        <v>2.003E-3</v>
      </c>
      <c r="Q76" s="58">
        <v>4.9099999999999998E-2</v>
      </c>
      <c r="R76" s="63">
        <f>((K76-D76)/D76)</f>
        <v>1.4498234264817694E-2</v>
      </c>
      <c r="S76" s="63">
        <f>((N76-G76)/G76)</f>
        <v>1.4305571643692904E-2</v>
      </c>
      <c r="T76" s="63">
        <f>((O76-H76)/H76)</f>
        <v>0</v>
      </c>
      <c r="U76" s="64">
        <f>P76-I76</f>
        <v>3.0439999999999998E-3</v>
      </c>
      <c r="V76" s="65">
        <f>Q76-J76</f>
        <v>1.4800000000000001E-2</v>
      </c>
    </row>
    <row r="77" spans="1:22">
      <c r="A77" s="181">
        <v>66</v>
      </c>
      <c r="B77" s="150" t="s">
        <v>130</v>
      </c>
      <c r="C77" s="149" t="s">
        <v>24</v>
      </c>
      <c r="D77" s="40">
        <v>1222689963.0699999</v>
      </c>
      <c r="E77" s="35">
        <f>(D77/$D$115)</f>
        <v>4.9977686704959692E-3</v>
      </c>
      <c r="F77" s="68">
        <v>1.3476999999999999</v>
      </c>
      <c r="G77" s="68">
        <v>1.3476999999999999</v>
      </c>
      <c r="H77" s="36">
        <v>1484</v>
      </c>
      <c r="I77" s="58">
        <v>0.1358</v>
      </c>
      <c r="J77" s="58">
        <v>0.11550000000000001</v>
      </c>
      <c r="K77" s="40">
        <v>1215828771.28</v>
      </c>
      <c r="L77" s="35">
        <f t="shared" si="36"/>
        <v>4.9770970373259234E-3</v>
      </c>
      <c r="M77" s="68">
        <v>1.3494999999999999</v>
      </c>
      <c r="N77" s="68">
        <v>1.3494999999999999</v>
      </c>
      <c r="O77" s="36">
        <v>1490</v>
      </c>
      <c r="P77" s="58">
        <v>6.9599999999999995E-2</v>
      </c>
      <c r="Q77" s="58">
        <v>0.10929999999999999</v>
      </c>
      <c r="R77" s="63">
        <f t="shared" ref="R77:R115" si="37">((K77-D77)/D77)</f>
        <v>-5.6115548481092369E-3</v>
      </c>
      <c r="S77" s="63">
        <f t="shared" ref="S77:S115" si="38">((N77-G77)/G77)</f>
        <v>1.3356088150181969E-3</v>
      </c>
      <c r="T77" s="63">
        <f t="shared" ref="T77:T115" si="39">((O77-H77)/H77)</f>
        <v>4.0431266846361188E-3</v>
      </c>
      <c r="U77" s="64">
        <f t="shared" ref="U77:U115" si="40">P77-I77</f>
        <v>-6.6200000000000009E-2</v>
      </c>
      <c r="V77" s="65">
        <f t="shared" ref="V77:V115" si="41">Q77-J77</f>
        <v>-6.2000000000000111E-3</v>
      </c>
    </row>
    <row r="78" spans="1:22">
      <c r="A78" s="181">
        <v>67</v>
      </c>
      <c r="B78" s="150" t="s">
        <v>131</v>
      </c>
      <c r="C78" s="149" t="s">
        <v>24</v>
      </c>
      <c r="D78" s="40">
        <v>669538941.10000002</v>
      </c>
      <c r="E78" s="35">
        <f>(D78/$D$115)</f>
        <v>2.7367532609041739E-3</v>
      </c>
      <c r="F78" s="68">
        <v>1.1988000000000001</v>
      </c>
      <c r="G78" s="68">
        <v>1.1988000000000001</v>
      </c>
      <c r="H78" s="36">
        <v>709</v>
      </c>
      <c r="I78" s="58">
        <v>0.1221</v>
      </c>
      <c r="J78" s="58">
        <v>0.1172</v>
      </c>
      <c r="K78" s="40">
        <v>670246954.13</v>
      </c>
      <c r="L78" s="35">
        <f t="shared" si="36"/>
        <v>2.7437121151239049E-3</v>
      </c>
      <c r="M78" s="68">
        <v>1.2017</v>
      </c>
      <c r="N78" s="68">
        <v>1.2017</v>
      </c>
      <c r="O78" s="36">
        <v>698</v>
      </c>
      <c r="P78" s="58">
        <v>0.12609999999999999</v>
      </c>
      <c r="Q78" s="58">
        <v>0.1187</v>
      </c>
      <c r="R78" s="63">
        <f t="shared" si="37"/>
        <v>1.0574635566928511E-3</v>
      </c>
      <c r="S78" s="63">
        <f t="shared" si="38"/>
        <v>2.4190857524190043E-3</v>
      </c>
      <c r="T78" s="63">
        <f t="shared" si="39"/>
        <v>-1.5514809590973202E-2</v>
      </c>
      <c r="U78" s="64">
        <f t="shared" si="40"/>
        <v>3.9999999999999897E-3</v>
      </c>
      <c r="V78" s="65">
        <f t="shared" si="41"/>
        <v>1.5000000000000013E-3</v>
      </c>
    </row>
    <row r="79" spans="1:22">
      <c r="A79" s="181">
        <v>68</v>
      </c>
      <c r="B79" s="150" t="s">
        <v>132</v>
      </c>
      <c r="C79" s="149" t="s">
        <v>64</v>
      </c>
      <c r="D79" s="40">
        <v>333898868.17000002</v>
      </c>
      <c r="E79" s="35">
        <f>(D79/$D$115)</f>
        <v>1.3648180265290629E-3</v>
      </c>
      <c r="F79" s="39">
        <v>1297.47</v>
      </c>
      <c r="G79" s="39">
        <v>1297.47</v>
      </c>
      <c r="H79" s="36">
        <v>109</v>
      </c>
      <c r="I79" s="58">
        <v>5.5999999999999999E-3</v>
      </c>
      <c r="J79" s="58">
        <v>0.22320000000000001</v>
      </c>
      <c r="K79" s="40">
        <v>333778959.61000001</v>
      </c>
      <c r="L79" s="35">
        <f t="shared" si="36"/>
        <v>1.366352162605701E-3</v>
      </c>
      <c r="M79" s="39">
        <v>1297</v>
      </c>
      <c r="N79" s="39">
        <v>1297</v>
      </c>
      <c r="O79" s="36">
        <v>109</v>
      </c>
      <c r="P79" s="58">
        <v>-1E-3</v>
      </c>
      <c r="Q79" s="58">
        <v>0.1867</v>
      </c>
      <c r="R79" s="63">
        <f t="shared" si="37"/>
        <v>-3.5911640149361806E-4</v>
      </c>
      <c r="S79" s="63">
        <f t="shared" si="38"/>
        <v>-3.622434430083372E-4</v>
      </c>
      <c r="T79" s="63">
        <f t="shared" si="39"/>
        <v>0</v>
      </c>
      <c r="U79" s="64">
        <f t="shared" si="40"/>
        <v>-6.6E-3</v>
      </c>
      <c r="V79" s="65">
        <f t="shared" si="41"/>
        <v>-3.6500000000000005E-2</v>
      </c>
    </row>
    <row r="80" spans="1:22" ht="15" customHeight="1">
      <c r="A80" s="181">
        <v>69</v>
      </c>
      <c r="B80" s="150" t="s">
        <v>133</v>
      </c>
      <c r="C80" s="149" t="s">
        <v>28</v>
      </c>
      <c r="D80" s="40">
        <v>1762518872.9200001</v>
      </c>
      <c r="E80" s="35">
        <f>(D80/$K$115)</f>
        <v>7.2150188150309474E-3</v>
      </c>
      <c r="F80" s="39">
        <v>1.1248</v>
      </c>
      <c r="G80" s="39">
        <v>1.1248</v>
      </c>
      <c r="H80" s="36">
        <v>1081</v>
      </c>
      <c r="I80" s="58">
        <v>-5.0000000000000001E-3</v>
      </c>
      <c r="J80" s="58">
        <v>3.8399999999999997E-2</v>
      </c>
      <c r="K80" s="40">
        <v>1786407590.7</v>
      </c>
      <c r="L80" s="35">
        <f t="shared" si="36"/>
        <v>7.3128092846241133E-3</v>
      </c>
      <c r="M80" s="39">
        <v>1.1343000000000001</v>
      </c>
      <c r="N80" s="39">
        <v>1.1343000000000001</v>
      </c>
      <c r="O80" s="36">
        <v>1081</v>
      </c>
      <c r="P80" s="58">
        <v>8.3999999999999995E-3</v>
      </c>
      <c r="Q80" s="58">
        <v>4.6699999999999998E-2</v>
      </c>
      <c r="R80" s="63">
        <f t="shared" si="37"/>
        <v>1.3553737294411524E-2</v>
      </c>
      <c r="S80" s="63">
        <f t="shared" si="38"/>
        <v>8.4459459459460019E-3</v>
      </c>
      <c r="T80" s="63">
        <f t="shared" si="39"/>
        <v>0</v>
      </c>
      <c r="U80" s="64">
        <f t="shared" si="40"/>
        <v>1.3399999999999999E-2</v>
      </c>
      <c r="V80" s="65">
        <f t="shared" si="41"/>
        <v>8.3000000000000018E-3</v>
      </c>
    </row>
    <row r="81" spans="1:22">
      <c r="A81" s="181">
        <v>70</v>
      </c>
      <c r="B81" s="150" t="s">
        <v>134</v>
      </c>
      <c r="C81" s="149" t="s">
        <v>135</v>
      </c>
      <c r="D81" s="40">
        <v>489016627.35000002</v>
      </c>
      <c r="E81" s="35">
        <f t="shared" ref="E81:E99" si="42">(D81/$D$115)</f>
        <v>1.9988648417338093E-3</v>
      </c>
      <c r="F81" s="39">
        <v>2.7862</v>
      </c>
      <c r="G81" s="39">
        <v>2.7862</v>
      </c>
      <c r="H81" s="36">
        <v>1390</v>
      </c>
      <c r="I81" s="58">
        <v>0.14069999999999999</v>
      </c>
      <c r="J81" s="58">
        <v>0.1399</v>
      </c>
      <c r="K81" s="40">
        <v>490333925.31999999</v>
      </c>
      <c r="L81" s="35">
        <f t="shared" si="36"/>
        <v>2.0072230437854477E-3</v>
      </c>
      <c r="M81" s="39">
        <v>2.7936999999999999</v>
      </c>
      <c r="N81" s="39">
        <v>2.7936999999999999</v>
      </c>
      <c r="O81" s="36">
        <v>1390</v>
      </c>
      <c r="P81" s="58">
        <v>0.1404</v>
      </c>
      <c r="Q81" s="58">
        <v>0.14030000000000001</v>
      </c>
      <c r="R81" s="63">
        <f t="shared" si="37"/>
        <v>2.6937692837531056E-3</v>
      </c>
      <c r="S81" s="63">
        <f t="shared" si="38"/>
        <v>2.6918383461344629E-3</v>
      </c>
      <c r="T81" s="63">
        <f t="shared" si="39"/>
        <v>0</v>
      </c>
      <c r="U81" s="64">
        <f t="shared" si="40"/>
        <v>-2.9999999999999472E-4</v>
      </c>
      <c r="V81" s="65">
        <f t="shared" si="41"/>
        <v>4.0000000000001146E-4</v>
      </c>
    </row>
    <row r="82" spans="1:22">
      <c r="A82" s="181">
        <v>71</v>
      </c>
      <c r="B82" s="149" t="s">
        <v>136</v>
      </c>
      <c r="C82" s="149" t="s">
        <v>137</v>
      </c>
      <c r="D82" s="40">
        <v>1272401184.6600001</v>
      </c>
      <c r="E82" s="35">
        <f t="shared" si="42"/>
        <v>5.2009642420133596E-3</v>
      </c>
      <c r="F82" s="39">
        <v>1154.07</v>
      </c>
      <c r="G82" s="39">
        <v>1154.07</v>
      </c>
      <c r="H82" s="36">
        <v>262</v>
      </c>
      <c r="I82" s="58">
        <v>5.45E-3</v>
      </c>
      <c r="J82" s="58">
        <v>3.1329999999999997E-2</v>
      </c>
      <c r="K82" s="40">
        <v>1875116773.3299999</v>
      </c>
      <c r="L82" s="35">
        <f t="shared" si="36"/>
        <v>7.6759477630683757E-3</v>
      </c>
      <c r="M82" s="39">
        <v>1157.44</v>
      </c>
      <c r="N82" s="39">
        <v>1157.44</v>
      </c>
      <c r="O82" s="36">
        <v>273</v>
      </c>
      <c r="P82" s="58">
        <v>2.16E-3</v>
      </c>
      <c r="Q82" s="58">
        <v>3.4340000000000002E-2</v>
      </c>
      <c r="R82" s="63">
        <f t="shared" ref="R82" si="43">((K82-D82)/D82)</f>
        <v>0.47368361169127032</v>
      </c>
      <c r="S82" s="63">
        <f t="shared" si="38"/>
        <v>2.9201001672343259E-3</v>
      </c>
      <c r="T82" s="63">
        <f t="shared" ref="T82" si="44">((O82-H82)/H82)</f>
        <v>4.1984732824427481E-2</v>
      </c>
      <c r="U82" s="64">
        <f t="shared" si="40"/>
        <v>-3.29E-3</v>
      </c>
      <c r="V82" s="65">
        <f t="shared" si="41"/>
        <v>3.0100000000000057E-3</v>
      </c>
    </row>
    <row r="83" spans="1:22">
      <c r="A83" s="181">
        <v>72</v>
      </c>
      <c r="B83" s="150" t="s">
        <v>138</v>
      </c>
      <c r="C83" s="149" t="s">
        <v>69</v>
      </c>
      <c r="D83" s="40">
        <v>237724783.78999999</v>
      </c>
      <c r="E83" s="35">
        <f t="shared" si="42"/>
        <v>9.717046123801957E-4</v>
      </c>
      <c r="F83" s="39">
        <v>11.732900000000001</v>
      </c>
      <c r="G83" s="39">
        <v>11.808199999999999</v>
      </c>
      <c r="H83" s="36">
        <v>46</v>
      </c>
      <c r="I83" s="58">
        <v>3.3500000000000001E-3</v>
      </c>
      <c r="J83" s="58">
        <v>0.192</v>
      </c>
      <c r="K83" s="40">
        <v>240191249.52000001</v>
      </c>
      <c r="L83" s="35">
        <f t="shared" si="36"/>
        <v>9.8324302287981931E-4</v>
      </c>
      <c r="M83" s="39">
        <v>11.8546</v>
      </c>
      <c r="N83" s="39">
        <v>11.917999999999999</v>
      </c>
      <c r="O83" s="36">
        <v>46</v>
      </c>
      <c r="P83" s="58">
        <v>9.5600000000000008E-3</v>
      </c>
      <c r="Q83" s="58">
        <v>0.2447</v>
      </c>
      <c r="R83" s="63">
        <f t="shared" si="37"/>
        <v>1.0375299077688223E-2</v>
      </c>
      <c r="S83" s="63">
        <f t="shared" si="38"/>
        <v>9.2986229908029929E-3</v>
      </c>
      <c r="T83" s="63">
        <f t="shared" si="39"/>
        <v>0</v>
      </c>
      <c r="U83" s="64">
        <f t="shared" si="40"/>
        <v>6.2100000000000002E-3</v>
      </c>
      <c r="V83" s="65">
        <f t="shared" si="41"/>
        <v>5.2699999999999997E-2</v>
      </c>
    </row>
    <row r="84" spans="1:22">
      <c r="A84" s="181">
        <v>73</v>
      </c>
      <c r="B84" s="150" t="s">
        <v>139</v>
      </c>
      <c r="C84" s="149" t="s">
        <v>71</v>
      </c>
      <c r="D84" s="40">
        <v>2065085693.3640001</v>
      </c>
      <c r="E84" s="35">
        <f t="shared" si="42"/>
        <v>8.4410773719528522E-3</v>
      </c>
      <c r="F84" s="40">
        <v>4841.6382614199501</v>
      </c>
      <c r="G84" s="40">
        <v>4841.6382614199501</v>
      </c>
      <c r="H84" s="36">
        <v>1183</v>
      </c>
      <c r="I84" s="58">
        <v>0.1106</v>
      </c>
      <c r="J84" s="58">
        <v>0.15529999999999999</v>
      </c>
      <c r="K84" s="40">
        <v>2076574861.9420099</v>
      </c>
      <c r="L84" s="35">
        <f t="shared" si="36"/>
        <v>8.5006333435227524E-3</v>
      </c>
      <c r="M84" s="40">
        <v>4851.2611841225298</v>
      </c>
      <c r="N84" s="40">
        <v>4851.2611841225298</v>
      </c>
      <c r="O84" s="36">
        <v>1187</v>
      </c>
      <c r="P84" s="58">
        <v>0.1036</v>
      </c>
      <c r="Q84" s="58">
        <v>0.14849999999999999</v>
      </c>
      <c r="R84" s="63">
        <f t="shared" si="37"/>
        <v>5.5635311478499103E-3</v>
      </c>
      <c r="S84" s="63">
        <f t="shared" si="38"/>
        <v>1.9875344218214007E-3</v>
      </c>
      <c r="T84" s="63">
        <f t="shared" si="39"/>
        <v>3.3812341504649195E-3</v>
      </c>
      <c r="U84" s="64">
        <f t="shared" si="40"/>
        <v>-7.0000000000000062E-3</v>
      </c>
      <c r="V84" s="65">
        <f t="shared" si="41"/>
        <v>-6.8000000000000005E-3</v>
      </c>
    </row>
    <row r="85" spans="1:22">
      <c r="A85" s="181">
        <v>74</v>
      </c>
      <c r="B85" s="150" t="s">
        <v>140</v>
      </c>
      <c r="C85" s="149" t="s">
        <v>73</v>
      </c>
      <c r="D85" s="40">
        <v>376286114.51999998</v>
      </c>
      <c r="E85" s="35">
        <f t="shared" si="42"/>
        <v>1.538076708807537E-3</v>
      </c>
      <c r="F85" s="68">
        <v>113.62</v>
      </c>
      <c r="G85" s="68">
        <v>113.62</v>
      </c>
      <c r="H85" s="36">
        <v>97</v>
      </c>
      <c r="I85" s="58">
        <v>2.3999999999999998E-3</v>
      </c>
      <c r="J85" s="58">
        <v>0.1215</v>
      </c>
      <c r="K85" s="40">
        <v>377261833.00999999</v>
      </c>
      <c r="L85" s="35">
        <f t="shared" si="36"/>
        <v>1.5443529514385867E-3</v>
      </c>
      <c r="M85" s="68">
        <v>113.88</v>
      </c>
      <c r="N85" s="68">
        <v>113.88</v>
      </c>
      <c r="O85" s="36">
        <v>97</v>
      </c>
      <c r="P85" s="58">
        <v>2.3E-3</v>
      </c>
      <c r="Q85" s="58">
        <v>0.1215</v>
      </c>
      <c r="R85" s="63">
        <f t="shared" si="37"/>
        <v>2.5930228417932999E-3</v>
      </c>
      <c r="S85" s="63">
        <f t="shared" si="38"/>
        <v>2.2883295194507207E-3</v>
      </c>
      <c r="T85" s="63">
        <f t="shared" si="39"/>
        <v>0</v>
      </c>
      <c r="U85" s="64">
        <f t="shared" si="40"/>
        <v>-9.9999999999999829E-5</v>
      </c>
      <c r="V85" s="65">
        <f t="shared" si="41"/>
        <v>0</v>
      </c>
    </row>
    <row r="86" spans="1:22" ht="13.5" customHeight="1">
      <c r="A86" s="181">
        <v>75</v>
      </c>
      <c r="B86" s="150" t="s">
        <v>141</v>
      </c>
      <c r="C86" s="149" t="s">
        <v>75</v>
      </c>
      <c r="D86" s="40">
        <v>1475755362.1400001</v>
      </c>
      <c r="E86" s="35">
        <f t="shared" si="42"/>
        <v>6.0321783420066192E-3</v>
      </c>
      <c r="F86" s="68">
        <v>1.5265</v>
      </c>
      <c r="G86" s="68">
        <v>1.5265</v>
      </c>
      <c r="H86" s="36">
        <v>2611</v>
      </c>
      <c r="I86" s="58">
        <v>1E-4</v>
      </c>
      <c r="J86" s="58">
        <v>0.15890000000000001</v>
      </c>
      <c r="K86" s="40">
        <v>1488963860.3599999</v>
      </c>
      <c r="L86" s="35">
        <f t="shared" si="36"/>
        <v>6.0951984301878884E-3</v>
      </c>
      <c r="M86" s="68">
        <v>1.544</v>
      </c>
      <c r="N86" s="68">
        <v>1.544</v>
      </c>
      <c r="O86" s="36">
        <v>2652</v>
      </c>
      <c r="P86" s="58">
        <v>1.15E-2</v>
      </c>
      <c r="Q86" s="58">
        <v>7.5600000000000001E-2</v>
      </c>
      <c r="R86" s="63">
        <f t="shared" si="37"/>
        <v>8.9503304943754913E-3</v>
      </c>
      <c r="S86" s="63">
        <f t="shared" si="38"/>
        <v>1.1464133639043611E-2</v>
      </c>
      <c r="T86" s="63">
        <f t="shared" si="39"/>
        <v>1.5702795863653772E-2</v>
      </c>
      <c r="U86" s="64">
        <f t="shared" si="40"/>
        <v>1.14E-2</v>
      </c>
      <c r="V86" s="65">
        <f t="shared" si="41"/>
        <v>-8.3300000000000013E-2</v>
      </c>
    </row>
    <row r="87" spans="1:22" ht="13.5" customHeight="1">
      <c r="A87" s="181">
        <v>76</v>
      </c>
      <c r="B87" s="150" t="s">
        <v>142</v>
      </c>
      <c r="C87" s="149" t="s">
        <v>75</v>
      </c>
      <c r="D87" s="40">
        <v>116135465.02</v>
      </c>
      <c r="E87" s="35">
        <f t="shared" si="42"/>
        <v>4.7470594029666303E-4</v>
      </c>
      <c r="F87" s="68">
        <v>1.0141</v>
      </c>
      <c r="G87" s="68">
        <v>1.0141</v>
      </c>
      <c r="H87" s="36">
        <v>96</v>
      </c>
      <c r="I87" s="58">
        <v>2E-3</v>
      </c>
      <c r="J87" s="58">
        <v>2.3099999999999999E-2</v>
      </c>
      <c r="K87" s="40">
        <v>130536704.81999999</v>
      </c>
      <c r="L87" s="35">
        <f t="shared" si="36"/>
        <v>5.3436294827759829E-4</v>
      </c>
      <c r="M87" s="68">
        <v>1.0335000000000001</v>
      </c>
      <c r="N87" s="68">
        <v>1.0335000000000001</v>
      </c>
      <c r="O87" s="36">
        <v>96</v>
      </c>
      <c r="P87" s="58">
        <v>4.2700000000000002E-2</v>
      </c>
      <c r="Q87" s="58">
        <v>1.9099999999999999E-2</v>
      </c>
      <c r="R87" s="63">
        <f t="shared" ref="R87" si="45">((K87-D87)/D87)</f>
        <v>0.12400380708442439</v>
      </c>
      <c r="S87" s="63">
        <f t="shared" ref="S87" si="46">((N87-G87)/G87)</f>
        <v>1.9130263287644299E-2</v>
      </c>
      <c r="T87" s="63">
        <f t="shared" ref="T87" si="47">((O87-H87)/H87)</f>
        <v>0</v>
      </c>
      <c r="U87" s="64">
        <f t="shared" ref="U87" si="48">P87-I87</f>
        <v>4.07E-2</v>
      </c>
      <c r="V87" s="65">
        <f t="shared" ref="V87" si="49">Q87-J87</f>
        <v>-4.0000000000000001E-3</v>
      </c>
    </row>
    <row r="88" spans="1:22">
      <c r="A88" s="181">
        <v>77</v>
      </c>
      <c r="B88" s="150" t="s">
        <v>143</v>
      </c>
      <c r="C88" s="149" t="s">
        <v>30</v>
      </c>
      <c r="D88" s="40">
        <v>235737042.11000001</v>
      </c>
      <c r="E88" s="35">
        <f t="shared" si="42"/>
        <v>9.6357968014602619E-4</v>
      </c>
      <c r="F88" s="68">
        <v>142.6148</v>
      </c>
      <c r="G88" s="68">
        <v>142.6148</v>
      </c>
      <c r="H88" s="36">
        <v>408</v>
      </c>
      <c r="I88" s="58">
        <v>7.0500000000000001E-4</v>
      </c>
      <c r="J88" s="58">
        <v>4.0500000000000001E-2</v>
      </c>
      <c r="K88" s="40">
        <v>237641442.55000001</v>
      </c>
      <c r="L88" s="35">
        <f t="shared" si="36"/>
        <v>9.7280517421566943E-4</v>
      </c>
      <c r="M88" s="68">
        <v>143.15129999999999</v>
      </c>
      <c r="N88" s="68">
        <v>143.15129999999999</v>
      </c>
      <c r="O88" s="36">
        <v>419</v>
      </c>
      <c r="P88" s="58">
        <v>8.0500000000000005E-4</v>
      </c>
      <c r="Q88" s="58">
        <v>4.1200000000000001E-2</v>
      </c>
      <c r="R88" s="63">
        <f t="shared" si="37"/>
        <v>8.0784946776050713E-3</v>
      </c>
      <c r="S88" s="63">
        <f t="shared" si="38"/>
        <v>3.7618816560412351E-3</v>
      </c>
      <c r="T88" s="63">
        <f t="shared" si="39"/>
        <v>2.6960784313725492E-2</v>
      </c>
      <c r="U88" s="64">
        <f t="shared" si="40"/>
        <v>1.0000000000000005E-4</v>
      </c>
      <c r="V88" s="65">
        <f t="shared" si="41"/>
        <v>6.9999999999999923E-4</v>
      </c>
    </row>
    <row r="89" spans="1:22">
      <c r="A89" s="181">
        <v>78</v>
      </c>
      <c r="B89" s="150" t="s">
        <v>144</v>
      </c>
      <c r="C89" s="149" t="s">
        <v>77</v>
      </c>
      <c r="D89" s="40">
        <v>2662076708.6500001</v>
      </c>
      <c r="E89" s="35">
        <f t="shared" si="42"/>
        <v>1.0881289594904696E-2</v>
      </c>
      <c r="F89" s="39">
        <v>1316.3678110000001</v>
      </c>
      <c r="G89" s="39">
        <v>1316.3678110000001</v>
      </c>
      <c r="H89" s="36">
        <v>324</v>
      </c>
      <c r="I89" s="58">
        <v>1.9599999999999999E-2</v>
      </c>
      <c r="J89" s="58">
        <v>0.2402</v>
      </c>
      <c r="K89" s="40">
        <v>2685705845.5799999</v>
      </c>
      <c r="L89" s="35">
        <f t="shared" si="36"/>
        <v>1.0994162108117086E-2</v>
      </c>
      <c r="M89" s="39">
        <v>1320.843721</v>
      </c>
      <c r="N89" s="39">
        <v>1320.843721</v>
      </c>
      <c r="O89" s="36">
        <v>329</v>
      </c>
      <c r="P89" s="58">
        <v>1.9400000000000001E-2</v>
      </c>
      <c r="Q89" s="58">
        <v>0.2364</v>
      </c>
      <c r="R89" s="63">
        <f t="shared" si="37"/>
        <v>8.8762043757870165E-3</v>
      </c>
      <c r="S89" s="63">
        <f t="shared" si="38"/>
        <v>3.4001970897478023E-3</v>
      </c>
      <c r="T89" s="63">
        <f t="shared" si="39"/>
        <v>1.5432098765432098E-2</v>
      </c>
      <c r="U89" s="64">
        <f t="shared" si="40"/>
        <v>-1.9999999999999879E-4</v>
      </c>
      <c r="V89" s="65">
        <f t="shared" si="41"/>
        <v>-3.7999999999999978E-3</v>
      </c>
    </row>
    <row r="90" spans="1:22">
      <c r="A90" s="181">
        <v>79</v>
      </c>
      <c r="B90" s="150" t="s">
        <v>145</v>
      </c>
      <c r="C90" s="149" t="s">
        <v>79</v>
      </c>
      <c r="D90" s="40">
        <v>145470789.47999999</v>
      </c>
      <c r="E90" s="35">
        <f t="shared" si="42"/>
        <v>5.9461464156456453E-4</v>
      </c>
      <c r="F90" s="39">
        <v>987.35</v>
      </c>
      <c r="G90" s="39">
        <v>992.44</v>
      </c>
      <c r="H90" s="36">
        <v>72</v>
      </c>
      <c r="I90" s="58">
        <v>4.7000000000000002E-3</v>
      </c>
      <c r="J90" s="58">
        <v>1.06E-2</v>
      </c>
      <c r="K90" s="40">
        <v>145727495.74000001</v>
      </c>
      <c r="L90" s="35">
        <f t="shared" si="36"/>
        <v>5.9654772484196033E-4</v>
      </c>
      <c r="M90" s="39">
        <v>988.75</v>
      </c>
      <c r="N90" s="39">
        <v>994.67</v>
      </c>
      <c r="O90" s="36">
        <v>70</v>
      </c>
      <c r="P90" s="58">
        <v>1.9E-3</v>
      </c>
      <c r="Q90" s="58">
        <v>1.24E-2</v>
      </c>
      <c r="R90" s="63">
        <f t="shared" si="37"/>
        <v>1.7646584645456499E-3</v>
      </c>
      <c r="S90" s="63">
        <f t="shared" si="38"/>
        <v>2.2469872234088754E-3</v>
      </c>
      <c r="T90" s="63">
        <f t="shared" si="39"/>
        <v>-2.7777777777777776E-2</v>
      </c>
      <c r="U90" s="64">
        <f t="shared" si="40"/>
        <v>-2.8000000000000004E-3</v>
      </c>
      <c r="V90" s="65">
        <f t="shared" si="41"/>
        <v>1.7999999999999995E-3</v>
      </c>
    </row>
    <row r="91" spans="1:22">
      <c r="A91" s="181">
        <v>80</v>
      </c>
      <c r="B91" s="150" t="s">
        <v>146</v>
      </c>
      <c r="C91" s="149" t="s">
        <v>82</v>
      </c>
      <c r="D91" s="40">
        <v>731341967.23000002</v>
      </c>
      <c r="E91" s="35">
        <f t="shared" si="42"/>
        <v>2.9893743153526875E-3</v>
      </c>
      <c r="F91" s="69">
        <v>1.21</v>
      </c>
      <c r="G91" s="69">
        <v>1.21</v>
      </c>
      <c r="H91" s="36">
        <v>56</v>
      </c>
      <c r="I91" s="58">
        <v>0.13557</v>
      </c>
      <c r="J91" s="58">
        <v>0.1356</v>
      </c>
      <c r="K91" s="40">
        <v>732711129.96000004</v>
      </c>
      <c r="L91" s="35">
        <f t="shared" si="36"/>
        <v>2.9994144572680209E-3</v>
      </c>
      <c r="M91" s="69">
        <v>1.2160599999999999</v>
      </c>
      <c r="N91" s="69">
        <v>1.2160599999999999</v>
      </c>
      <c r="O91" s="36">
        <v>58</v>
      </c>
      <c r="P91" s="58">
        <v>0.13557</v>
      </c>
      <c r="Q91" s="58">
        <v>0.1356</v>
      </c>
      <c r="R91" s="63">
        <f t="shared" si="37"/>
        <v>1.8721238372054624E-3</v>
      </c>
      <c r="S91" s="63">
        <f t="shared" si="38"/>
        <v>5.0082644628098799E-3</v>
      </c>
      <c r="T91" s="63">
        <f t="shared" si="39"/>
        <v>3.5714285714285712E-2</v>
      </c>
      <c r="U91" s="64">
        <f t="shared" si="40"/>
        <v>0</v>
      </c>
      <c r="V91" s="65">
        <f t="shared" si="41"/>
        <v>0</v>
      </c>
    </row>
    <row r="92" spans="1:22">
      <c r="A92" s="181">
        <v>81</v>
      </c>
      <c r="B92" s="150" t="s">
        <v>147</v>
      </c>
      <c r="C92" s="149" t="s">
        <v>32</v>
      </c>
      <c r="D92" s="69">
        <v>11599425702.17</v>
      </c>
      <c r="E92" s="35">
        <f t="shared" si="42"/>
        <v>4.7412874989579051E-2</v>
      </c>
      <c r="F92" s="69">
        <v>1681.86</v>
      </c>
      <c r="G92" s="69">
        <v>1681.86</v>
      </c>
      <c r="H92" s="36">
        <v>2041</v>
      </c>
      <c r="I92" s="58">
        <v>-1E-3</v>
      </c>
      <c r="J92" s="58">
        <v>9.4000000000000004E-3</v>
      </c>
      <c r="K92" s="69">
        <v>11548550097.450001</v>
      </c>
      <c r="L92" s="35">
        <f t="shared" si="36"/>
        <v>4.7274958310878315E-2</v>
      </c>
      <c r="M92" s="69">
        <v>1683.64</v>
      </c>
      <c r="N92" s="69">
        <v>1683.64</v>
      </c>
      <c r="O92" s="36">
        <v>2038</v>
      </c>
      <c r="P92" s="58">
        <v>-1.1000000000000001E-3</v>
      </c>
      <c r="Q92" s="58">
        <v>1.04E-2</v>
      </c>
      <c r="R92" s="63">
        <f t="shared" si="37"/>
        <v>-4.3860451393280264E-3</v>
      </c>
      <c r="S92" s="63">
        <f t="shared" si="38"/>
        <v>1.0583520625974815E-3</v>
      </c>
      <c r="T92" s="63">
        <f t="shared" si="39"/>
        <v>-1.4698677119059284E-3</v>
      </c>
      <c r="U92" s="64">
        <f t="shared" si="40"/>
        <v>-1.0000000000000005E-4</v>
      </c>
      <c r="V92" s="65">
        <f t="shared" si="41"/>
        <v>9.9999999999999915E-4</v>
      </c>
    </row>
    <row r="93" spans="1:22">
      <c r="A93" s="181">
        <v>82</v>
      </c>
      <c r="B93" s="150" t="s">
        <v>148</v>
      </c>
      <c r="C93" s="149" t="s">
        <v>92</v>
      </c>
      <c r="D93" s="40">
        <v>24186584.719999999</v>
      </c>
      <c r="E93" s="35">
        <f t="shared" si="42"/>
        <v>9.8863128847809231E-5</v>
      </c>
      <c r="F93" s="68">
        <v>0.7389</v>
      </c>
      <c r="G93" s="68">
        <v>0.7389</v>
      </c>
      <c r="H93" s="36">
        <v>744</v>
      </c>
      <c r="I93" s="58">
        <v>2.3E-3</v>
      </c>
      <c r="J93" s="58">
        <v>1.2999999999999999E-2</v>
      </c>
      <c r="K93" s="40">
        <v>24242353.829999998</v>
      </c>
      <c r="L93" s="35">
        <f t="shared" si="36"/>
        <v>9.9238108420542619E-5</v>
      </c>
      <c r="M93" s="68">
        <v>0.74060000000000004</v>
      </c>
      <c r="N93" s="68">
        <v>0.74060000000000004</v>
      </c>
      <c r="O93" s="36">
        <v>744</v>
      </c>
      <c r="P93" s="58">
        <v>2.3E-3</v>
      </c>
      <c r="Q93" s="58">
        <v>1.54E-2</v>
      </c>
      <c r="R93" s="63">
        <f t="shared" si="37"/>
        <v>2.3057868916020901E-3</v>
      </c>
      <c r="S93" s="63">
        <f t="shared" si="38"/>
        <v>2.3007172824469277E-3</v>
      </c>
      <c r="T93" s="63">
        <f t="shared" si="39"/>
        <v>0</v>
      </c>
      <c r="U93" s="64">
        <f t="shared" si="40"/>
        <v>0</v>
      </c>
      <c r="V93" s="65">
        <f t="shared" si="41"/>
        <v>2.4000000000000011E-3</v>
      </c>
    </row>
    <row r="94" spans="1:22">
      <c r="A94" s="181">
        <v>83</v>
      </c>
      <c r="B94" s="150" t="s">
        <v>149</v>
      </c>
      <c r="C94" s="149" t="s">
        <v>38</v>
      </c>
      <c r="D94" s="40">
        <v>11680045711.459999</v>
      </c>
      <c r="E94" s="35">
        <f t="shared" si="42"/>
        <v>4.7742410823530756E-2</v>
      </c>
      <c r="F94" s="68">
        <v>1</v>
      </c>
      <c r="G94" s="68">
        <v>1</v>
      </c>
      <c r="H94" s="36">
        <v>5420</v>
      </c>
      <c r="I94" s="58">
        <v>0.06</v>
      </c>
      <c r="J94" s="58">
        <v>0.06</v>
      </c>
      <c r="K94" s="40">
        <v>11768911414.790001</v>
      </c>
      <c r="L94" s="35">
        <f t="shared" si="36"/>
        <v>4.8177025843397309E-2</v>
      </c>
      <c r="M94" s="68">
        <v>1</v>
      </c>
      <c r="N94" s="68">
        <v>1</v>
      </c>
      <c r="O94" s="36">
        <v>5548</v>
      </c>
      <c r="P94" s="58">
        <v>0.06</v>
      </c>
      <c r="Q94" s="58">
        <v>0.06</v>
      </c>
      <c r="R94" s="63">
        <f t="shared" si="37"/>
        <v>7.6083352347508636E-3</v>
      </c>
      <c r="S94" s="63">
        <f t="shared" si="38"/>
        <v>0</v>
      </c>
      <c r="T94" s="63">
        <f t="shared" si="39"/>
        <v>2.3616236162361623E-2</v>
      </c>
      <c r="U94" s="64">
        <f t="shared" si="40"/>
        <v>0</v>
      </c>
      <c r="V94" s="65">
        <f t="shared" si="41"/>
        <v>0</v>
      </c>
    </row>
    <row r="95" spans="1:22">
      <c r="A95" s="181">
        <v>84</v>
      </c>
      <c r="B95" s="150" t="s">
        <v>150</v>
      </c>
      <c r="C95" s="149" t="s">
        <v>151</v>
      </c>
      <c r="D95" s="40">
        <v>1677902625.5999999</v>
      </c>
      <c r="E95" s="35">
        <f t="shared" si="42"/>
        <v>6.8584591577992007E-3</v>
      </c>
      <c r="F95" s="40">
        <v>273.94</v>
      </c>
      <c r="G95" s="40">
        <v>273.94</v>
      </c>
      <c r="H95" s="36">
        <v>562</v>
      </c>
      <c r="I95" s="58">
        <v>3.0000000000000001E-3</v>
      </c>
      <c r="J95" s="58">
        <v>0.16819999999999999</v>
      </c>
      <c r="K95" s="40">
        <v>1632859249.9400001</v>
      </c>
      <c r="L95" s="35">
        <f t="shared" si="36"/>
        <v>6.6842462748194125E-3</v>
      </c>
      <c r="M95" s="40">
        <v>274.69</v>
      </c>
      <c r="N95" s="40">
        <v>274.69</v>
      </c>
      <c r="O95" s="36">
        <v>562</v>
      </c>
      <c r="P95" s="58">
        <v>3.0000000000000001E-3</v>
      </c>
      <c r="Q95" s="58">
        <v>0.16839999999999999</v>
      </c>
      <c r="R95" s="63">
        <f t="shared" si="37"/>
        <v>-2.6845047485334748E-2</v>
      </c>
      <c r="S95" s="63">
        <f t="shared" si="38"/>
        <v>2.737825801270351E-3</v>
      </c>
      <c r="T95" s="63">
        <f t="shared" si="39"/>
        <v>0</v>
      </c>
      <c r="U95" s="64">
        <f t="shared" si="40"/>
        <v>0</v>
      </c>
      <c r="V95" s="65">
        <f t="shared" si="41"/>
        <v>2.0000000000000573E-4</v>
      </c>
    </row>
    <row r="96" spans="1:22">
      <c r="A96" s="181">
        <v>85</v>
      </c>
      <c r="B96" s="150" t="s">
        <v>152</v>
      </c>
      <c r="C96" s="149" t="s">
        <v>42</v>
      </c>
      <c r="D96" s="40">
        <v>1093868153.8900001</v>
      </c>
      <c r="E96" s="35">
        <f t="shared" si="42"/>
        <v>4.4712070551704711E-3</v>
      </c>
      <c r="F96" s="68">
        <v>3.69</v>
      </c>
      <c r="G96" s="68">
        <v>3.72</v>
      </c>
      <c r="H96" s="54">
        <v>798</v>
      </c>
      <c r="I96" s="61">
        <v>1.8100000000000002E-2</v>
      </c>
      <c r="J96" s="61">
        <v>0.17549999999999999</v>
      </c>
      <c r="K96" s="40">
        <v>1093628251.1099999</v>
      </c>
      <c r="L96" s="35">
        <f t="shared" si="36"/>
        <v>4.4768589600039915E-3</v>
      </c>
      <c r="M96" s="68">
        <v>3.71</v>
      </c>
      <c r="N96" s="68">
        <v>3.74</v>
      </c>
      <c r="O96" s="54">
        <v>800</v>
      </c>
      <c r="P96" s="61">
        <v>2.4199999999999999E-2</v>
      </c>
      <c r="Q96" s="61">
        <v>0.19539999999999999</v>
      </c>
      <c r="R96" s="63">
        <f t="shared" si="37"/>
        <v>-2.1931599265146405E-4</v>
      </c>
      <c r="S96" s="63">
        <f t="shared" si="38"/>
        <v>5.3763440860215101E-3</v>
      </c>
      <c r="T96" s="63">
        <f t="shared" si="39"/>
        <v>2.5062656641604009E-3</v>
      </c>
      <c r="U96" s="64">
        <f t="shared" si="40"/>
        <v>6.0999999999999978E-3</v>
      </c>
      <c r="V96" s="65">
        <f t="shared" si="41"/>
        <v>1.9900000000000001E-2</v>
      </c>
    </row>
    <row r="97" spans="1:22">
      <c r="A97" s="181">
        <v>86</v>
      </c>
      <c r="B97" s="150" t="s">
        <v>153</v>
      </c>
      <c r="C97" s="149" t="s">
        <v>44</v>
      </c>
      <c r="D97" s="40">
        <v>741991734.13</v>
      </c>
      <c r="E97" s="35">
        <f t="shared" si="42"/>
        <v>3.0329054417776273E-3</v>
      </c>
      <c r="F97" s="68">
        <v>110.21</v>
      </c>
      <c r="G97" s="68">
        <v>110.21</v>
      </c>
      <c r="H97" s="54">
        <v>261</v>
      </c>
      <c r="I97" s="61">
        <v>0.1467</v>
      </c>
      <c r="J97" s="61">
        <v>0.1691</v>
      </c>
      <c r="K97" s="40">
        <v>761934510.09000003</v>
      </c>
      <c r="L97" s="35">
        <f t="shared" si="36"/>
        <v>3.1190428145675014E-3</v>
      </c>
      <c r="M97" s="68">
        <v>113.52</v>
      </c>
      <c r="N97" s="68">
        <v>113.52</v>
      </c>
      <c r="O97" s="54">
        <v>261</v>
      </c>
      <c r="P97" s="61">
        <v>0.1384</v>
      </c>
      <c r="Q97" s="61">
        <v>0.16020000000000001</v>
      </c>
      <c r="R97" s="63">
        <f t="shared" si="37"/>
        <v>2.6877355963248483E-2</v>
      </c>
      <c r="S97" s="63">
        <f t="shared" si="38"/>
        <v>3.0033572271118796E-2</v>
      </c>
      <c r="T97" s="63">
        <f t="shared" si="39"/>
        <v>0</v>
      </c>
      <c r="U97" s="64">
        <f t="shared" si="40"/>
        <v>-8.3000000000000018E-3</v>
      </c>
      <c r="V97" s="65">
        <f t="shared" si="41"/>
        <v>-8.8999999999999913E-3</v>
      </c>
    </row>
    <row r="98" spans="1:22">
      <c r="A98" s="181">
        <v>87</v>
      </c>
      <c r="B98" s="149" t="s">
        <v>154</v>
      </c>
      <c r="C98" s="152" t="s">
        <v>48</v>
      </c>
      <c r="D98" s="40">
        <v>1115599615.29</v>
      </c>
      <c r="E98" s="35">
        <f t="shared" si="42"/>
        <v>4.5600348203680445E-3</v>
      </c>
      <c r="F98" s="68">
        <v>113.4</v>
      </c>
      <c r="G98" s="68">
        <v>113.9</v>
      </c>
      <c r="H98" s="36">
        <v>2676</v>
      </c>
      <c r="I98" s="58">
        <v>2.0000000000000001E-4</v>
      </c>
      <c r="J98" s="58">
        <v>2.5899999999999999E-2</v>
      </c>
      <c r="K98" s="40">
        <v>1129240055.6400001</v>
      </c>
      <c r="L98" s="35">
        <f t="shared" si="36"/>
        <v>4.6226388683322803E-3</v>
      </c>
      <c r="M98" s="68">
        <v>113.99</v>
      </c>
      <c r="N98" s="68">
        <v>114.6</v>
      </c>
      <c r="O98" s="36">
        <v>2735</v>
      </c>
      <c r="P98" s="58">
        <v>1.5299999999999999E-2</v>
      </c>
      <c r="Q98" s="58">
        <v>3.9399999999999998E-2</v>
      </c>
      <c r="R98" s="63">
        <f t="shared" si="37"/>
        <v>1.2227003454509361E-2</v>
      </c>
      <c r="S98" s="63">
        <f t="shared" si="38"/>
        <v>6.1457418788409884E-3</v>
      </c>
      <c r="T98" s="63">
        <f t="shared" si="39"/>
        <v>2.2047832585949178E-2</v>
      </c>
      <c r="U98" s="64">
        <f t="shared" si="40"/>
        <v>1.5099999999999999E-2</v>
      </c>
      <c r="V98" s="65">
        <f t="shared" si="41"/>
        <v>1.3499999999999998E-2</v>
      </c>
    </row>
    <row r="99" spans="1:22">
      <c r="A99" s="181">
        <v>88</v>
      </c>
      <c r="B99" s="150" t="s">
        <v>155</v>
      </c>
      <c r="C99" s="149" t="s">
        <v>20</v>
      </c>
      <c r="D99" s="142">
        <v>1659721426.8399999</v>
      </c>
      <c r="E99" s="144">
        <f t="shared" si="42"/>
        <v>6.7841431592228834E-3</v>
      </c>
      <c r="F99" s="145">
        <v>394.34309999999999</v>
      </c>
      <c r="G99" s="145">
        <v>394.34309999999999</v>
      </c>
      <c r="H99" s="38">
        <v>89</v>
      </c>
      <c r="I99" s="59">
        <v>1.3899999999999999E-2</v>
      </c>
      <c r="J99" s="59">
        <v>2.6100000000000002E-2</v>
      </c>
      <c r="K99" s="142">
        <v>1666854708.3699999</v>
      </c>
      <c r="L99" s="144">
        <f t="shared" si="36"/>
        <v>6.8234095348369888E-3</v>
      </c>
      <c r="M99" s="145">
        <v>395.66849999999999</v>
      </c>
      <c r="N99" s="145">
        <v>395.66849999999999</v>
      </c>
      <c r="O99" s="38">
        <v>89</v>
      </c>
      <c r="P99" s="59">
        <v>3.3999999999999998E-3</v>
      </c>
      <c r="Q99" s="59">
        <v>2.9499999999999998E-2</v>
      </c>
      <c r="R99" s="64">
        <f t="shared" si="37"/>
        <v>4.2978787973963007E-3</v>
      </c>
      <c r="S99" s="64">
        <f t="shared" si="38"/>
        <v>3.3610325627607073E-3</v>
      </c>
      <c r="T99" s="64">
        <f t="shared" si="39"/>
        <v>0</v>
      </c>
      <c r="U99" s="64">
        <f t="shared" si="40"/>
        <v>-1.0499999999999999E-2</v>
      </c>
      <c r="V99" s="65">
        <f t="shared" si="41"/>
        <v>3.3999999999999968E-3</v>
      </c>
    </row>
    <row r="100" spans="1:22">
      <c r="A100" s="181">
        <v>89</v>
      </c>
      <c r="B100" s="150" t="s">
        <v>156</v>
      </c>
      <c r="C100" s="149" t="s">
        <v>104</v>
      </c>
      <c r="D100" s="52">
        <v>2211659284</v>
      </c>
      <c r="E100" s="35">
        <f>(D100/$K$73)</f>
        <v>4.1943343570858134E-4</v>
      </c>
      <c r="F100" s="68">
        <v>103.31</v>
      </c>
      <c r="G100" s="68">
        <v>103.31</v>
      </c>
      <c r="H100" s="36">
        <v>430</v>
      </c>
      <c r="I100" s="58">
        <v>1.8E-3</v>
      </c>
      <c r="J100" s="58">
        <v>0.18609999999999999</v>
      </c>
      <c r="K100" s="52">
        <v>3524231420</v>
      </c>
      <c r="L100" s="35">
        <f t="shared" ref="L100:L114" si="50">(K100/$K$115)</f>
        <v>1.4426736867615584E-2</v>
      </c>
      <c r="M100" s="68">
        <v>104.17</v>
      </c>
      <c r="N100" s="68">
        <v>104.17</v>
      </c>
      <c r="O100" s="36">
        <v>438</v>
      </c>
      <c r="P100" s="58">
        <v>8.3000000000000001E-3</v>
      </c>
      <c r="Q100" s="58">
        <v>0.22109999999999999</v>
      </c>
      <c r="R100" s="63">
        <f t="shared" si="37"/>
        <v>0.59347845551783462</v>
      </c>
      <c r="S100" s="63">
        <f t="shared" si="38"/>
        <v>8.324460362017224E-3</v>
      </c>
      <c r="T100" s="63">
        <f t="shared" si="39"/>
        <v>1.8604651162790697E-2</v>
      </c>
      <c r="U100" s="64">
        <f t="shared" si="40"/>
        <v>6.5000000000000006E-3</v>
      </c>
      <c r="V100" s="65">
        <f t="shared" si="41"/>
        <v>3.5000000000000003E-2</v>
      </c>
    </row>
    <row r="101" spans="1:22">
      <c r="A101" s="181">
        <v>90</v>
      </c>
      <c r="B101" s="150" t="s">
        <v>157</v>
      </c>
      <c r="C101" s="149" t="s">
        <v>46</v>
      </c>
      <c r="D101" s="40">
        <v>60484412.009999998</v>
      </c>
      <c r="E101" s="35">
        <f t="shared" ref="E101:E114" si="51">(D101/$D$115)</f>
        <v>2.4723119394711346E-4</v>
      </c>
      <c r="F101" s="40">
        <v>12.349092000000001</v>
      </c>
      <c r="G101" s="40">
        <v>12.957672000000001</v>
      </c>
      <c r="H101" s="36">
        <v>55</v>
      </c>
      <c r="I101" s="58">
        <v>-5.0000000000000001E-4</v>
      </c>
      <c r="J101" s="58">
        <v>-3.7499999999999999E-2</v>
      </c>
      <c r="K101" s="40">
        <v>60778126.759999998</v>
      </c>
      <c r="L101" s="35">
        <f t="shared" si="50"/>
        <v>2.4880035888026484E-4</v>
      </c>
      <c r="M101" s="40">
        <v>12.409058999999999</v>
      </c>
      <c r="N101" s="40">
        <v>13.025116000000001</v>
      </c>
      <c r="O101" s="36">
        <v>55</v>
      </c>
      <c r="P101" s="58">
        <v>-5.5999999999999999E-3</v>
      </c>
      <c r="Q101" s="58">
        <v>-4.3499999999999997E-2</v>
      </c>
      <c r="R101" s="63">
        <f t="shared" si="37"/>
        <v>4.8560404282584346E-3</v>
      </c>
      <c r="S101" s="63">
        <f t="shared" si="38"/>
        <v>5.2049473084362727E-3</v>
      </c>
      <c r="T101" s="63">
        <f t="shared" si="39"/>
        <v>0</v>
      </c>
      <c r="U101" s="64">
        <f t="shared" si="40"/>
        <v>-5.1000000000000004E-3</v>
      </c>
      <c r="V101" s="65">
        <f t="shared" si="41"/>
        <v>-5.9999999999999984E-3</v>
      </c>
    </row>
    <row r="102" spans="1:22">
      <c r="A102" s="181">
        <v>91</v>
      </c>
      <c r="B102" s="150" t="s">
        <v>158</v>
      </c>
      <c r="C102" s="149" t="s">
        <v>159</v>
      </c>
      <c r="D102" s="40">
        <v>965312410.37</v>
      </c>
      <c r="E102" s="35">
        <f t="shared" si="51"/>
        <v>3.9457329883323278E-3</v>
      </c>
      <c r="F102" s="40">
        <v>159.25</v>
      </c>
      <c r="G102" s="40">
        <v>159.25</v>
      </c>
      <c r="H102" s="36">
        <v>181</v>
      </c>
      <c r="I102" s="58">
        <v>0.1237</v>
      </c>
      <c r="J102" s="58">
        <v>0.1976</v>
      </c>
      <c r="K102" s="40">
        <v>936501040.88</v>
      </c>
      <c r="L102" s="35">
        <f t="shared" si="50"/>
        <v>3.8336455478919333E-3</v>
      </c>
      <c r="M102" s="40">
        <v>159.78</v>
      </c>
      <c r="N102" s="40">
        <v>159.78</v>
      </c>
      <c r="O102" s="36">
        <v>183</v>
      </c>
      <c r="P102" s="58">
        <v>0.19620000000000001</v>
      </c>
      <c r="Q102" s="58">
        <v>0.19639999999999999</v>
      </c>
      <c r="R102" s="63">
        <f t="shared" si="37"/>
        <v>-2.9846678837327636E-2</v>
      </c>
      <c r="S102" s="63">
        <f t="shared" si="38"/>
        <v>3.3281004709576211E-3</v>
      </c>
      <c r="T102" s="63">
        <f t="shared" si="39"/>
        <v>1.1049723756906077E-2</v>
      </c>
      <c r="U102" s="64">
        <f t="shared" si="40"/>
        <v>7.2500000000000009E-2</v>
      </c>
      <c r="V102" s="65">
        <f t="shared" si="41"/>
        <v>-1.2000000000000066E-3</v>
      </c>
    </row>
    <row r="103" spans="1:22">
      <c r="A103" s="181">
        <v>92</v>
      </c>
      <c r="B103" s="150" t="s">
        <v>160</v>
      </c>
      <c r="C103" s="149" t="s">
        <v>161</v>
      </c>
      <c r="D103" s="40">
        <v>10958156073.3013</v>
      </c>
      <c r="E103" s="35">
        <f t="shared" si="51"/>
        <v>4.4791673084515995E-2</v>
      </c>
      <c r="F103" s="40">
        <v>1.0176223377460401</v>
      </c>
      <c r="G103" s="40">
        <v>1.0176223377460401</v>
      </c>
      <c r="H103" s="36">
        <v>5258</v>
      </c>
      <c r="I103" s="58">
        <v>0.16139999999999999</v>
      </c>
      <c r="J103" s="58">
        <v>0.16139999999999999</v>
      </c>
      <c r="K103" s="40">
        <v>10541843666.5602</v>
      </c>
      <c r="L103" s="35">
        <f t="shared" si="50"/>
        <v>4.3153921111401899E-2</v>
      </c>
      <c r="M103" s="40">
        <v>1.02202469549506</v>
      </c>
      <c r="N103" s="40">
        <v>1.02202469549506</v>
      </c>
      <c r="O103" s="36">
        <v>5286</v>
      </c>
      <c r="P103" s="58">
        <v>0.16139999999999999</v>
      </c>
      <c r="Q103" s="58">
        <v>0.16139999999999999</v>
      </c>
      <c r="R103" s="63">
        <f t="shared" si="37"/>
        <v>-3.7991100323476253E-2</v>
      </c>
      <c r="S103" s="63">
        <f t="shared" si="38"/>
        <v>4.3261213769843973E-3</v>
      </c>
      <c r="T103" s="63">
        <f t="shared" si="39"/>
        <v>5.3252187143400529E-3</v>
      </c>
      <c r="U103" s="64">
        <f t="shared" si="40"/>
        <v>0</v>
      </c>
      <c r="V103" s="65">
        <f t="shared" si="41"/>
        <v>0</v>
      </c>
    </row>
    <row r="104" spans="1:22" ht="14.25" customHeight="1">
      <c r="A104" s="181">
        <v>93</v>
      </c>
      <c r="B104" s="150" t="s">
        <v>162</v>
      </c>
      <c r="C104" s="149" t="s">
        <v>50</v>
      </c>
      <c r="D104" s="40">
        <v>4854768352.75</v>
      </c>
      <c r="E104" s="35">
        <f t="shared" si="51"/>
        <v>1.9843958737477751E-2</v>
      </c>
      <c r="F104" s="40">
        <v>5176.1000000000004</v>
      </c>
      <c r="G104" s="40">
        <v>5176.1000000000004</v>
      </c>
      <c r="H104" s="36">
        <v>12</v>
      </c>
      <c r="I104" s="58">
        <v>0</v>
      </c>
      <c r="J104" s="58">
        <v>0</v>
      </c>
      <c r="K104" s="40">
        <v>4840283585.1400003</v>
      </c>
      <c r="L104" s="35">
        <f t="shared" si="50"/>
        <v>1.9814106772663011E-2</v>
      </c>
      <c r="M104" s="40">
        <v>5176.1000000000004</v>
      </c>
      <c r="N104" s="40">
        <v>5176.1000000000004</v>
      </c>
      <c r="O104" s="36">
        <v>10</v>
      </c>
      <c r="P104" s="58">
        <v>0</v>
      </c>
      <c r="Q104" s="58">
        <v>0</v>
      </c>
      <c r="R104" s="63">
        <f t="shared" si="37"/>
        <v>-2.9836166336947283E-3</v>
      </c>
      <c r="S104" s="63">
        <f t="shared" si="38"/>
        <v>0</v>
      </c>
      <c r="T104" s="63">
        <f t="shared" si="39"/>
        <v>-0.16666666666666666</v>
      </c>
      <c r="U104" s="64">
        <f t="shared" si="40"/>
        <v>0</v>
      </c>
      <c r="V104" s="65">
        <f t="shared" si="41"/>
        <v>0</v>
      </c>
    </row>
    <row r="105" spans="1:22" ht="13.5" customHeight="1">
      <c r="A105" s="181">
        <v>94</v>
      </c>
      <c r="B105" s="150" t="s">
        <v>163</v>
      </c>
      <c r="C105" s="149" t="s">
        <v>50</v>
      </c>
      <c r="D105" s="40">
        <v>15490232613.98</v>
      </c>
      <c r="E105" s="35">
        <f t="shared" si="51"/>
        <v>6.3316622852175944E-2</v>
      </c>
      <c r="F105" s="68">
        <v>259.24</v>
      </c>
      <c r="G105" s="68">
        <v>259.24</v>
      </c>
      <c r="H105" s="36">
        <v>5994</v>
      </c>
      <c r="I105" s="58">
        <v>0</v>
      </c>
      <c r="J105" s="58">
        <v>0</v>
      </c>
      <c r="K105" s="40">
        <v>15484290507.77</v>
      </c>
      <c r="L105" s="35">
        <f t="shared" si="50"/>
        <v>6.3386241740423371E-2</v>
      </c>
      <c r="M105" s="68">
        <v>259.24</v>
      </c>
      <c r="N105" s="68">
        <v>259.24</v>
      </c>
      <c r="O105" s="36">
        <v>5978</v>
      </c>
      <c r="P105" s="58">
        <v>0</v>
      </c>
      <c r="Q105" s="58">
        <v>0</v>
      </c>
      <c r="R105" s="63">
        <f t="shared" si="37"/>
        <v>-3.8360342017306501E-4</v>
      </c>
      <c r="S105" s="63">
        <f t="shared" si="38"/>
        <v>0</v>
      </c>
      <c r="T105" s="63">
        <f t="shared" si="39"/>
        <v>-2.6693360026693361E-3</v>
      </c>
      <c r="U105" s="64">
        <f t="shared" si="40"/>
        <v>0</v>
      </c>
      <c r="V105" s="65">
        <f t="shared" si="41"/>
        <v>0</v>
      </c>
    </row>
    <row r="106" spans="1:22" ht="13.5" customHeight="1">
      <c r="A106" s="181">
        <v>95</v>
      </c>
      <c r="B106" s="150" t="s">
        <v>164</v>
      </c>
      <c r="C106" s="149" t="s">
        <v>50</v>
      </c>
      <c r="D106" s="40">
        <v>909445944.08000004</v>
      </c>
      <c r="E106" s="35">
        <f t="shared" si="51"/>
        <v>3.717377736069988E-3</v>
      </c>
      <c r="F106" s="39">
        <v>9951.8799999999992</v>
      </c>
      <c r="G106" s="39">
        <v>9994.49</v>
      </c>
      <c r="H106" s="36">
        <v>24</v>
      </c>
      <c r="I106" s="58">
        <v>1.8700000000000001E-2</v>
      </c>
      <c r="J106" s="58">
        <v>6.0600000000000001E-2</v>
      </c>
      <c r="K106" s="40">
        <v>933821909.64999998</v>
      </c>
      <c r="L106" s="35">
        <f t="shared" si="50"/>
        <v>3.8226782995240548E-3</v>
      </c>
      <c r="M106" s="39">
        <v>10223.450000000001</v>
      </c>
      <c r="N106" s="39">
        <v>10264.48</v>
      </c>
      <c r="O106" s="36">
        <v>25</v>
      </c>
      <c r="P106" s="58">
        <v>2.7E-2</v>
      </c>
      <c r="Q106" s="58">
        <v>8.9200000000000002E-2</v>
      </c>
      <c r="R106" s="63">
        <f t="shared" si="37"/>
        <v>2.6803094487005248E-2</v>
      </c>
      <c r="S106" s="63">
        <f t="shared" si="38"/>
        <v>2.7013884650442372E-2</v>
      </c>
      <c r="T106" s="63">
        <f t="shared" si="39"/>
        <v>4.1666666666666664E-2</v>
      </c>
      <c r="U106" s="64">
        <f t="shared" si="40"/>
        <v>8.2999999999999984E-3</v>
      </c>
      <c r="V106" s="65">
        <f t="shared" si="41"/>
        <v>2.86E-2</v>
      </c>
    </row>
    <row r="107" spans="1:22" ht="15" customHeight="1">
      <c r="A107" s="181">
        <v>96</v>
      </c>
      <c r="B107" s="150" t="s">
        <v>165</v>
      </c>
      <c r="C107" s="149" t="s">
        <v>50</v>
      </c>
      <c r="D107" s="40">
        <v>7041036309.5500002</v>
      </c>
      <c r="E107" s="35">
        <f t="shared" si="51"/>
        <v>2.8780370935030671E-2</v>
      </c>
      <c r="F107" s="68">
        <v>164.36</v>
      </c>
      <c r="G107" s="68">
        <v>164.36</v>
      </c>
      <c r="H107" s="36">
        <v>5715</v>
      </c>
      <c r="I107" s="58">
        <v>3.0999999999999999E-3</v>
      </c>
      <c r="J107" s="58">
        <v>1.8200000000000001E-2</v>
      </c>
      <c r="K107" s="40">
        <v>6845573406.5100002</v>
      </c>
      <c r="L107" s="35">
        <f t="shared" si="50"/>
        <v>2.8022928824482991E-2</v>
      </c>
      <c r="M107" s="68">
        <v>164.85</v>
      </c>
      <c r="N107" s="68">
        <v>164.85</v>
      </c>
      <c r="O107" s="36">
        <v>5760</v>
      </c>
      <c r="P107" s="58">
        <v>3.0000000000000001E-3</v>
      </c>
      <c r="Q107" s="58">
        <v>2.12E-2</v>
      </c>
      <c r="R107" s="63">
        <f t="shared" si="37"/>
        <v>-2.7760530474027934E-2</v>
      </c>
      <c r="S107" s="63">
        <f t="shared" si="38"/>
        <v>2.981260647359337E-3</v>
      </c>
      <c r="T107" s="63">
        <f t="shared" si="39"/>
        <v>7.874015748031496E-3</v>
      </c>
      <c r="U107" s="64">
        <f t="shared" si="40"/>
        <v>-9.9999999999999829E-5</v>
      </c>
      <c r="V107" s="65">
        <f t="shared" si="41"/>
        <v>2.9999999999999992E-3</v>
      </c>
    </row>
    <row r="108" spans="1:22" ht="15" customHeight="1">
      <c r="A108" s="181">
        <v>97</v>
      </c>
      <c r="B108" s="150" t="s">
        <v>166</v>
      </c>
      <c r="C108" s="149" t="s">
        <v>50</v>
      </c>
      <c r="D108" s="40">
        <v>5668428878.0200005</v>
      </c>
      <c r="E108" s="35">
        <f t="shared" si="51"/>
        <v>2.3169811737369348E-2</v>
      </c>
      <c r="F108" s="68">
        <v>388.08</v>
      </c>
      <c r="G108" s="68">
        <v>388.08</v>
      </c>
      <c r="H108" s="36">
        <v>11401</v>
      </c>
      <c r="I108" s="58">
        <v>0</v>
      </c>
      <c r="J108" s="58">
        <v>7.4000000000000003E-3</v>
      </c>
      <c r="K108" s="40">
        <v>5645087398.5</v>
      </c>
      <c r="L108" s="35">
        <f t="shared" si="50"/>
        <v>2.3108638675280894E-2</v>
      </c>
      <c r="M108" s="68">
        <v>388.08</v>
      </c>
      <c r="N108" s="68">
        <v>388.08</v>
      </c>
      <c r="O108" s="36">
        <v>11444</v>
      </c>
      <c r="P108" s="58">
        <v>0</v>
      </c>
      <c r="Q108" s="58">
        <v>7.4000000000000003E-3</v>
      </c>
      <c r="R108" s="63">
        <f t="shared" si="37"/>
        <v>-4.1178040727492919E-3</v>
      </c>
      <c r="S108" s="63">
        <f t="shared" si="38"/>
        <v>0</v>
      </c>
      <c r="T108" s="63">
        <f t="shared" si="39"/>
        <v>3.7715989825453907E-3</v>
      </c>
      <c r="U108" s="64">
        <f t="shared" si="40"/>
        <v>0</v>
      </c>
      <c r="V108" s="65">
        <f t="shared" si="41"/>
        <v>0</v>
      </c>
    </row>
    <row r="109" spans="1:22" ht="15" customHeight="1">
      <c r="A109" s="181">
        <v>98</v>
      </c>
      <c r="B109" s="150" t="s">
        <v>167</v>
      </c>
      <c r="C109" s="149" t="s">
        <v>118</v>
      </c>
      <c r="D109" s="40">
        <v>116108726.54000001</v>
      </c>
      <c r="E109" s="35">
        <f t="shared" si="51"/>
        <v>4.7459664624692282E-4</v>
      </c>
      <c r="F109" s="68">
        <v>116.42959999999999</v>
      </c>
      <c r="G109" s="68">
        <v>116.42959999999999</v>
      </c>
      <c r="H109" s="36">
        <v>27</v>
      </c>
      <c r="I109" s="58">
        <v>3.8E-3</v>
      </c>
      <c r="J109" s="58">
        <v>0.38719999999999999</v>
      </c>
      <c r="K109" s="40">
        <v>116108726.54000001</v>
      </c>
      <c r="L109" s="35">
        <f t="shared" si="50"/>
        <v>4.7530080922623242E-4</v>
      </c>
      <c r="M109" s="68">
        <v>116.42959999999999</v>
      </c>
      <c r="N109" s="68">
        <v>116.42959999999999</v>
      </c>
      <c r="O109" s="36">
        <v>27</v>
      </c>
      <c r="P109" s="58">
        <v>3.8E-3</v>
      </c>
      <c r="Q109" s="58">
        <v>0.38719999999999999</v>
      </c>
      <c r="R109" s="63">
        <f t="shared" ref="R109" si="52">((K109-D109)/D109)</f>
        <v>0</v>
      </c>
      <c r="S109" s="63">
        <f t="shared" ref="S109" si="53">((N109-G109)/G109)</f>
        <v>0</v>
      </c>
      <c r="T109" s="63">
        <f t="shared" ref="T109" si="54">((O109-H109)/H109)</f>
        <v>0</v>
      </c>
      <c r="U109" s="64">
        <f t="shared" ref="U109" si="55">P109-I109</f>
        <v>0</v>
      </c>
      <c r="V109" s="65">
        <f t="shared" ref="V109" si="56">Q109-J109</f>
        <v>0</v>
      </c>
    </row>
    <row r="110" spans="1:22">
      <c r="A110" s="181">
        <v>99</v>
      </c>
      <c r="B110" s="150" t="s">
        <v>168</v>
      </c>
      <c r="C110" s="149" t="s">
        <v>53</v>
      </c>
      <c r="D110" s="40">
        <v>82243285295.440002</v>
      </c>
      <c r="E110" s="35">
        <f t="shared" si="51"/>
        <v>0.33617100575207709</v>
      </c>
      <c r="F110" s="40">
        <v>1.9968999999999999</v>
      </c>
      <c r="G110" s="40">
        <v>1.9968999999999999</v>
      </c>
      <c r="H110" s="36">
        <v>6920</v>
      </c>
      <c r="I110" s="58">
        <v>1.6000000000000001E-3</v>
      </c>
      <c r="J110" s="58">
        <v>8.3000000000000004E-2</v>
      </c>
      <c r="K110" s="40">
        <v>80602198942.179993</v>
      </c>
      <c r="L110" s="35">
        <f t="shared" si="50"/>
        <v>0.32995186084858014</v>
      </c>
      <c r="M110" s="40">
        <v>1.9999</v>
      </c>
      <c r="N110" s="40">
        <v>1.9999</v>
      </c>
      <c r="O110" s="36">
        <v>6929</v>
      </c>
      <c r="P110" s="58">
        <v>1.5E-3</v>
      </c>
      <c r="Q110" s="58">
        <v>8.2799999999999999E-2</v>
      </c>
      <c r="R110" s="63">
        <f t="shared" si="37"/>
        <v>-1.9954046672196839E-2</v>
      </c>
      <c r="S110" s="63">
        <f t="shared" si="38"/>
        <v>1.502328609344541E-3</v>
      </c>
      <c r="T110" s="63">
        <f t="shared" si="39"/>
        <v>1.3005780346820809E-3</v>
      </c>
      <c r="U110" s="64">
        <f t="shared" si="40"/>
        <v>-1.0000000000000005E-4</v>
      </c>
      <c r="V110" s="65">
        <f t="shared" si="41"/>
        <v>-2.0000000000000573E-4</v>
      </c>
    </row>
    <row r="111" spans="1:22">
      <c r="A111" s="181">
        <v>100</v>
      </c>
      <c r="B111" s="150" t="s">
        <v>169</v>
      </c>
      <c r="C111" s="149" t="s">
        <v>53</v>
      </c>
      <c r="D111" s="40">
        <v>67336536914.82</v>
      </c>
      <c r="E111" s="35">
        <f t="shared" si="51"/>
        <v>0.27523938589272279</v>
      </c>
      <c r="F111" s="40">
        <v>131.30879999999999</v>
      </c>
      <c r="G111" s="40">
        <v>131.30879999999999</v>
      </c>
      <c r="H111" s="36">
        <v>1357</v>
      </c>
      <c r="I111" s="58">
        <v>2.8E-3</v>
      </c>
      <c r="J111" s="58">
        <v>0.16</v>
      </c>
      <c r="K111" s="40">
        <v>67273037365.18</v>
      </c>
      <c r="L111" s="35">
        <f t="shared" si="50"/>
        <v>0.27538782012014495</v>
      </c>
      <c r="M111" s="40">
        <v>131.67930000000001</v>
      </c>
      <c r="N111" s="40">
        <v>131.67930000000001</v>
      </c>
      <c r="O111" s="36">
        <v>1375</v>
      </c>
      <c r="P111" s="58">
        <v>2.8E-3</v>
      </c>
      <c r="Q111" s="58">
        <v>0.15970000000000001</v>
      </c>
      <c r="R111" s="63">
        <f t="shared" ref="R111:R113" si="57">((K111-D111)/D111)</f>
        <v>-9.4301775157112162E-4</v>
      </c>
      <c r="S111" s="63">
        <f t="shared" ref="S111:S113" si="58">((N111-G111)/G111)</f>
        <v>2.8215930691623194E-3</v>
      </c>
      <c r="T111" s="63">
        <f t="shared" ref="T111:T113" si="59">((O111-H111)/H111)</f>
        <v>1.3264554163596167E-2</v>
      </c>
      <c r="U111" s="64">
        <f t="shared" ref="U111:U113" si="60">P111-I111</f>
        <v>0</v>
      </c>
      <c r="V111" s="65">
        <f t="shared" ref="V111:V113" si="61">Q111-J111</f>
        <v>-2.9999999999999472E-4</v>
      </c>
    </row>
    <row r="112" spans="1:22">
      <c r="A112" s="181">
        <v>101</v>
      </c>
      <c r="B112" s="150" t="s">
        <v>170</v>
      </c>
      <c r="C112" s="150" t="s">
        <v>171</v>
      </c>
      <c r="D112" s="40">
        <v>113777156.51000001</v>
      </c>
      <c r="E112" s="35">
        <f t="shared" si="51"/>
        <v>4.6506630903883519E-4</v>
      </c>
      <c r="F112" s="40">
        <v>114.84820000000001</v>
      </c>
      <c r="G112" s="40">
        <v>114.84820000000001</v>
      </c>
      <c r="H112" s="70">
        <v>88</v>
      </c>
      <c r="I112" s="72">
        <v>6.9999999999999999E-4</v>
      </c>
      <c r="J112" s="72">
        <v>-1.55E-2</v>
      </c>
      <c r="K112" s="40">
        <v>116491809.84</v>
      </c>
      <c r="L112" s="35">
        <f t="shared" si="50"/>
        <v>4.7686899284099564E-4</v>
      </c>
      <c r="M112" s="40">
        <v>117.57</v>
      </c>
      <c r="N112" s="40">
        <v>117.57</v>
      </c>
      <c r="O112" s="70">
        <v>88</v>
      </c>
      <c r="P112" s="72">
        <v>1.9E-3</v>
      </c>
      <c r="Q112" s="72">
        <v>7.7999999999999996E-3</v>
      </c>
      <c r="R112" s="63">
        <f t="shared" si="57"/>
        <v>2.3859388064083005E-2</v>
      </c>
      <c r="S112" s="63">
        <f t="shared" si="58"/>
        <v>2.369910891071856E-2</v>
      </c>
      <c r="T112" s="63">
        <f t="shared" si="59"/>
        <v>0</v>
      </c>
      <c r="U112" s="64">
        <f t="shared" si="60"/>
        <v>1.2000000000000001E-3</v>
      </c>
      <c r="V112" s="65">
        <f t="shared" si="61"/>
        <v>2.3300000000000001E-2</v>
      </c>
    </row>
    <row r="113" spans="1:28">
      <c r="A113" s="181">
        <v>102</v>
      </c>
      <c r="B113" s="150" t="s">
        <v>172</v>
      </c>
      <c r="C113" s="149" t="s">
        <v>125</v>
      </c>
      <c r="D113" s="40">
        <v>457587282.55000001</v>
      </c>
      <c r="E113" s="35">
        <f t="shared" si="51"/>
        <v>1.870396792170976E-3</v>
      </c>
      <c r="F113" s="40">
        <v>1.38</v>
      </c>
      <c r="G113" s="40">
        <v>1.38</v>
      </c>
      <c r="H113" s="36">
        <v>840</v>
      </c>
      <c r="I113" s="58">
        <v>2.5999999999999999E-3</v>
      </c>
      <c r="J113" s="58">
        <v>8.6E-3</v>
      </c>
      <c r="K113" s="40">
        <v>467544890.19</v>
      </c>
      <c r="L113" s="35">
        <f t="shared" si="50"/>
        <v>1.9139342173418773E-3</v>
      </c>
      <c r="M113" s="40">
        <v>1.41</v>
      </c>
      <c r="N113" s="40">
        <v>1.41</v>
      </c>
      <c r="O113" s="36">
        <v>851</v>
      </c>
      <c r="P113" s="58">
        <v>1.67E-2</v>
      </c>
      <c r="Q113" s="58">
        <v>2.6200000000000001E-2</v>
      </c>
      <c r="R113" s="63">
        <f t="shared" si="57"/>
        <v>2.1761110983043831E-2</v>
      </c>
      <c r="S113" s="63">
        <f t="shared" si="58"/>
        <v>2.1739130434782629E-2</v>
      </c>
      <c r="T113" s="63">
        <f t="shared" si="59"/>
        <v>1.3095238095238096E-2</v>
      </c>
      <c r="U113" s="64">
        <f t="shared" si="60"/>
        <v>1.41E-2</v>
      </c>
      <c r="V113" s="65">
        <f t="shared" si="61"/>
        <v>1.7600000000000001E-2</v>
      </c>
    </row>
    <row r="114" spans="1:28">
      <c r="A114" s="181">
        <v>103</v>
      </c>
      <c r="B114" s="150" t="s">
        <v>173</v>
      </c>
      <c r="C114" s="149" t="s">
        <v>127</v>
      </c>
      <c r="D114" s="40">
        <v>2075365957.55</v>
      </c>
      <c r="E114" s="35">
        <f t="shared" si="51"/>
        <v>8.4830981489486899E-3</v>
      </c>
      <c r="F114" s="68">
        <v>31.652200000000001</v>
      </c>
      <c r="G114" s="68">
        <v>31.652200000000001</v>
      </c>
      <c r="H114" s="36">
        <v>1326</v>
      </c>
      <c r="I114" s="58">
        <v>0.187</v>
      </c>
      <c r="J114" s="58">
        <v>0.187</v>
      </c>
      <c r="K114" s="40">
        <v>2016148592.1900001</v>
      </c>
      <c r="L114" s="35">
        <f t="shared" si="50"/>
        <v>8.2532733408122033E-3</v>
      </c>
      <c r="M114" s="68">
        <v>31.732199999999999</v>
      </c>
      <c r="N114" s="68">
        <v>31.732199999999999</v>
      </c>
      <c r="O114" s="36">
        <v>1329</v>
      </c>
      <c r="P114" s="58">
        <v>0.15010000000000001</v>
      </c>
      <c r="Q114" s="58">
        <v>0.15010000000000001</v>
      </c>
      <c r="R114" s="63">
        <f t="shared" si="37"/>
        <v>-2.8533457024565858E-2</v>
      </c>
      <c r="S114" s="63">
        <f t="shared" si="38"/>
        <v>2.5274704443924369E-3</v>
      </c>
      <c r="T114" s="63">
        <f t="shared" si="39"/>
        <v>2.2624434389140274E-3</v>
      </c>
      <c r="U114" s="64">
        <f t="shared" si="40"/>
        <v>-3.6899999999999988E-2</v>
      </c>
      <c r="V114" s="65">
        <f t="shared" si="41"/>
        <v>-3.6899999999999988E-2</v>
      </c>
    </row>
    <row r="115" spans="1:28">
      <c r="A115" s="43"/>
      <c r="B115" s="44"/>
      <c r="C115" s="45" t="s">
        <v>56</v>
      </c>
      <c r="D115" s="67">
        <f>SUM(D76:D114)</f>
        <v>244647170303.8353</v>
      </c>
      <c r="E115" s="47">
        <f>(D115/$D$233)</f>
        <v>2.9920736459300278E-2</v>
      </c>
      <c r="F115" s="48"/>
      <c r="G115" s="53"/>
      <c r="H115" s="50">
        <f>SUM(H76:H114)</f>
        <v>62692</v>
      </c>
      <c r="I115" s="61"/>
      <c r="J115" s="61"/>
      <c r="K115" s="67">
        <f>SUM(K76:K114)</f>
        <v>244284723034.70218</v>
      </c>
      <c r="L115" s="47">
        <f>(K115/$K$233)</f>
        <v>2.9754476259952933E-2</v>
      </c>
      <c r="M115" s="48"/>
      <c r="N115" s="53"/>
      <c r="O115" s="50">
        <f>SUM(O76:O114)</f>
        <v>63095</v>
      </c>
      <c r="P115" s="61"/>
      <c r="Q115" s="61"/>
      <c r="R115" s="63">
        <f t="shared" si="37"/>
        <v>-1.4815101629133197E-3</v>
      </c>
      <c r="S115" s="63" t="e">
        <f t="shared" si="38"/>
        <v>#DIV/0!</v>
      </c>
      <c r="T115" s="63">
        <f t="shared" si="39"/>
        <v>6.4282524086007788E-3</v>
      </c>
      <c r="U115" s="64">
        <f t="shared" si="40"/>
        <v>0</v>
      </c>
      <c r="V115" s="65">
        <f t="shared" si="41"/>
        <v>0</v>
      </c>
    </row>
    <row r="116" spans="1:28" ht="3.75" customHeight="1">
      <c r="A116" s="43"/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</row>
    <row r="117" spans="1:28" ht="15" customHeight="1">
      <c r="A117" s="196" t="s">
        <v>174</v>
      </c>
      <c r="B117" s="196"/>
      <c r="C117" s="196"/>
      <c r="D117" s="196"/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</row>
    <row r="118" spans="1:28">
      <c r="A118" s="195" t="s">
        <v>175</v>
      </c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  <c r="Z118" s="73"/>
      <c r="AB118" s="75"/>
    </row>
    <row r="119" spans="1:28" ht="16.5" customHeight="1">
      <c r="A119" s="181">
        <v>104</v>
      </c>
      <c r="B119" s="150" t="s">
        <v>176</v>
      </c>
      <c r="C119" s="149" t="s">
        <v>20</v>
      </c>
      <c r="D119" s="40">
        <v>3456462537.5599999</v>
      </c>
      <c r="E119" s="35">
        <f t="shared" ref="E119:E124" si="62">(D119/$D$157)</f>
        <v>1.8780298909530681E-3</v>
      </c>
      <c r="F119" s="40">
        <v>115.8134</v>
      </c>
      <c r="G119" s="40">
        <v>115.8134</v>
      </c>
      <c r="H119" s="36">
        <v>192</v>
      </c>
      <c r="I119" s="58">
        <v>6.8999999999999999E-3</v>
      </c>
      <c r="J119" s="58">
        <v>1.12E-2</v>
      </c>
      <c r="K119" s="40">
        <v>3456462537.5599999</v>
      </c>
      <c r="L119" s="35">
        <f t="shared" ref="L119:L135" si="63">(K119/$K$157)</f>
        <v>1.8980281882506353E-3</v>
      </c>
      <c r="M119" s="148">
        <v>116.0479</v>
      </c>
      <c r="N119" s="40">
        <v>116.0479</v>
      </c>
      <c r="O119" s="36">
        <v>192</v>
      </c>
      <c r="P119" s="58">
        <v>2E-3</v>
      </c>
      <c r="Q119" s="58">
        <v>1.32E-2</v>
      </c>
      <c r="R119" s="63">
        <f>((K119-D119)/D119)</f>
        <v>0</v>
      </c>
      <c r="S119" s="63">
        <f>((N119-G119)/G119)</f>
        <v>2.024808873584551E-3</v>
      </c>
      <c r="T119" s="63">
        <f>((O119-H119)/H119)</f>
        <v>0</v>
      </c>
      <c r="U119" s="63">
        <f>P119-I119</f>
        <v>-4.8999999999999998E-3</v>
      </c>
      <c r="V119" s="110">
        <f>Q119-J119</f>
        <v>2E-3</v>
      </c>
      <c r="X119" s="73"/>
      <c r="Y119" s="76"/>
      <c r="Z119" s="73"/>
      <c r="AA119" s="77"/>
    </row>
    <row r="120" spans="1:28" ht="16.5" customHeight="1">
      <c r="A120" s="181">
        <v>105</v>
      </c>
      <c r="B120" s="150" t="s">
        <v>177</v>
      </c>
      <c r="C120" s="149" t="s">
        <v>60</v>
      </c>
      <c r="D120" s="40">
        <v>5451067636.9725018</v>
      </c>
      <c r="E120" s="35">
        <f t="shared" si="62"/>
        <v>2.9617760495295286E-3</v>
      </c>
      <c r="F120" s="40">
        <v>137141.20335800003</v>
      </c>
      <c r="G120" s="40">
        <v>137141.20335800003</v>
      </c>
      <c r="H120" s="36">
        <v>103</v>
      </c>
      <c r="I120" s="58">
        <v>3.1059999999999998E-3</v>
      </c>
      <c r="J120" s="58">
        <v>1.1754000000000001E-2</v>
      </c>
      <c r="K120" s="40">
        <f>4055185.1*W138</f>
        <v>5459590591.46134</v>
      </c>
      <c r="L120" s="35">
        <f t="shared" si="63"/>
        <v>2.9979948361357591E-3</v>
      </c>
      <c r="M120" s="40">
        <f>101.92*W138</f>
        <v>137217.28092799999</v>
      </c>
      <c r="N120" s="40">
        <f>101.92*W138</f>
        <v>137217.28092799999</v>
      </c>
      <c r="O120" s="36">
        <v>103</v>
      </c>
      <c r="P120" s="58">
        <v>7.4130000000000003E-3</v>
      </c>
      <c r="Q120" s="58">
        <v>1.9167E-2</v>
      </c>
      <c r="R120" s="64">
        <f>((K120-D120)/D120)</f>
        <v>1.5635385683036224E-3</v>
      </c>
      <c r="S120" s="64">
        <f>((N120-G120)/G120)</f>
        <v>5.5473897076262592E-4</v>
      </c>
      <c r="T120" s="64">
        <f>((O120-H120)/H120)</f>
        <v>0</v>
      </c>
      <c r="U120" s="64">
        <f>P120-I120</f>
        <v>4.3070000000000001E-3</v>
      </c>
      <c r="V120" s="65">
        <f>Q120-J120</f>
        <v>7.4129999999999995E-3</v>
      </c>
      <c r="X120" s="73"/>
      <c r="Y120" s="76"/>
      <c r="Z120" s="73"/>
      <c r="AA120" s="77"/>
    </row>
    <row r="121" spans="1:28">
      <c r="A121" s="181">
        <v>106</v>
      </c>
      <c r="B121" s="150" t="s">
        <v>178</v>
      </c>
      <c r="C121" s="149" t="s">
        <v>24</v>
      </c>
      <c r="D121" s="40">
        <v>16731559822.348989</v>
      </c>
      <c r="E121" s="35">
        <f t="shared" si="62"/>
        <v>9.0909041041777397E-3</v>
      </c>
      <c r="F121" s="40">
        <v>1649.13720227</v>
      </c>
      <c r="G121" s="40">
        <v>1649.13720227</v>
      </c>
      <c r="H121" s="36">
        <v>327</v>
      </c>
      <c r="I121" s="58">
        <v>9.0200000000000002E-2</v>
      </c>
      <c r="J121" s="58">
        <v>6.4600000000000005E-2</v>
      </c>
      <c r="K121" s="40">
        <f>12579229.35*FX_RATE</f>
        <v>16935710827.87179</v>
      </c>
      <c r="L121" s="35">
        <f t="shared" si="63"/>
        <v>9.2998133756871867E-3</v>
      </c>
      <c r="M121" s="40">
        <f>1.2185*W138</f>
        <v>1640.4950628999998</v>
      </c>
      <c r="N121" s="40">
        <f>1.2185*W138</f>
        <v>1640.4950628999998</v>
      </c>
      <c r="O121" s="36">
        <v>330</v>
      </c>
      <c r="P121" s="58">
        <v>7.7100000000000002E-2</v>
      </c>
      <c r="Q121" s="58">
        <v>6.6400000000000001E-2</v>
      </c>
      <c r="R121" s="64">
        <f t="shared" ref="R121:R133" si="64">((K121-D121)/D121)</f>
        <v>1.2201552496624258E-2</v>
      </c>
      <c r="S121" s="64">
        <f t="shared" ref="S121:S133" si="65">((N121-G121)/G121)</f>
        <v>-5.2404004700788475E-3</v>
      </c>
      <c r="T121" s="64">
        <f t="shared" ref="T121:T133" si="66">((O121-H121)/H121)</f>
        <v>9.1743119266055051E-3</v>
      </c>
      <c r="U121" s="64">
        <f t="shared" ref="U121:U133" si="67">P121-I121</f>
        <v>-1.3100000000000001E-2</v>
      </c>
      <c r="V121" s="65">
        <f t="shared" ref="V121:V133" si="68">Q121-J121</f>
        <v>1.799999999999996E-3</v>
      </c>
    </row>
    <row r="122" spans="1:28">
      <c r="A122" s="181">
        <v>107</v>
      </c>
      <c r="B122" s="150" t="s">
        <v>179</v>
      </c>
      <c r="C122" s="149" t="s">
        <v>24</v>
      </c>
      <c r="D122" s="40">
        <v>4255830028.7608533</v>
      </c>
      <c r="E122" s="35">
        <f t="shared" si="62"/>
        <v>2.3123571911966069E-3</v>
      </c>
      <c r="F122" s="40">
        <v>1420.6137106100002</v>
      </c>
      <c r="G122" s="40">
        <v>1420.6137106100002</v>
      </c>
      <c r="H122" s="36">
        <v>112</v>
      </c>
      <c r="I122" s="58">
        <v>2.9899999999999999E-2</v>
      </c>
      <c r="J122" s="58">
        <v>2.9399999999999999E-2</v>
      </c>
      <c r="K122" s="40">
        <f>3061839.15*W138</f>
        <v>4122225694.6811099</v>
      </c>
      <c r="L122" s="35">
        <f t="shared" si="63"/>
        <v>2.2636150346819683E-3</v>
      </c>
      <c r="M122" s="40">
        <f>1.0526*W138</f>
        <v>1417.1400108400001</v>
      </c>
      <c r="N122" s="40">
        <f>1.0526*W138</f>
        <v>1417.1400108400001</v>
      </c>
      <c r="O122" s="36">
        <v>114</v>
      </c>
      <c r="P122" s="58">
        <v>0.22389999999999999</v>
      </c>
      <c r="Q122" s="58">
        <v>5.62E-2</v>
      </c>
      <c r="R122" s="64">
        <f t="shared" si="64"/>
        <v>-3.1393249536952071E-2</v>
      </c>
      <c r="S122" s="64">
        <f t="shared" ref="S122" si="69">((N122-G122)/G122)</f>
        <v>-2.4452106466778976E-3</v>
      </c>
      <c r="T122" s="64">
        <f t="shared" ref="T122" si="70">((O122-H122)/H122)</f>
        <v>1.7857142857142856E-2</v>
      </c>
      <c r="U122" s="64">
        <f t="shared" ref="U122" si="71">P122-I122</f>
        <v>0.19399999999999998</v>
      </c>
      <c r="V122" s="65">
        <f t="shared" ref="V122" si="72">Q122-J122</f>
        <v>2.6800000000000001E-2</v>
      </c>
    </row>
    <row r="123" spans="1:28">
      <c r="A123" s="181">
        <v>108</v>
      </c>
      <c r="B123" s="150" t="s">
        <v>180</v>
      </c>
      <c r="C123" s="149" t="s">
        <v>28</v>
      </c>
      <c r="D123" s="40">
        <v>48837450392.923561</v>
      </c>
      <c r="E123" s="35">
        <f t="shared" si="62"/>
        <v>2.6535277220332377E-2</v>
      </c>
      <c r="F123" s="40">
        <v>1711.2153512500001</v>
      </c>
      <c r="G123" s="40">
        <v>1711.2153512500001</v>
      </c>
      <c r="H123" s="36">
        <v>655</v>
      </c>
      <c r="I123" s="58">
        <v>9.4000000000000004E-3</v>
      </c>
      <c r="J123" s="58">
        <v>1.23E-2</v>
      </c>
      <c r="K123" s="40">
        <f>36465729.04*W138</f>
        <v>49094664304.611534</v>
      </c>
      <c r="L123" s="35">
        <f t="shared" si="63"/>
        <v>2.695908193138848E-2</v>
      </c>
      <c r="M123" s="40">
        <f>1.2762*W138</f>
        <v>1718.17792308</v>
      </c>
      <c r="N123" s="40">
        <f>1.2762*W138</f>
        <v>1718.17792308</v>
      </c>
      <c r="O123" s="36">
        <v>659</v>
      </c>
      <c r="P123" s="58">
        <v>1.09E-2</v>
      </c>
      <c r="Q123" s="58">
        <v>2.3300000000000001E-2</v>
      </c>
      <c r="R123" s="64">
        <f t="shared" si="64"/>
        <v>5.266735048995161E-3</v>
      </c>
      <c r="S123" s="64">
        <f t="shared" ref="S123:T126" si="73">((N123-G123)/G123)</f>
        <v>4.068787616306681E-3</v>
      </c>
      <c r="T123" s="64">
        <f t="shared" si="73"/>
        <v>6.1068702290076335E-3</v>
      </c>
      <c r="U123" s="64">
        <f t="shared" si="67"/>
        <v>1.4999999999999996E-3</v>
      </c>
      <c r="V123" s="65">
        <f t="shared" si="68"/>
        <v>1.1000000000000001E-2</v>
      </c>
    </row>
    <row r="124" spans="1:28">
      <c r="A124" s="181">
        <v>109</v>
      </c>
      <c r="B124" s="150" t="s">
        <v>181</v>
      </c>
      <c r="C124" s="149" t="s">
        <v>69</v>
      </c>
      <c r="D124" s="40">
        <v>1434040346.7667899</v>
      </c>
      <c r="E124" s="35">
        <f t="shared" si="62"/>
        <v>7.7916962987306334E-4</v>
      </c>
      <c r="F124" s="40">
        <v>1485.2671539800003</v>
      </c>
      <c r="G124" s="40">
        <v>1490.9599100000003</v>
      </c>
      <c r="H124" s="36">
        <v>70</v>
      </c>
      <c r="I124" s="58">
        <v>1.2999999999999999E-3</v>
      </c>
      <c r="J124" s="58">
        <v>0.16209999999999999</v>
      </c>
      <c r="K124" s="40">
        <f>1070692.24*W138</f>
        <v>1441498016.9104159</v>
      </c>
      <c r="L124" s="35">
        <f t="shared" si="63"/>
        <v>7.9156184673558516E-4</v>
      </c>
      <c r="M124" s="40">
        <f>1.0961*W138</f>
        <v>1475.7050787400001</v>
      </c>
      <c r="N124" s="40">
        <f>1.11*W138</f>
        <v>1494.4189740000002</v>
      </c>
      <c r="O124" s="36">
        <v>72</v>
      </c>
      <c r="P124" s="58">
        <v>-6.9999999999999994E-5</v>
      </c>
      <c r="Q124" s="58">
        <v>0.1401</v>
      </c>
      <c r="R124" s="64">
        <f t="shared" si="64"/>
        <v>5.2004604754950978E-3</v>
      </c>
      <c r="S124" s="64">
        <f t="shared" si="73"/>
        <v>2.3200248221294547E-3</v>
      </c>
      <c r="T124" s="64">
        <f t="shared" si="73"/>
        <v>2.8571428571428571E-2</v>
      </c>
      <c r="U124" s="64">
        <f t="shared" si="67"/>
        <v>-1.3699999999999999E-3</v>
      </c>
      <c r="V124" s="65">
        <f t="shared" si="68"/>
        <v>-2.1999999999999992E-2</v>
      </c>
    </row>
    <row r="125" spans="1:28">
      <c r="A125" s="181">
        <v>110</v>
      </c>
      <c r="B125" s="150" t="s">
        <v>182</v>
      </c>
      <c r="C125" s="149" t="s">
        <v>30</v>
      </c>
      <c r="D125" s="40">
        <v>845312732.98826003</v>
      </c>
      <c r="E125" s="35">
        <v>0</v>
      </c>
      <c r="F125" s="40">
        <v>1935.4015049900001</v>
      </c>
      <c r="G125" s="40">
        <v>1935.4015049900001</v>
      </c>
      <c r="H125" s="36">
        <v>75</v>
      </c>
      <c r="I125" s="58">
        <v>4.28E-4</v>
      </c>
      <c r="J125" s="58">
        <v>1.9E-2</v>
      </c>
      <c r="K125" s="40">
        <f>620594.01*W138</f>
        <v>835520237.56283402</v>
      </c>
      <c r="L125" s="35">
        <f t="shared" si="63"/>
        <v>4.5880461469361377E-4</v>
      </c>
      <c r="M125" s="40">
        <f>1.4313*W138</f>
        <v>1926.9926824199999</v>
      </c>
      <c r="N125" s="40">
        <f>1.4313*W138</f>
        <v>1926.9926824199999</v>
      </c>
      <c r="O125" s="36">
        <v>74</v>
      </c>
      <c r="P125" s="58">
        <v>4.3899999999999999E-4</v>
      </c>
      <c r="Q125" s="58">
        <v>2.0500000000000001E-2</v>
      </c>
      <c r="R125" s="64">
        <f t="shared" si="64"/>
        <v>-1.1584464593131838E-2</v>
      </c>
      <c r="S125" s="64">
        <f t="shared" si="73"/>
        <v>-4.3447432216622449E-3</v>
      </c>
      <c r="T125" s="64">
        <f t="shared" si="73"/>
        <v>-1.3333333333333334E-2</v>
      </c>
      <c r="U125" s="64">
        <f t="shared" si="67"/>
        <v>1.0999999999999996E-5</v>
      </c>
      <c r="V125" s="65">
        <f t="shared" si="68"/>
        <v>1.5000000000000013E-3</v>
      </c>
    </row>
    <row r="126" spans="1:28">
      <c r="A126" s="181">
        <v>111</v>
      </c>
      <c r="B126" s="150" t="s">
        <v>183</v>
      </c>
      <c r="C126" s="149" t="s">
        <v>79</v>
      </c>
      <c r="D126" s="40">
        <v>1896527693.702389</v>
      </c>
      <c r="E126" s="35">
        <f t="shared" ref="E126:E135" si="74">(D126/$D$157)</f>
        <v>1.0304569076301016E-3</v>
      </c>
      <c r="F126" s="40">
        <v>146303.82971400002</v>
      </c>
      <c r="G126" s="40">
        <v>146656.23842000001</v>
      </c>
      <c r="H126" s="36">
        <v>84</v>
      </c>
      <c r="I126" s="58">
        <v>8.9999999999999998E-4</v>
      </c>
      <c r="J126" s="58">
        <v>6.4999999999999997E-3</v>
      </c>
      <c r="K126" s="40">
        <f>1400056.65*W138</f>
        <v>1884929029.2206099</v>
      </c>
      <c r="L126" s="35">
        <f>(K126/$K$157)</f>
        <v>1.0350606701029577E-3</v>
      </c>
      <c r="M126" s="40">
        <f>108*W138</f>
        <v>145402.92720000001</v>
      </c>
      <c r="N126" s="40">
        <f>108.29*W138</f>
        <v>145793.36098600001</v>
      </c>
      <c r="O126" s="36">
        <v>84</v>
      </c>
      <c r="P126" s="58">
        <v>6.9999999999999999E-4</v>
      </c>
      <c r="Q126" s="58">
        <v>7.1999999999999998E-3</v>
      </c>
      <c r="R126" s="64">
        <f t="shared" si="64"/>
        <v>-6.1157369440444399E-3</v>
      </c>
      <c r="S126" s="64">
        <f t="shared" si="73"/>
        <v>-5.8836735709043046E-3</v>
      </c>
      <c r="T126" s="64">
        <f t="shared" si="73"/>
        <v>0</v>
      </c>
      <c r="U126" s="64">
        <f t="shared" si="67"/>
        <v>-1.9999999999999998E-4</v>
      </c>
      <c r="V126" s="65">
        <f t="shared" si="68"/>
        <v>7.000000000000001E-4</v>
      </c>
    </row>
    <row r="127" spans="1:28">
      <c r="A127" s="181">
        <v>112</v>
      </c>
      <c r="B127" s="150" t="s">
        <v>184</v>
      </c>
      <c r="C127" s="149" t="s">
        <v>82</v>
      </c>
      <c r="D127" s="40">
        <v>4542542510.5200005</v>
      </c>
      <c r="E127" s="35">
        <f t="shared" si="74"/>
        <v>2.4681391807312375E-3</v>
      </c>
      <c r="F127" s="40">
        <v>1615.64</v>
      </c>
      <c r="G127" s="40">
        <v>1615.64</v>
      </c>
      <c r="H127" s="36">
        <v>63</v>
      </c>
      <c r="I127" s="58">
        <v>6.5799999999999997E-2</v>
      </c>
      <c r="J127" s="58">
        <v>6.3700000000000007E-2</v>
      </c>
      <c r="K127" s="40">
        <v>4744094867.0799999</v>
      </c>
      <c r="L127" s="35">
        <f t="shared" si="63"/>
        <v>2.6050986196452259E-3</v>
      </c>
      <c r="M127" s="40">
        <v>1607.21</v>
      </c>
      <c r="N127" s="40">
        <v>1607.21</v>
      </c>
      <c r="O127" s="36">
        <v>63</v>
      </c>
      <c r="P127" s="58">
        <v>6.5799999999999997E-2</v>
      </c>
      <c r="Q127" s="58">
        <v>2.46E-2</v>
      </c>
      <c r="R127" s="64">
        <f t="shared" si="64"/>
        <v>4.4369943945098508E-2</v>
      </c>
      <c r="S127" s="64">
        <f t="shared" si="65"/>
        <v>-5.2177465276918517E-3</v>
      </c>
      <c r="T127" s="64">
        <f t="shared" si="66"/>
        <v>0</v>
      </c>
      <c r="U127" s="64">
        <f t="shared" si="67"/>
        <v>0</v>
      </c>
      <c r="V127" s="65">
        <f t="shared" si="68"/>
        <v>-3.910000000000001E-2</v>
      </c>
      <c r="X127" s="74"/>
    </row>
    <row r="128" spans="1:28">
      <c r="A128" s="181">
        <v>113</v>
      </c>
      <c r="B128" s="150" t="s">
        <v>185</v>
      </c>
      <c r="C128" s="149" t="s">
        <v>32</v>
      </c>
      <c r="D128" s="40">
        <v>51739819802.950249</v>
      </c>
      <c r="E128" s="35">
        <f t="shared" si="74"/>
        <v>2.8112246867012171E-2</v>
      </c>
      <c r="F128" s="40">
        <v>174794.71817600002</v>
      </c>
      <c r="G128" s="40">
        <v>174794.71817600002</v>
      </c>
      <c r="H128" s="36">
        <v>2562</v>
      </c>
      <c r="I128" s="58">
        <v>-1.2999999999999999E-3</v>
      </c>
      <c r="J128" s="58">
        <v>8.3999999999999995E-3</v>
      </c>
      <c r="K128" s="40">
        <f>37256459.34*W138</f>
        <v>50159243010.590561</v>
      </c>
      <c r="L128" s="35">
        <f t="shared" si="63"/>
        <v>2.7543668158087748E-2</v>
      </c>
      <c r="M128" s="40">
        <f>129.11*W138</f>
        <v>173823.81417400003</v>
      </c>
      <c r="N128" s="40">
        <f>129.14*W138</f>
        <v>173864.20387599999</v>
      </c>
      <c r="O128" s="36">
        <v>2559</v>
      </c>
      <c r="P128" s="58">
        <v>-1.2999999999999999E-3</v>
      </c>
      <c r="Q128" s="58">
        <v>9.4999999999999998E-3</v>
      </c>
      <c r="R128" s="64">
        <f t="shared" si="64"/>
        <v>-3.0548556187077441E-2</v>
      </c>
      <c r="S128" s="64">
        <f t="shared" si="65"/>
        <v>-5.3234692083951197E-3</v>
      </c>
      <c r="T128" s="64">
        <f t="shared" si="66"/>
        <v>-1.17096018735363E-3</v>
      </c>
      <c r="U128" s="64">
        <f t="shared" si="67"/>
        <v>0</v>
      </c>
      <c r="V128" s="65">
        <f t="shared" si="68"/>
        <v>1.1000000000000003E-3</v>
      </c>
    </row>
    <row r="129" spans="1:25">
      <c r="A129" s="181">
        <v>114</v>
      </c>
      <c r="B129" s="151" t="s">
        <v>186</v>
      </c>
      <c r="C129" s="151" t="s">
        <v>32</v>
      </c>
      <c r="D129" s="40">
        <v>149222554452.73471</v>
      </c>
      <c r="E129" s="35">
        <f t="shared" si="74"/>
        <v>8.1078390007501402E-2</v>
      </c>
      <c r="F129" s="40">
        <v>170430.271894</v>
      </c>
      <c r="G129" s="40">
        <v>170430.271894</v>
      </c>
      <c r="H129" s="36">
        <v>976</v>
      </c>
      <c r="I129" s="58">
        <v>-1.4E-3</v>
      </c>
      <c r="J129" s="58">
        <v>8.3000000000000001E-3</v>
      </c>
      <c r="K129" s="40">
        <f>110294015.1*W138</f>
        <v>148491413409.08334</v>
      </c>
      <c r="L129" s="35">
        <f t="shared" si="63"/>
        <v>8.1540269943899582E-2</v>
      </c>
      <c r="M129" s="40">
        <f>125.89*W138</f>
        <v>169488.65282600001</v>
      </c>
      <c r="N129" s="40">
        <f>125.94*W138</f>
        <v>169555.96899600001</v>
      </c>
      <c r="O129" s="36">
        <v>976</v>
      </c>
      <c r="P129" s="58">
        <v>-1.5E-3</v>
      </c>
      <c r="Q129" s="58">
        <v>9.7000000000000003E-3</v>
      </c>
      <c r="R129" s="64">
        <f t="shared" si="64"/>
        <v>-4.8996684605272017E-3</v>
      </c>
      <c r="S129" s="64">
        <f t="shared" si="65"/>
        <v>-5.1299742016710018E-3</v>
      </c>
      <c r="T129" s="64">
        <f t="shared" si="66"/>
        <v>0</v>
      </c>
      <c r="U129" s="64">
        <f t="shared" si="67"/>
        <v>-1.0000000000000005E-4</v>
      </c>
      <c r="V129" s="65">
        <f t="shared" si="68"/>
        <v>1.4000000000000002E-3</v>
      </c>
      <c r="X129" s="73"/>
    </row>
    <row r="130" spans="1:25">
      <c r="A130" s="181">
        <v>115</v>
      </c>
      <c r="B130" s="150" t="s">
        <v>187</v>
      </c>
      <c r="C130" s="149" t="s">
        <v>88</v>
      </c>
      <c r="D130" s="40">
        <v>2238358540.6456361</v>
      </c>
      <c r="E130" s="35">
        <f t="shared" si="74"/>
        <v>1.2161868385155675E-3</v>
      </c>
      <c r="F130" s="40">
        <v>1355.4181000000001</v>
      </c>
      <c r="G130" s="40">
        <v>1355.4181000000001</v>
      </c>
      <c r="H130" s="36">
        <v>13</v>
      </c>
      <c r="I130" s="58">
        <v>8.2000000000000003E-2</v>
      </c>
      <c r="J130" s="58">
        <v>8.2199999999999995E-2</v>
      </c>
      <c r="K130" s="40">
        <f>1638710.91*W138</f>
        <v>2206234843.9682937</v>
      </c>
      <c r="L130" s="35">
        <f t="shared" si="63"/>
        <v>1.2114975580521169E-3</v>
      </c>
      <c r="M130" s="40">
        <f>1*W138</f>
        <v>1346.3234</v>
      </c>
      <c r="N130" s="40">
        <f>1*W138</f>
        <v>1346.3234</v>
      </c>
      <c r="O130" s="36">
        <v>13</v>
      </c>
      <c r="P130" s="58">
        <v>8.1900000000000001E-2</v>
      </c>
      <c r="Q130" s="58">
        <v>8.2199999999999995E-2</v>
      </c>
      <c r="R130" s="64">
        <f t="shared" ref="R130" si="75">((K130-D130)/D130)</f>
        <v>-1.4351452680175446E-2</v>
      </c>
      <c r="S130" s="64">
        <f t="shared" ref="S130" si="76">((N130-G130)/G130)</f>
        <v>-6.70988531140325E-3</v>
      </c>
      <c r="T130" s="64">
        <f t="shared" si="66"/>
        <v>0</v>
      </c>
      <c r="U130" s="64">
        <f t="shared" si="67"/>
        <v>-1.0000000000000286E-4</v>
      </c>
      <c r="V130" s="65">
        <f t="shared" si="68"/>
        <v>0</v>
      </c>
    </row>
    <row r="131" spans="1:25">
      <c r="A131" s="181">
        <v>116</v>
      </c>
      <c r="B131" s="150" t="s">
        <v>188</v>
      </c>
      <c r="C131" s="149" t="s">
        <v>36</v>
      </c>
      <c r="D131" s="40">
        <v>255595922.88158712</v>
      </c>
      <c r="E131" s="35">
        <f t="shared" si="74"/>
        <v>1.388751586227841E-4</v>
      </c>
      <c r="F131" s="40">
        <v>136.92099999999999</v>
      </c>
      <c r="G131" s="40">
        <v>136.92099999999999</v>
      </c>
      <c r="H131" s="36">
        <v>10</v>
      </c>
      <c r="I131" s="58">
        <v>1.9E-3</v>
      </c>
      <c r="J131" s="58">
        <v>0.20760000000000001</v>
      </c>
      <c r="K131" s="40">
        <f>188927.9492*W138</f>
        <v>254358118.92197129</v>
      </c>
      <c r="L131" s="35">
        <f t="shared" si="63"/>
        <v>1.3967426939483454E-4</v>
      </c>
      <c r="M131" s="40">
        <v>137.17830000000001</v>
      </c>
      <c r="N131" s="40">
        <v>137.17830000000001</v>
      </c>
      <c r="O131" s="36">
        <v>11</v>
      </c>
      <c r="P131" s="58">
        <v>1.9E-3</v>
      </c>
      <c r="Q131" s="58">
        <v>1.4E-2</v>
      </c>
      <c r="R131" s="64">
        <f t="shared" si="64"/>
        <v>-4.8428157447146696E-3</v>
      </c>
      <c r="S131" s="64">
        <f t="shared" si="65"/>
        <v>1.8791858078747233E-3</v>
      </c>
      <c r="T131" s="64">
        <f t="shared" si="66"/>
        <v>0.1</v>
      </c>
      <c r="U131" s="64">
        <f t="shared" si="67"/>
        <v>0</v>
      </c>
      <c r="V131" s="65">
        <f t="shared" si="68"/>
        <v>-0.19359999999999999</v>
      </c>
    </row>
    <row r="132" spans="1:25">
      <c r="A132" s="181">
        <v>117</v>
      </c>
      <c r="B132" s="150" t="s">
        <v>189</v>
      </c>
      <c r="C132" s="149" t="s">
        <v>42</v>
      </c>
      <c r="D132" s="40">
        <v>14168596063.87594</v>
      </c>
      <c r="E132" s="35">
        <f t="shared" si="74"/>
        <v>7.6983466858526889E-3</v>
      </c>
      <c r="F132" s="40">
        <v>2019.5729690000001</v>
      </c>
      <c r="G132" s="40">
        <v>2019.5729690000001</v>
      </c>
      <c r="H132" s="54">
        <v>117</v>
      </c>
      <c r="I132" s="61">
        <v>-2.2000000000000001E-3</v>
      </c>
      <c r="J132" s="61">
        <v>0.03</v>
      </c>
      <c r="K132" s="40">
        <f xml:space="preserve"> 10664904.03*W138</f>
        <v>14358409854.343302</v>
      </c>
      <c r="L132" s="35">
        <f t="shared" si="63"/>
        <v>7.8845543227665359E-3</v>
      </c>
      <c r="M132" s="40">
        <f>1.49*W138</f>
        <v>2006.021866</v>
      </c>
      <c r="N132" s="40">
        <f>1.49*W138</f>
        <v>2006.021866</v>
      </c>
      <c r="O132" s="54">
        <v>118</v>
      </c>
      <c r="P132" s="61">
        <v>4.0000000000000002E-4</v>
      </c>
      <c r="Q132" s="61">
        <v>4.4600000000000001E-2</v>
      </c>
      <c r="R132" s="64">
        <f t="shared" si="64"/>
        <v>1.3396795957173774E-2</v>
      </c>
      <c r="S132" s="64">
        <f t="shared" si="65"/>
        <v>-6.7098853114031807E-3</v>
      </c>
      <c r="T132" s="64">
        <f t="shared" si="66"/>
        <v>8.5470085470085479E-3</v>
      </c>
      <c r="U132" s="64">
        <f t="shared" si="67"/>
        <v>2.6000000000000003E-3</v>
      </c>
      <c r="V132" s="65">
        <f t="shared" si="68"/>
        <v>1.4600000000000002E-2</v>
      </c>
    </row>
    <row r="133" spans="1:25">
      <c r="A133" s="181">
        <v>118</v>
      </c>
      <c r="B133" s="150" t="s">
        <v>190</v>
      </c>
      <c r="C133" s="149" t="s">
        <v>104</v>
      </c>
      <c r="D133" s="40">
        <v>38847933645.245804</v>
      </c>
      <c r="E133" s="35">
        <f t="shared" si="74"/>
        <v>2.1107586092640112E-2</v>
      </c>
      <c r="F133" s="40">
        <v>142996.60955000002</v>
      </c>
      <c r="G133" s="40">
        <v>142996.60955000002</v>
      </c>
      <c r="H133" s="36">
        <v>869</v>
      </c>
      <c r="I133" s="61">
        <v>9.1999999999999998E-3</v>
      </c>
      <c r="J133" s="58">
        <v>0.1142</v>
      </c>
      <c r="K133" s="40">
        <f>27783231*W138</f>
        <v>37405214022.905403</v>
      </c>
      <c r="L133" s="35">
        <f t="shared" si="63"/>
        <v>2.0540118641974432E-2</v>
      </c>
      <c r="M133" s="40">
        <f>105.94*W138</f>
        <v>142629.50099599999</v>
      </c>
      <c r="N133" s="40">
        <f>105.94*W138</f>
        <v>142629.50099599999</v>
      </c>
      <c r="O133" s="36">
        <v>877</v>
      </c>
      <c r="P133" s="61">
        <v>4.1999999999999997E-3</v>
      </c>
      <c r="Q133" s="58">
        <v>0.1278</v>
      </c>
      <c r="R133" s="64">
        <f t="shared" si="64"/>
        <v>-3.713761549108701E-2</v>
      </c>
      <c r="S133" s="64">
        <f t="shared" si="65"/>
        <v>-2.5672535534604561E-3</v>
      </c>
      <c r="T133" s="64">
        <f t="shared" si="66"/>
        <v>9.2059838895281933E-3</v>
      </c>
      <c r="U133" s="64">
        <f t="shared" si="67"/>
        <v>-5.0000000000000001E-3</v>
      </c>
      <c r="V133" s="65">
        <f t="shared" si="68"/>
        <v>1.3600000000000001E-2</v>
      </c>
    </row>
    <row r="134" spans="1:25">
      <c r="A134" s="181">
        <v>119</v>
      </c>
      <c r="B134" s="150" t="s">
        <v>191</v>
      </c>
      <c r="C134" s="149" t="s">
        <v>46</v>
      </c>
      <c r="D134" s="40">
        <v>2838717173.3446193</v>
      </c>
      <c r="E134" s="35">
        <f t="shared" si="74"/>
        <v>1.5423849226112014E-3</v>
      </c>
      <c r="F134" s="40">
        <v>226861.72602729232</v>
      </c>
      <c r="G134" s="40">
        <v>235680.09922800001</v>
      </c>
      <c r="H134" s="36">
        <v>49</v>
      </c>
      <c r="I134" s="58">
        <v>-3.5999999999999999E-3</v>
      </c>
      <c r="J134" s="58">
        <v>6.3E-3</v>
      </c>
      <c r="K134" s="40">
        <f>2102512.9*W138</f>
        <v>2830662316.0718598</v>
      </c>
      <c r="L134" s="35">
        <f t="shared" si="63"/>
        <v>1.5543859680064466E-3</v>
      </c>
      <c r="M134" s="40">
        <f>168.09*W138</f>
        <v>226303.500306</v>
      </c>
      <c r="N134" s="40">
        <f>174.65*W138</f>
        <v>235135.38181000002</v>
      </c>
      <c r="O134" s="36">
        <v>48</v>
      </c>
      <c r="P134" s="58">
        <v>1.2999999999999999E-3</v>
      </c>
      <c r="Q134" s="58">
        <v>1.0699999999999999E-2</v>
      </c>
      <c r="R134" s="64">
        <f t="shared" ref="R134:R135" si="77">((K134-D134)/D134)</f>
        <v>-2.8374990465390689E-3</v>
      </c>
      <c r="S134" s="64">
        <f t="shared" ref="S134:S135" si="78">((N134-G134)/G134)</f>
        <v>-2.3112575893521618E-3</v>
      </c>
      <c r="T134" s="64">
        <f t="shared" ref="T134:T135" si="79">((O134-H134)/H134)</f>
        <v>-2.0408163265306121E-2</v>
      </c>
      <c r="U134" s="64">
        <f t="shared" ref="U134:U135" si="80">P134-I134</f>
        <v>4.8999999999999998E-3</v>
      </c>
      <c r="V134" s="65">
        <f t="shared" ref="V134:V135" si="81">Q134-J134</f>
        <v>4.3999999999999994E-3</v>
      </c>
    </row>
    <row r="135" spans="1:25">
      <c r="A135" s="181">
        <v>120</v>
      </c>
      <c r="B135" s="150" t="s">
        <v>192</v>
      </c>
      <c r="C135" s="149" t="s">
        <v>53</v>
      </c>
      <c r="D135" s="34">
        <v>150599282652.42297</v>
      </c>
      <c r="E135" s="35">
        <f t="shared" si="74"/>
        <v>8.1826419729402494E-2</v>
      </c>
      <c r="F135" s="40">
        <v>170370.67509</v>
      </c>
      <c r="G135" s="40">
        <v>170370.67509</v>
      </c>
      <c r="H135" s="36">
        <v>4241</v>
      </c>
      <c r="I135" s="58">
        <v>1E-3</v>
      </c>
      <c r="J135" s="58">
        <v>5.74E-2</v>
      </c>
      <c r="K135" s="34">
        <f>111141850.72*1347.15</f>
        <v>149724744197.448</v>
      </c>
      <c r="L135" s="35">
        <f t="shared" si="63"/>
        <v>8.2217522069827728E-2</v>
      </c>
      <c r="M135" s="40">
        <f>125.7525*1347.15</f>
        <v>169407.48037500001</v>
      </c>
      <c r="N135" s="40">
        <f>125.7525*1347.15</f>
        <v>169407.48037500001</v>
      </c>
      <c r="O135" s="36">
        <v>4251</v>
      </c>
      <c r="P135" s="58">
        <v>1.1000000000000001E-3</v>
      </c>
      <c r="Q135" s="58">
        <v>5.7599999999999998E-2</v>
      </c>
      <c r="R135" s="64">
        <f t="shared" si="77"/>
        <v>-5.8070559140269932E-3</v>
      </c>
      <c r="S135" s="64">
        <f t="shared" si="78"/>
        <v>-5.6535240850056701E-3</v>
      </c>
      <c r="T135" s="64">
        <f t="shared" si="79"/>
        <v>2.3579344494223061E-3</v>
      </c>
      <c r="U135" s="64">
        <f t="shared" si="80"/>
        <v>1.0000000000000005E-4</v>
      </c>
      <c r="V135" s="65">
        <f t="shared" si="81"/>
        <v>1.9999999999999879E-4</v>
      </c>
    </row>
    <row r="136" spans="1:25" ht="6" customHeight="1">
      <c r="A136" s="78"/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192"/>
      <c r="S136" s="192"/>
      <c r="T136" s="192"/>
      <c r="U136" s="192"/>
      <c r="V136" s="192"/>
    </row>
    <row r="137" spans="1:25">
      <c r="A137" s="195" t="s">
        <v>193</v>
      </c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</row>
    <row r="138" spans="1:25">
      <c r="A138" s="181">
        <v>121</v>
      </c>
      <c r="B138" s="150" t="s">
        <v>194</v>
      </c>
      <c r="C138" s="149" t="s">
        <v>64</v>
      </c>
      <c r="D138" s="34">
        <v>1529224881.0312722</v>
      </c>
      <c r="E138" s="35">
        <f>(D138/$D$157)</f>
        <v>8.3088707178445023E-4</v>
      </c>
      <c r="F138" s="40">
        <v>165998.054707</v>
      </c>
      <c r="G138" s="40">
        <v>165998.054707</v>
      </c>
      <c r="H138" s="36">
        <v>23</v>
      </c>
      <c r="I138" s="58">
        <v>4.3E-3</v>
      </c>
      <c r="J138" s="58">
        <v>4.6600000000000003E-2</v>
      </c>
      <c r="K138" s="34">
        <f>1133012.76*W138</f>
        <v>1525401591.2865839</v>
      </c>
      <c r="L138" s="35">
        <f t="shared" ref="L138:L155" si="82">(K138/$K$157)</f>
        <v>8.3763535325574257E-4</v>
      </c>
      <c r="M138" s="40">
        <f>122.99*W138</f>
        <v>165584.31496600001</v>
      </c>
      <c r="N138" s="40">
        <f>122.99*W138</f>
        <v>165584.31496600001</v>
      </c>
      <c r="O138" s="36">
        <v>23</v>
      </c>
      <c r="P138" s="58">
        <v>3.8999999999999998E-3</v>
      </c>
      <c r="Q138" s="58">
        <v>7.2099999999999997E-2</v>
      </c>
      <c r="R138" s="64">
        <f>((K138-D138)/D138)</f>
        <v>-2.5001487957153419E-3</v>
      </c>
      <c r="S138" s="64">
        <f>((N138-G138)/G138)</f>
        <v>-2.4924372862699007E-3</v>
      </c>
      <c r="T138" s="64">
        <f>((O138-H138)/H138)</f>
        <v>0</v>
      </c>
      <c r="U138" s="64">
        <f>P138-I138</f>
        <v>-4.0000000000000018E-4</v>
      </c>
      <c r="V138" s="65">
        <f>Q138-J138</f>
        <v>2.5499999999999995E-2</v>
      </c>
      <c r="W138" s="85">
        <v>1346.3234</v>
      </c>
      <c r="Y138" s="125"/>
    </row>
    <row r="139" spans="1:25">
      <c r="A139" s="181">
        <v>122</v>
      </c>
      <c r="B139" s="149" t="s">
        <v>195</v>
      </c>
      <c r="C139" s="149" t="s">
        <v>26</v>
      </c>
      <c r="D139" s="40">
        <v>27736050022.728554</v>
      </c>
      <c r="E139" s="35">
        <f t="shared" ref="E139:E156" si="83">(D139/$D$157)</f>
        <v>1.5070069596768931E-2</v>
      </c>
      <c r="F139" s="34">
        <v>184906.13720199998</v>
      </c>
      <c r="G139" s="34">
        <v>184906.13720199998</v>
      </c>
      <c r="H139" s="36">
        <v>663</v>
      </c>
      <c r="I139" s="58">
        <v>5.0000000000000001E-4</v>
      </c>
      <c r="J139" s="58">
        <v>5.8999999999999999E-3</v>
      </c>
      <c r="K139" s="40">
        <f>20655100.23*W138</f>
        <v>27808444768.994381</v>
      </c>
      <c r="L139" s="35">
        <f t="shared" si="82"/>
        <v>1.5270297730529372E-2</v>
      </c>
      <c r="M139" s="34">
        <f>136.55*W138</f>
        <v>183840.46027000001</v>
      </c>
      <c r="N139" s="34">
        <f>136.55*W138</f>
        <v>183840.46027000001</v>
      </c>
      <c r="O139" s="36">
        <v>666</v>
      </c>
      <c r="P139" s="58">
        <v>5.0000000000000001E-4</v>
      </c>
      <c r="Q139" s="58">
        <v>6.8999999999999999E-3</v>
      </c>
      <c r="R139" s="64">
        <f t="shared" ref="R139:R157" si="84">((K139-D139)/D139)</f>
        <v>2.6101318034292072E-3</v>
      </c>
      <c r="S139" s="64">
        <f t="shared" ref="S139:S157" si="85">((N139-G139)/G139)</f>
        <v>-5.7633399741393032E-3</v>
      </c>
      <c r="T139" s="64">
        <f t="shared" ref="T139:T157" si="86">((O139-H139)/H139)</f>
        <v>4.5248868778280547E-3</v>
      </c>
      <c r="U139" s="64">
        <f t="shared" ref="U139:U157" si="87">P139-I139</f>
        <v>0</v>
      </c>
      <c r="V139" s="65">
        <f t="shared" ref="V139:V157" si="88">Q139-J139</f>
        <v>1E-3</v>
      </c>
    </row>
    <row r="140" spans="1:25">
      <c r="A140" s="181">
        <v>123</v>
      </c>
      <c r="B140" s="149" t="s">
        <v>196</v>
      </c>
      <c r="C140" s="149" t="s">
        <v>137</v>
      </c>
      <c r="D140" s="40">
        <v>347675779.15342879</v>
      </c>
      <c r="E140" s="35">
        <f t="shared" si="83"/>
        <v>1.8890570880350602E-4</v>
      </c>
      <c r="F140" s="34">
        <v>135541.81</v>
      </c>
      <c r="G140" s="34">
        <v>135541.81</v>
      </c>
      <c r="H140" s="36">
        <v>18</v>
      </c>
      <c r="I140" s="58">
        <v>1.5E-3</v>
      </c>
      <c r="J140" s="58">
        <v>9.3200000000000002E-3</v>
      </c>
      <c r="K140" s="40">
        <f>363381.634140627*W138</f>
        <v>489229197.173765</v>
      </c>
      <c r="L140" s="35">
        <f t="shared" si="82"/>
        <v>2.6864772774494889E-4</v>
      </c>
      <c r="M140" s="34">
        <f>100*W138</f>
        <v>134632.34</v>
      </c>
      <c r="N140" s="34">
        <f>100*W138</f>
        <v>134632.34</v>
      </c>
      <c r="O140" s="36">
        <v>20</v>
      </c>
      <c r="P140" s="58">
        <v>1.5E-3</v>
      </c>
      <c r="Q140" s="58">
        <v>3.8999999999999999E-4</v>
      </c>
      <c r="R140" s="64">
        <v>0</v>
      </c>
      <c r="S140" s="64">
        <f t="shared" ref="S140" si="89">((N140-G140)/G140)</f>
        <v>-6.7098853114031841E-3</v>
      </c>
      <c r="T140" s="64">
        <f t="shared" ref="T140" si="90">((O140-H140)/H140)</f>
        <v>0.1111111111111111</v>
      </c>
      <c r="U140" s="64">
        <f t="shared" ref="U140" si="91">P140-I140</f>
        <v>0</v>
      </c>
      <c r="V140" s="65">
        <f t="shared" ref="V140" si="92">Q140-J140</f>
        <v>-8.9300000000000004E-3</v>
      </c>
    </row>
    <row r="141" spans="1:25">
      <c r="A141" s="181">
        <v>124</v>
      </c>
      <c r="B141" s="150" t="s">
        <v>197</v>
      </c>
      <c r="C141" s="149" t="s">
        <v>73</v>
      </c>
      <c r="D141" s="34">
        <v>17262128344.799999</v>
      </c>
      <c r="E141" s="35">
        <f t="shared" si="83"/>
        <v>9.379182519908871E-3</v>
      </c>
      <c r="F141" s="34">
        <v>162805.6</v>
      </c>
      <c r="G141" s="34">
        <v>162805.6</v>
      </c>
      <c r="H141" s="36">
        <v>464</v>
      </c>
      <c r="I141" s="58">
        <v>8.0000000000000004E-4</v>
      </c>
      <c r="J141" s="58">
        <v>6.7799999999999999E-2</v>
      </c>
      <c r="K141" s="34">
        <v>16953847368.07</v>
      </c>
      <c r="L141" s="35">
        <f t="shared" ref="L141:L142" si="93">(K141/$K$115)</f>
        <v>6.9401995988351672E-2</v>
      </c>
      <c r="M141" s="34">
        <v>160652.93</v>
      </c>
      <c r="N141" s="34">
        <v>160652.93</v>
      </c>
      <c r="O141" s="36">
        <v>464</v>
      </c>
      <c r="P141" s="58">
        <v>1.1999999999999999E-3</v>
      </c>
      <c r="Q141" s="58">
        <v>6.7799999999999999E-2</v>
      </c>
      <c r="R141" s="64">
        <f t="shared" si="84"/>
        <v>-1.7858804579150598E-2</v>
      </c>
      <c r="S141" s="64">
        <f t="shared" si="85"/>
        <v>-1.3222333875493304E-2</v>
      </c>
      <c r="T141" s="64">
        <f t="shared" si="86"/>
        <v>0</v>
      </c>
      <c r="U141" s="64">
        <f t="shared" si="87"/>
        <v>3.9999999999999986E-4</v>
      </c>
      <c r="V141" s="65">
        <f t="shared" si="88"/>
        <v>0</v>
      </c>
    </row>
    <row r="142" spans="1:25">
      <c r="A142" s="181">
        <v>125</v>
      </c>
      <c r="B142" s="150" t="s">
        <v>198</v>
      </c>
      <c r="C142" s="149" t="s">
        <v>75</v>
      </c>
      <c r="D142" s="40">
        <v>131802590.97916801</v>
      </c>
      <c r="E142" s="35">
        <f t="shared" ref="E142" si="94">(D142/$D$115)</f>
        <v>5.3874561808942272E-4</v>
      </c>
      <c r="F142" s="39">
        <v>1465.4780497199999</v>
      </c>
      <c r="G142" s="39">
        <v>1465.4780497199999</v>
      </c>
      <c r="H142" s="36">
        <v>5</v>
      </c>
      <c r="I142" s="58">
        <v>9.9000000000000008E-3</v>
      </c>
      <c r="J142" s="58">
        <v>0.13780000000000001</v>
      </c>
      <c r="K142" s="40">
        <f>96438.28*W138</f>
        <v>129837113.019752</v>
      </c>
      <c r="L142" s="35">
        <f t="shared" si="93"/>
        <v>5.3149911057396671E-4</v>
      </c>
      <c r="M142" s="39">
        <f>1.0723*W138</f>
        <v>1443.66258182</v>
      </c>
      <c r="N142" s="39">
        <f>1.0723*W138</f>
        <v>1443.66258182</v>
      </c>
      <c r="O142" s="36">
        <v>5</v>
      </c>
      <c r="P142" s="58">
        <v>0.12889999999999999</v>
      </c>
      <c r="Q142" s="58">
        <v>-8.2000000000000007E-3</v>
      </c>
      <c r="R142" s="63">
        <f t="shared" si="84"/>
        <v>-1.4912286206321009E-2</v>
      </c>
      <c r="S142" s="63">
        <f t="shared" si="85"/>
        <v>-1.4886246780815366E-2</v>
      </c>
      <c r="T142" s="63">
        <f t="shared" si="86"/>
        <v>0</v>
      </c>
      <c r="U142" s="64">
        <f t="shared" si="87"/>
        <v>0.11899999999999998</v>
      </c>
      <c r="V142" s="65">
        <f t="shared" si="88"/>
        <v>-0.14600000000000002</v>
      </c>
    </row>
    <row r="143" spans="1:25">
      <c r="A143" s="181">
        <v>126</v>
      </c>
      <c r="B143" s="150" t="s">
        <v>199</v>
      </c>
      <c r="C143" s="149" t="s">
        <v>71</v>
      </c>
      <c r="D143" s="34">
        <v>10955968402.4142</v>
      </c>
      <c r="E143" s="35">
        <f t="shared" si="83"/>
        <v>5.9528017215531677E-3</v>
      </c>
      <c r="F143" s="34">
        <v>1832.1413105388301</v>
      </c>
      <c r="G143" s="34">
        <v>1832.1413105388301</v>
      </c>
      <c r="H143" s="36">
        <v>323</v>
      </c>
      <c r="I143" s="58">
        <v>7.9699999999999993E-2</v>
      </c>
      <c r="J143" s="58">
        <v>7.3400000000000007E-2</v>
      </c>
      <c r="K143" s="34">
        <v>10976150098.0427</v>
      </c>
      <c r="L143" s="35">
        <f t="shared" si="82"/>
        <v>6.0272726980751725E-3</v>
      </c>
      <c r="M143" s="34">
        <v>1822.19071254759</v>
      </c>
      <c r="N143" s="34">
        <v>1822.19071254759</v>
      </c>
      <c r="O143" s="36">
        <v>327</v>
      </c>
      <c r="P143" s="58">
        <v>6.9000000000000006E-2</v>
      </c>
      <c r="Q143" s="58">
        <v>7.2800000000000004E-2</v>
      </c>
      <c r="R143" s="64">
        <f t="shared" si="84"/>
        <v>1.8420731867073341E-3</v>
      </c>
      <c r="S143" s="64">
        <f t="shared" si="85"/>
        <v>-5.4311301939442896E-3</v>
      </c>
      <c r="T143" s="63">
        <f t="shared" si="86"/>
        <v>1.238390092879257E-2</v>
      </c>
      <c r="U143" s="64">
        <f t="shared" si="87"/>
        <v>-1.0699999999999987E-2</v>
      </c>
      <c r="V143" s="65">
        <f t="shared" si="88"/>
        <v>-6.0000000000000331E-4</v>
      </c>
    </row>
    <row r="144" spans="1:25">
      <c r="A144" s="181">
        <v>127</v>
      </c>
      <c r="B144" s="150" t="s">
        <v>200</v>
      </c>
      <c r="C144" s="149" t="s">
        <v>94</v>
      </c>
      <c r="D144" s="34">
        <v>409086611.740161</v>
      </c>
      <c r="E144" s="35">
        <f t="shared" si="83"/>
        <v>2.2227259126583209E-4</v>
      </c>
      <c r="F144" s="34">
        <v>1409.6348240000002</v>
      </c>
      <c r="G144" s="34">
        <v>1409.6348240000002</v>
      </c>
      <c r="H144" s="36">
        <v>12</v>
      </c>
      <c r="I144" s="58">
        <v>2.9999999999999997E-4</v>
      </c>
      <c r="J144" s="58">
        <v>2.5000000000000001E-3</v>
      </c>
      <c r="K144" s="34">
        <f>302066.6*W138</f>
        <v>406679331.93843997</v>
      </c>
      <c r="L144" s="35">
        <f t="shared" si="82"/>
        <v>2.23317576050742E-4</v>
      </c>
      <c r="M144" s="34">
        <f>1.04*W138</f>
        <v>1400.176336</v>
      </c>
      <c r="N144" s="34">
        <f>1.04*W138</f>
        <v>1400.176336</v>
      </c>
      <c r="O144" s="36">
        <v>12</v>
      </c>
      <c r="P144" s="58">
        <v>5.9999999999999995E-4</v>
      </c>
      <c r="Q144" s="58">
        <v>3.3999999999999998E-3</v>
      </c>
      <c r="R144" s="64">
        <f t="shared" si="84"/>
        <v>-5.8845235523133305E-3</v>
      </c>
      <c r="S144" s="64">
        <f t="shared" si="85"/>
        <v>-6.7098853114033272E-3</v>
      </c>
      <c r="T144" s="63">
        <f t="shared" si="86"/>
        <v>0</v>
      </c>
      <c r="U144" s="64">
        <f t="shared" si="87"/>
        <v>2.9999999999999997E-4</v>
      </c>
      <c r="V144" s="65">
        <f t="shared" si="88"/>
        <v>8.9999999999999976E-4</v>
      </c>
    </row>
    <row r="145" spans="1:24">
      <c r="A145" s="181">
        <v>128</v>
      </c>
      <c r="B145" s="150" t="s">
        <v>201</v>
      </c>
      <c r="C145" s="149" t="s">
        <v>38</v>
      </c>
      <c r="D145" s="34">
        <v>126697786420.284</v>
      </c>
      <c r="E145" s="35">
        <f t="shared" si="83"/>
        <v>6.8839811636682804E-2</v>
      </c>
      <c r="F145" s="34">
        <v>100</v>
      </c>
      <c r="G145" s="34">
        <v>100</v>
      </c>
      <c r="H145" s="36">
        <v>2596</v>
      </c>
      <c r="I145" s="58">
        <v>5.3600000000000002E-2</v>
      </c>
      <c r="J145" s="58">
        <v>5.2299999999999999E-2</v>
      </c>
      <c r="K145" s="34">
        <v>127088370599.399</v>
      </c>
      <c r="L145" s="35">
        <f t="shared" si="82"/>
        <v>6.9787335223596467E-2</v>
      </c>
      <c r="M145" s="34">
        <v>100</v>
      </c>
      <c r="N145" s="34">
        <v>100</v>
      </c>
      <c r="O145" s="36">
        <v>2686</v>
      </c>
      <c r="P145" s="58">
        <v>5.2600000000000001E-2</v>
      </c>
      <c r="Q145" s="58">
        <v>5.2299999999999999E-2</v>
      </c>
      <c r="R145" s="64">
        <f t="shared" si="84"/>
        <v>3.0828019190434252E-3</v>
      </c>
      <c r="S145" s="64">
        <f t="shared" si="85"/>
        <v>0</v>
      </c>
      <c r="T145" s="64">
        <f t="shared" si="86"/>
        <v>3.4668721109399073E-2</v>
      </c>
      <c r="U145" s="64">
        <f t="shared" si="87"/>
        <v>-1.0000000000000009E-3</v>
      </c>
      <c r="V145" s="65">
        <f t="shared" si="88"/>
        <v>0</v>
      </c>
    </row>
    <row r="146" spans="1:24" ht="15.6">
      <c r="A146" s="181">
        <v>129</v>
      </c>
      <c r="B146" s="150" t="s">
        <v>202</v>
      </c>
      <c r="C146" s="149" t="s">
        <v>151</v>
      </c>
      <c r="D146" s="34">
        <v>1495923735.720001</v>
      </c>
      <c r="E146" s="35">
        <f t="shared" si="83"/>
        <v>8.127932705012204E-4</v>
      </c>
      <c r="F146" s="34">
        <v>1545.1766339999999</v>
      </c>
      <c r="G146" s="34">
        <v>1545.1766339999999</v>
      </c>
      <c r="H146" s="36">
        <v>53</v>
      </c>
      <c r="I146" s="58">
        <v>1.9E-3</v>
      </c>
      <c r="J146" s="58">
        <v>0.14560000000000001</v>
      </c>
      <c r="K146" s="34">
        <f>1104896.25*W138</f>
        <v>1487547675.9472499</v>
      </c>
      <c r="L146" s="35">
        <f t="shared" si="82"/>
        <v>8.1684884173740039E-4</v>
      </c>
      <c r="M146" s="34">
        <f>1.14*W138</f>
        <v>1534.8086759999999</v>
      </c>
      <c r="N146" s="34">
        <f>1.14*W138</f>
        <v>1534.8086759999999</v>
      </c>
      <c r="O146" s="36">
        <v>53</v>
      </c>
      <c r="P146" s="58">
        <v>1.9E-3</v>
      </c>
      <c r="Q146" s="58">
        <v>0.14560000000000001</v>
      </c>
      <c r="R146" s="64">
        <f t="shared" si="84"/>
        <v>-5.5992558796586133E-3</v>
      </c>
      <c r="S146" s="64">
        <f t="shared" si="85"/>
        <v>-6.7098853114032041E-3</v>
      </c>
      <c r="T146" s="64">
        <f t="shared" si="86"/>
        <v>0</v>
      </c>
      <c r="U146" s="64">
        <f t="shared" si="87"/>
        <v>0</v>
      </c>
      <c r="V146" s="65">
        <f t="shared" si="88"/>
        <v>0</v>
      </c>
      <c r="X146" s="86"/>
    </row>
    <row r="147" spans="1:24" ht="15.6">
      <c r="A147" s="181">
        <v>130</v>
      </c>
      <c r="B147" s="150" t="s">
        <v>329</v>
      </c>
      <c r="C147" s="149" t="s">
        <v>44</v>
      </c>
      <c r="D147" s="40">
        <v>11336028056.488132</v>
      </c>
      <c r="E147" s="35">
        <f t="shared" si="83"/>
        <v>6.1593028431304875E-3</v>
      </c>
      <c r="F147" s="34">
        <v>14530.082032000002</v>
      </c>
      <c r="G147" s="34">
        <v>14530.082032000002</v>
      </c>
      <c r="H147" s="36">
        <v>180</v>
      </c>
      <c r="I147" s="58">
        <v>5.21E-2</v>
      </c>
      <c r="J147" s="58">
        <v>7.1999999999999995E-2</v>
      </c>
      <c r="K147" s="40">
        <f>8288290.18*W138</f>
        <v>11158719015.324211</v>
      </c>
      <c r="L147" s="35">
        <f t="shared" si="82"/>
        <v>6.1275257595602029E-3</v>
      </c>
      <c r="M147" s="34">
        <f>10.73*W138</f>
        <v>14446.050082</v>
      </c>
      <c r="N147" s="34">
        <f>10.73*W138</f>
        <v>14446.050082</v>
      </c>
      <c r="O147" s="36">
        <v>182</v>
      </c>
      <c r="P147" s="58">
        <v>5.5100000000000003E-2</v>
      </c>
      <c r="Q147" s="58">
        <v>7.4999999999999997E-2</v>
      </c>
      <c r="R147" s="64">
        <f t="shared" si="84"/>
        <v>-1.5641196394396643E-2</v>
      </c>
      <c r="S147" s="64">
        <f t="shared" si="85"/>
        <v>-5.7833087118803897E-3</v>
      </c>
      <c r="T147" s="64">
        <f t="shared" si="86"/>
        <v>1.1111111111111112E-2</v>
      </c>
      <c r="U147" s="64">
        <f t="shared" si="87"/>
        <v>3.0000000000000027E-3</v>
      </c>
      <c r="V147" s="65">
        <f t="shared" si="88"/>
        <v>3.0000000000000027E-3</v>
      </c>
      <c r="X147" s="86"/>
    </row>
    <row r="148" spans="1:24" ht="15.6">
      <c r="A148" s="181">
        <v>131</v>
      </c>
      <c r="B148" s="149" t="s">
        <v>203</v>
      </c>
      <c r="C148" s="152" t="s">
        <v>48</v>
      </c>
      <c r="D148" s="34">
        <v>29127669266.389999</v>
      </c>
      <c r="E148" s="35">
        <f t="shared" si="83"/>
        <v>1.5826190199269844E-2</v>
      </c>
      <c r="F148" s="34">
        <v>1477.4057290000003</v>
      </c>
      <c r="G148" s="34">
        <v>1477.4057290000003</v>
      </c>
      <c r="H148" s="36">
        <v>730</v>
      </c>
      <c r="I148" s="58">
        <v>3.8E-3</v>
      </c>
      <c r="J148" s="58">
        <v>6.4000000000000003E-3</v>
      </c>
      <c r="K148" s="34">
        <v>29828241999.09</v>
      </c>
      <c r="L148" s="35">
        <f t="shared" si="82"/>
        <v>1.637941783109852E-2</v>
      </c>
      <c r="M148" s="34">
        <f>1.1*W138</f>
        <v>1480.9557400000001</v>
      </c>
      <c r="N148" s="34">
        <f>1.1*W138</f>
        <v>1480.9557400000001</v>
      </c>
      <c r="O148" s="36">
        <v>737</v>
      </c>
      <c r="P148" s="58">
        <v>4.7999999999999996E-3</v>
      </c>
      <c r="Q148" s="58">
        <v>5.57E-2</v>
      </c>
      <c r="R148" s="64">
        <f t="shared" si="84"/>
        <v>2.4051795091905331E-2</v>
      </c>
      <c r="S148" s="64">
        <f t="shared" si="85"/>
        <v>2.4028680343636411E-3</v>
      </c>
      <c r="T148" s="64">
        <f t="shared" si="86"/>
        <v>9.5890410958904115E-3</v>
      </c>
      <c r="U148" s="64">
        <f t="shared" si="87"/>
        <v>9.9999999999999959E-4</v>
      </c>
      <c r="V148" s="65">
        <f t="shared" si="88"/>
        <v>4.9299999999999997E-2</v>
      </c>
      <c r="X148" s="86"/>
    </row>
    <row r="149" spans="1:24">
      <c r="A149" s="181">
        <v>132</v>
      </c>
      <c r="B149" s="150" t="s">
        <v>204</v>
      </c>
      <c r="C149" s="149" t="s">
        <v>106</v>
      </c>
      <c r="D149" s="40">
        <v>412891323.12349999</v>
      </c>
      <c r="E149" s="35">
        <f t="shared" si="83"/>
        <v>2.2433983823486885E-4</v>
      </c>
      <c r="F149" s="34">
        <v>1726.6157999999998</v>
      </c>
      <c r="G149" s="34">
        <v>1726.6157999999998</v>
      </c>
      <c r="H149" s="36">
        <v>2</v>
      </c>
      <c r="I149" s="58">
        <v>-5.6769E-2</v>
      </c>
      <c r="J149" s="58">
        <v>-5.5378999999999998E-2</v>
      </c>
      <c r="K149" s="40">
        <f>301307.95*1370.33</f>
        <v>412891323.12349999</v>
      </c>
      <c r="L149" s="35">
        <f t="shared" si="82"/>
        <v>2.2672873247042987E-4</v>
      </c>
      <c r="M149" s="34">
        <f>1.26*1370.33</f>
        <v>1726.6157999999998</v>
      </c>
      <c r="N149" s="34">
        <f>1.26*1370.33</f>
        <v>1726.6157999999998</v>
      </c>
      <c r="O149" s="36">
        <v>2</v>
      </c>
      <c r="P149" s="58">
        <v>-5.6769E-2</v>
      </c>
      <c r="Q149" s="58">
        <v>-5.5378999999999998E-2</v>
      </c>
      <c r="R149" s="64">
        <f t="shared" si="84"/>
        <v>0</v>
      </c>
      <c r="S149" s="64">
        <f t="shared" si="85"/>
        <v>0</v>
      </c>
      <c r="T149" s="64">
        <f t="shared" si="86"/>
        <v>0</v>
      </c>
      <c r="U149" s="64">
        <f t="shared" ref="U149" si="95">P149-I149</f>
        <v>0</v>
      </c>
      <c r="V149" s="65">
        <f t="shared" ref="V149" si="96">Q149-J149</f>
        <v>0</v>
      </c>
    </row>
    <row r="150" spans="1:24">
      <c r="A150" s="181">
        <v>133</v>
      </c>
      <c r="B150" s="150" t="s">
        <v>205</v>
      </c>
      <c r="C150" s="149" t="s">
        <v>111</v>
      </c>
      <c r="D150" s="40">
        <v>883959064.45614803</v>
      </c>
      <c r="E150" s="35">
        <f t="shared" si="83"/>
        <v>4.8028917640156497E-4</v>
      </c>
      <c r="F150" s="34">
        <v>1460.0563773199999</v>
      </c>
      <c r="G150" s="34">
        <v>1460.0563773199999</v>
      </c>
      <c r="H150" s="36">
        <v>11</v>
      </c>
      <c r="I150" s="58">
        <v>2E-3</v>
      </c>
      <c r="J150" s="58">
        <v>8.2000000000000007E-3</v>
      </c>
      <c r="K150" s="40">
        <f>654013.05*W138</f>
        <v>880513073.12037003</v>
      </c>
      <c r="L150" s="35">
        <f t="shared" si="82"/>
        <v>4.8351128205353634E-4</v>
      </c>
      <c r="M150" s="34">
        <f>1.0802*W138</f>
        <v>1454.2985366800001</v>
      </c>
      <c r="N150" s="34">
        <f>1.0772*W138</f>
        <v>1450.2595664799999</v>
      </c>
      <c r="O150" s="36">
        <v>11</v>
      </c>
      <c r="P150" s="58">
        <v>2.8E-3</v>
      </c>
      <c r="Q150" s="58">
        <v>1.11E-2</v>
      </c>
      <c r="R150" s="64">
        <f t="shared" ref="R150" si="97">((K150-D150)/D150)</f>
        <v>-3.8983607661720503E-3</v>
      </c>
      <c r="S150" s="64">
        <f t="shared" ref="S150" si="98">((N150-G150)/G150)</f>
        <v>-6.7098853114031997E-3</v>
      </c>
      <c r="T150" s="64">
        <f t="shared" si="86"/>
        <v>0</v>
      </c>
      <c r="U150" s="64">
        <f t="shared" si="87"/>
        <v>7.9999999999999993E-4</v>
      </c>
      <c r="V150" s="65">
        <f t="shared" si="88"/>
        <v>2.8999999999999998E-3</v>
      </c>
    </row>
    <row r="151" spans="1:24">
      <c r="A151" s="181">
        <v>134</v>
      </c>
      <c r="B151" s="150" t="s">
        <v>206</v>
      </c>
      <c r="C151" s="149" t="s">
        <v>50</v>
      </c>
      <c r="D151" s="40">
        <v>918165093571.64001</v>
      </c>
      <c r="E151" s="35">
        <f t="shared" si="83"/>
        <v>0.49887463608227467</v>
      </c>
      <c r="F151" s="34">
        <v>2278.7199999999998</v>
      </c>
      <c r="G151" s="34">
        <v>2278.7199999999998</v>
      </c>
      <c r="H151" s="36">
        <v>13183</v>
      </c>
      <c r="I151" s="58">
        <v>6.9999999999999999E-4</v>
      </c>
      <c r="J151" s="58">
        <v>4.4000000000000003E-3</v>
      </c>
      <c r="K151" s="40">
        <v>902082942188.80005</v>
      </c>
      <c r="L151" s="35">
        <f t="shared" si="82"/>
        <v>0.49535582515616644</v>
      </c>
      <c r="M151" s="34">
        <v>2264.83</v>
      </c>
      <c r="N151" s="34">
        <v>2264.83</v>
      </c>
      <c r="O151" s="36">
        <v>13231</v>
      </c>
      <c r="P151" s="58">
        <v>6.9999999999999999E-4</v>
      </c>
      <c r="Q151" s="58">
        <v>5.0000000000000001E-3</v>
      </c>
      <c r="R151" s="64">
        <f t="shared" si="84"/>
        <v>-1.7515533421425099E-2</v>
      </c>
      <c r="S151" s="64">
        <f t="shared" si="85"/>
        <v>-6.0955273135794982E-3</v>
      </c>
      <c r="T151" s="64">
        <f t="shared" si="86"/>
        <v>3.6410528711218995E-3</v>
      </c>
      <c r="U151" s="64">
        <f t="shared" si="87"/>
        <v>0</v>
      </c>
      <c r="V151" s="65">
        <f t="shared" si="88"/>
        <v>5.9999999999999984E-4</v>
      </c>
    </row>
    <row r="152" spans="1:24">
      <c r="A152" s="181">
        <v>135</v>
      </c>
      <c r="B152" s="150" t="s">
        <v>207</v>
      </c>
      <c r="C152" s="150" t="s">
        <v>116</v>
      </c>
      <c r="D152" s="40">
        <v>549113446.01633704</v>
      </c>
      <c r="E152" s="35">
        <f t="shared" si="83"/>
        <v>2.9835459054936269E-4</v>
      </c>
      <c r="F152" s="34">
        <v>155723.98550900002</v>
      </c>
      <c r="G152" s="34">
        <v>155723.98550900002</v>
      </c>
      <c r="H152" s="36">
        <v>30</v>
      </c>
      <c r="I152" s="58">
        <v>3.8999999999999998E-3</v>
      </c>
      <c r="J152" s="58">
        <v>1.0500000000000001E-2</v>
      </c>
      <c r="K152" s="40">
        <f>406454.89*W138</f>
        <v>547219729.45142603</v>
      </c>
      <c r="L152" s="35">
        <f t="shared" si="82"/>
        <v>3.004917485374781E-4</v>
      </c>
      <c r="M152" s="34">
        <f>115.27*W138</f>
        <v>155190.69831799998</v>
      </c>
      <c r="N152" s="34">
        <f>115.27*W138</f>
        <v>155190.69831799998</v>
      </c>
      <c r="O152" s="36">
        <v>31</v>
      </c>
      <c r="P152" s="58">
        <v>3.3E-3</v>
      </c>
      <c r="Q152" s="58">
        <v>1.38E-2</v>
      </c>
      <c r="R152" s="64">
        <f t="shared" ref="R152" si="99">((K152-D152)/D152)</f>
        <v>-3.4486800107507596E-3</v>
      </c>
      <c r="S152" s="64">
        <f t="shared" ref="S152" si="100">((N152-G152)/G152)</f>
        <v>-3.4245668016839852E-3</v>
      </c>
      <c r="T152" s="64">
        <f t="shared" ref="T152" si="101">((O152-H152)/H152)</f>
        <v>3.3333333333333333E-2</v>
      </c>
      <c r="U152" s="64">
        <f t="shared" ref="U152" si="102">P152-I152</f>
        <v>-5.9999999999999984E-4</v>
      </c>
      <c r="V152" s="65">
        <f t="shared" ref="V152" si="103">Q152-J152</f>
        <v>3.2999999999999991E-3</v>
      </c>
    </row>
    <row r="153" spans="1:24" ht="16.5" customHeight="1">
      <c r="A153" s="181">
        <v>136</v>
      </c>
      <c r="B153" s="150" t="s">
        <v>208</v>
      </c>
      <c r="C153" s="149" t="s">
        <v>53</v>
      </c>
      <c r="D153" s="40">
        <v>186242419445.04898</v>
      </c>
      <c r="E153" s="35">
        <f t="shared" si="83"/>
        <v>0.10119271563930536</v>
      </c>
      <c r="F153" s="34">
        <v>1703.10591</v>
      </c>
      <c r="G153" s="34">
        <v>1703.10591</v>
      </c>
      <c r="H153" s="36">
        <v>970</v>
      </c>
      <c r="I153" s="58">
        <v>8.0000000000000004E-4</v>
      </c>
      <c r="J153" s="58">
        <v>5.2299999999999999E-2</v>
      </c>
      <c r="K153" s="40">
        <f>138030647.93*1347.15</f>
        <v>185947987358.89954</v>
      </c>
      <c r="L153" s="35">
        <f t="shared" si="82"/>
        <v>0.10210859157895259</v>
      </c>
      <c r="M153" s="34">
        <f>1.2571*1347.15</f>
        <v>1693.5022650000003</v>
      </c>
      <c r="N153" s="34">
        <f>1.2571*1347.15</f>
        <v>1693.5022650000003</v>
      </c>
      <c r="O153" s="36">
        <v>976</v>
      </c>
      <c r="P153" s="58">
        <v>1.1000000000000001E-3</v>
      </c>
      <c r="Q153" s="58">
        <v>5.3400000000000003E-2</v>
      </c>
      <c r="R153" s="64">
        <f t="shared" si="84"/>
        <v>-1.5809077600407629E-3</v>
      </c>
      <c r="S153" s="64">
        <f t="shared" si="85"/>
        <v>-5.6389006365433186E-3</v>
      </c>
      <c r="T153" s="64">
        <f t="shared" si="86"/>
        <v>6.1855670103092781E-3</v>
      </c>
      <c r="U153" s="64">
        <f t="shared" si="87"/>
        <v>3.0000000000000003E-4</v>
      </c>
      <c r="V153" s="65">
        <f t="shared" si="88"/>
        <v>1.1000000000000038E-3</v>
      </c>
    </row>
    <row r="154" spans="1:24" ht="16.5" customHeight="1">
      <c r="A154" s="181">
        <v>137</v>
      </c>
      <c r="B154" s="150" t="s">
        <v>209</v>
      </c>
      <c r="C154" s="149" t="s">
        <v>113</v>
      </c>
      <c r="D154" s="34">
        <v>2210637016.4704509</v>
      </c>
      <c r="E154" s="35">
        <f t="shared" si="83"/>
        <v>1.2011246613740419E-3</v>
      </c>
      <c r="F154" s="34">
        <v>154463.44667599999</v>
      </c>
      <c r="G154" s="34">
        <v>154463.44667599999</v>
      </c>
      <c r="H154" s="36">
        <v>32</v>
      </c>
      <c r="I154" s="58">
        <v>1.4E-3</v>
      </c>
      <c r="J154" s="58">
        <v>6.1699999999999998E-2</v>
      </c>
      <c r="K154" s="34">
        <f>1715849.69986322*W138</f>
        <v>2310088601.8088298</v>
      </c>
      <c r="L154" s="35">
        <f t="shared" si="82"/>
        <v>1.2685261986623065E-3</v>
      </c>
      <c r="M154" s="34">
        <f>114.34*W138</f>
        <v>153938.61755600001</v>
      </c>
      <c r="N154" s="34">
        <f>114.34*W138</f>
        <v>153938.61755600001</v>
      </c>
      <c r="O154" s="36">
        <v>32</v>
      </c>
      <c r="P154" s="58">
        <v>2.0999999999999999E-3</v>
      </c>
      <c r="Q154" s="58">
        <v>2.2100000000000002E-2</v>
      </c>
      <c r="R154" s="64">
        <f t="shared" si="84"/>
        <v>4.4987749955062897E-2</v>
      </c>
      <c r="S154" s="64">
        <f t="shared" si="85"/>
        <v>-3.3977561118447223E-3</v>
      </c>
      <c r="T154" s="64">
        <f t="shared" si="86"/>
        <v>0</v>
      </c>
      <c r="U154" s="64">
        <f t="shared" si="87"/>
        <v>6.9999999999999988E-4</v>
      </c>
      <c r="V154" s="65">
        <f t="shared" si="88"/>
        <v>-3.9599999999999996E-2</v>
      </c>
    </row>
    <row r="155" spans="1:24" ht="16.5" customHeight="1">
      <c r="A155" s="181">
        <v>138</v>
      </c>
      <c r="B155" s="150" t="s">
        <v>210</v>
      </c>
      <c r="C155" s="149" t="s">
        <v>123</v>
      </c>
      <c r="D155" s="34">
        <v>5837191704.0551319</v>
      </c>
      <c r="E155" s="35">
        <f t="shared" si="83"/>
        <v>3.1715722014384828E-3</v>
      </c>
      <c r="F155" s="34">
        <v>1572.2849960000001</v>
      </c>
      <c r="G155" s="34">
        <v>1572.2849960000001</v>
      </c>
      <c r="H155" s="36">
        <v>55</v>
      </c>
      <c r="I155" s="58">
        <v>4.1999999999999997E-3</v>
      </c>
      <c r="J155" s="58">
        <v>5.1000000000000004E-3</v>
      </c>
      <c r="K155" s="34">
        <f>4336939.31 *W138</f>
        <v>5838922877.4328537</v>
      </c>
      <c r="L155" s="35">
        <f t="shared" si="82"/>
        <v>3.2062954798325188E-3</v>
      </c>
      <c r="M155" s="34">
        <f>1.17*W138</f>
        <v>1575.1983779999998</v>
      </c>
      <c r="N155" s="34">
        <f>1.17*W138</f>
        <v>1575.1983779999998</v>
      </c>
      <c r="O155" s="36">
        <v>57</v>
      </c>
      <c r="P155" s="58">
        <v>7.0000000000000001E-3</v>
      </c>
      <c r="Q155" s="58">
        <v>8.3000000000000001E-3</v>
      </c>
      <c r="R155" s="64">
        <f t="shared" ref="R155" si="104">((K155-D155)/D155)</f>
        <v>2.9657641302394268E-4</v>
      </c>
      <c r="S155" s="64">
        <f t="shared" ref="S155" si="105">((N155-G155)/G155)</f>
        <v>1.8529605048776593E-3</v>
      </c>
      <c r="T155" s="64">
        <f t="shared" si="86"/>
        <v>3.6363636363636362E-2</v>
      </c>
      <c r="U155" s="64">
        <f t="shared" si="87"/>
        <v>2.8000000000000004E-3</v>
      </c>
      <c r="V155" s="65">
        <f t="shared" si="88"/>
        <v>3.1999999999999997E-3</v>
      </c>
    </row>
    <row r="156" spans="1:24">
      <c r="A156" s="181">
        <v>139</v>
      </c>
      <c r="B156" s="150" t="s">
        <v>211</v>
      </c>
      <c r="C156" s="149" t="s">
        <v>125</v>
      </c>
      <c r="D156" s="34">
        <v>1780288392.8644891</v>
      </c>
      <c r="E156" s="35">
        <f t="shared" si="83"/>
        <v>9.6729959604206219E-4</v>
      </c>
      <c r="F156" s="34">
        <v>2033.1271500000003</v>
      </c>
      <c r="G156" s="34">
        <v>2033.1271500000003</v>
      </c>
      <c r="H156" s="36">
        <v>131</v>
      </c>
      <c r="I156" s="58">
        <v>1.4E-3</v>
      </c>
      <c r="J156" s="58">
        <v>8.3999999999999995E-3</v>
      </c>
      <c r="K156" s="34">
        <f>1338986.69*W138</f>
        <v>1802709113.0355458</v>
      </c>
      <c r="L156" s="35">
        <f>(K156/$K$157)</f>
        <v>9.899117015088933E-4</v>
      </c>
      <c r="M156" s="34">
        <f>1.51*W138</f>
        <v>2032.9483339999999</v>
      </c>
      <c r="N156" s="34">
        <f>1.51*W138</f>
        <v>2032.9483339999999</v>
      </c>
      <c r="O156" s="36">
        <v>133</v>
      </c>
      <c r="P156" s="58">
        <v>5.4000000000000003E-3</v>
      </c>
      <c r="Q156" s="58">
        <v>1.4200000000000001E-2</v>
      </c>
      <c r="R156" s="64">
        <f t="shared" si="84"/>
        <v>1.2593869769033176E-2</v>
      </c>
      <c r="S156" s="64">
        <f t="shared" si="85"/>
        <v>-8.7951213479355909E-5</v>
      </c>
      <c r="T156" s="64">
        <f t="shared" si="86"/>
        <v>1.5267175572519083E-2</v>
      </c>
      <c r="U156" s="64">
        <f t="shared" si="87"/>
        <v>4.0000000000000001E-3</v>
      </c>
      <c r="V156" s="65">
        <f t="shared" si="88"/>
        <v>5.8000000000000013E-3</v>
      </c>
    </row>
    <row r="157" spans="1:24">
      <c r="A157" s="43"/>
      <c r="B157" s="44"/>
      <c r="C157" s="79" t="s">
        <v>56</v>
      </c>
      <c r="D157" s="67">
        <f>SUM(D119:D156)</f>
        <v>1840472590032.0491</v>
      </c>
      <c r="E157" s="47">
        <f>(D157/$D$233)</f>
        <v>0.22509271314490836</v>
      </c>
      <c r="F157" s="48"/>
      <c r="G157" s="53"/>
      <c r="H157" s="50">
        <f>SUM(H119:H156)</f>
        <v>29999</v>
      </c>
      <c r="I157" s="83"/>
      <c r="J157" s="83"/>
      <c r="K157" s="67">
        <f>SUM(K119:K156)</f>
        <v>1821080718904.251</v>
      </c>
      <c r="L157" s="47">
        <f>(K157/$K$233)</f>
        <v>0.22181208200398678</v>
      </c>
      <c r="M157" s="48"/>
      <c r="N157" s="53"/>
      <c r="O157" s="50">
        <f>SUM(O119:O156)</f>
        <v>30192</v>
      </c>
      <c r="P157" s="83"/>
      <c r="Q157" s="83"/>
      <c r="R157" s="64">
        <f t="shared" si="84"/>
        <v>-1.0536354212947239E-2</v>
      </c>
      <c r="S157" s="64" t="e">
        <f t="shared" si="85"/>
        <v>#DIV/0!</v>
      </c>
      <c r="T157" s="64">
        <f t="shared" si="86"/>
        <v>6.4335477849261644E-3</v>
      </c>
      <c r="U157" s="64">
        <f t="shared" si="87"/>
        <v>0</v>
      </c>
      <c r="V157" s="65">
        <f t="shared" si="88"/>
        <v>0</v>
      </c>
    </row>
    <row r="158" spans="1:24" ht="6" customHeight="1">
      <c r="A158" s="43"/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192"/>
      <c r="S158" s="192"/>
      <c r="T158" s="192"/>
      <c r="U158" s="192"/>
      <c r="V158" s="192"/>
    </row>
    <row r="159" spans="1:24">
      <c r="A159" s="194" t="s">
        <v>212</v>
      </c>
      <c r="B159" s="194"/>
      <c r="C159" s="194"/>
      <c r="D159" s="194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  <c r="P159" s="194"/>
      <c r="Q159" s="194"/>
      <c r="R159" s="194"/>
      <c r="S159" s="194"/>
      <c r="T159" s="194"/>
      <c r="U159" s="194"/>
      <c r="V159" s="194"/>
    </row>
    <row r="160" spans="1:24">
      <c r="A160" s="181">
        <v>140</v>
      </c>
      <c r="B160" s="150" t="s">
        <v>213</v>
      </c>
      <c r="C160" s="149" t="s">
        <v>214</v>
      </c>
      <c r="D160" s="80">
        <v>2344219608.47649</v>
      </c>
      <c r="E160" s="35">
        <f>(D160/$D$166)</f>
        <v>4.6386152996832309E-3</v>
      </c>
      <c r="F160" s="68">
        <v>110.472177590787</v>
      </c>
      <c r="G160" s="68">
        <v>110.472177590787</v>
      </c>
      <c r="H160" s="36">
        <v>8</v>
      </c>
      <c r="I160" s="58">
        <v>3.7000000000000002E-3</v>
      </c>
      <c r="J160" s="58">
        <v>5.0799999999999998E-2</v>
      </c>
      <c r="K160" s="80">
        <v>2350783423.3802299</v>
      </c>
      <c r="L160" s="35">
        <f>(K160/$K$166)</f>
        <v>4.6468949458925175E-3</v>
      </c>
      <c r="M160" s="68">
        <v>110.781499688041</v>
      </c>
      <c r="N160" s="68">
        <v>110.781499688041</v>
      </c>
      <c r="O160" s="36">
        <v>8</v>
      </c>
      <c r="P160" s="58">
        <v>2.8E-3</v>
      </c>
      <c r="Q160" s="58">
        <v>5.3800000000000001E-2</v>
      </c>
      <c r="R160" s="64">
        <f t="shared" ref="R160:R166" si="106">((K160-D160)/D160)</f>
        <v>2.8000000000024559E-3</v>
      </c>
      <c r="S160" s="64">
        <f t="shared" ref="S160:T166" si="107">((N160-G160)/G160)</f>
        <v>2.7999999999981273E-3</v>
      </c>
      <c r="T160" s="64">
        <f t="shared" si="107"/>
        <v>0</v>
      </c>
      <c r="U160" s="64">
        <f t="shared" ref="U160:V166" si="108">P160-I160</f>
        <v>-9.0000000000000019E-4</v>
      </c>
      <c r="V160" s="65">
        <f t="shared" si="108"/>
        <v>3.0000000000000027E-3</v>
      </c>
    </row>
    <row r="161" spans="1:22">
      <c r="A161" s="181">
        <v>141</v>
      </c>
      <c r="B161" s="150" t="s">
        <v>215</v>
      </c>
      <c r="C161" s="149" t="s">
        <v>24</v>
      </c>
      <c r="D161" s="80">
        <v>271351349071.54999</v>
      </c>
      <c r="E161" s="35">
        <v>0</v>
      </c>
      <c r="F161" s="68">
        <v>108.54049999999999</v>
      </c>
      <c r="G161" s="68">
        <v>108.54049999999999</v>
      </c>
      <c r="H161" s="36">
        <v>45</v>
      </c>
      <c r="I161" s="58">
        <v>9.5699999999999993E-2</v>
      </c>
      <c r="J161" s="58">
        <v>3.3700000000000001E-2</v>
      </c>
      <c r="K161" s="80">
        <v>271843304595.34</v>
      </c>
      <c r="L161" s="35">
        <f t="shared" ref="L161:L165" si="109">(K161/$K$166)</f>
        <v>0.53736438058695779</v>
      </c>
      <c r="M161" s="68">
        <v>108.7373</v>
      </c>
      <c r="N161" s="68">
        <v>108.7373</v>
      </c>
      <c r="O161" s="36">
        <v>45</v>
      </c>
      <c r="P161" s="58">
        <v>9.4500000000000001E-2</v>
      </c>
      <c r="Q161" s="58">
        <v>4.2099999999999999E-2</v>
      </c>
      <c r="R161" s="64">
        <f t="shared" ref="R161" si="110">((K161-D161)/D161)</f>
        <v>1.8129835192390719E-3</v>
      </c>
      <c r="S161" s="64">
        <f t="shared" ref="S161" si="111">((N161-G161)/G161)</f>
        <v>1.813148087580307E-3</v>
      </c>
      <c r="T161" s="64">
        <f t="shared" ref="T161" si="112">((O161-H161)/H161)</f>
        <v>0</v>
      </c>
      <c r="U161" s="64">
        <f t="shared" ref="U161" si="113">P161-I161</f>
        <v>-1.1999999999999927E-3</v>
      </c>
      <c r="V161" s="65">
        <f t="shared" ref="V161" si="114">Q161-J161</f>
        <v>8.3999999999999977E-3</v>
      </c>
    </row>
    <row r="162" spans="1:22">
      <c r="A162" s="181">
        <v>142</v>
      </c>
      <c r="B162" s="150" t="s">
        <v>216</v>
      </c>
      <c r="C162" s="149" t="s">
        <v>48</v>
      </c>
      <c r="D162" s="40">
        <v>163627573866</v>
      </c>
      <c r="E162" s="35">
        <f>(D162/$D$166)</f>
        <v>0.32377741609206728</v>
      </c>
      <c r="F162" s="68">
        <v>103</v>
      </c>
      <c r="G162" s="68">
        <v>103</v>
      </c>
      <c r="H162" s="36">
        <v>851</v>
      </c>
      <c r="I162" s="58">
        <v>9.4E-2</v>
      </c>
      <c r="J162" s="58">
        <v>9.4E-2</v>
      </c>
      <c r="K162" s="40">
        <v>163627573866</v>
      </c>
      <c r="L162" s="35">
        <f t="shared" si="109"/>
        <v>0.32344967998508156</v>
      </c>
      <c r="M162" s="68">
        <v>103</v>
      </c>
      <c r="N162" s="68">
        <v>103</v>
      </c>
      <c r="O162" s="36">
        <v>851</v>
      </c>
      <c r="P162" s="58">
        <v>9.4E-2</v>
      </c>
      <c r="Q162" s="58">
        <v>9.4E-2</v>
      </c>
      <c r="R162" s="64">
        <f t="shared" si="106"/>
        <v>0</v>
      </c>
      <c r="S162" s="64">
        <f t="shared" si="107"/>
        <v>0</v>
      </c>
      <c r="T162" s="64">
        <f t="shared" si="107"/>
        <v>0</v>
      </c>
      <c r="U162" s="64">
        <f t="shared" si="108"/>
        <v>0</v>
      </c>
      <c r="V162" s="65">
        <f t="shared" si="108"/>
        <v>0</v>
      </c>
    </row>
    <row r="163" spans="1:22" ht="15.75" customHeight="1">
      <c r="A163" s="181">
        <v>143</v>
      </c>
      <c r="B163" s="150" t="s">
        <v>218</v>
      </c>
      <c r="C163" s="149" t="s">
        <v>161</v>
      </c>
      <c r="D163" s="40">
        <v>6501645851.86691</v>
      </c>
      <c r="E163" s="35">
        <f>(D163/$D$166)</f>
        <v>1.286510607305771E-2</v>
      </c>
      <c r="F163" s="68">
        <v>418.75</v>
      </c>
      <c r="G163" s="68">
        <v>418.75</v>
      </c>
      <c r="H163" s="36">
        <v>4897</v>
      </c>
      <c r="I163" s="58">
        <v>4.6600000000000003E-2</v>
      </c>
      <c r="J163" s="58">
        <v>0.1424</v>
      </c>
      <c r="K163" s="40">
        <v>6506889907.7343197</v>
      </c>
      <c r="L163" s="35">
        <f t="shared" si="109"/>
        <v>1.2862449822047664E-2</v>
      </c>
      <c r="M163" s="68">
        <v>418.75</v>
      </c>
      <c r="N163" s="68">
        <v>418.75</v>
      </c>
      <c r="O163" s="36">
        <v>4897</v>
      </c>
      <c r="P163" s="58">
        <v>5.5199999999999999E-2</v>
      </c>
      <c r="Q163" s="58">
        <v>0.1242</v>
      </c>
      <c r="R163" s="64">
        <f t="shared" si="106"/>
        <v>8.0657359488504063E-4</v>
      </c>
      <c r="S163" s="64">
        <f t="shared" si="107"/>
        <v>0</v>
      </c>
      <c r="T163" s="64">
        <f t="shared" si="107"/>
        <v>0</v>
      </c>
      <c r="U163" s="64">
        <f t="shared" si="108"/>
        <v>8.5999999999999965E-3</v>
      </c>
      <c r="V163" s="65">
        <f t="shared" si="108"/>
        <v>-1.8199999999999994E-2</v>
      </c>
    </row>
    <row r="164" spans="1:22">
      <c r="A164" s="181">
        <v>144</v>
      </c>
      <c r="B164" s="150" t="s">
        <v>217</v>
      </c>
      <c r="C164" s="149" t="s">
        <v>161</v>
      </c>
      <c r="D164" s="40">
        <v>27934879746.029999</v>
      </c>
      <c r="E164" s="35">
        <f>(D164/$D$166)</f>
        <v>5.527603306285777E-2</v>
      </c>
      <c r="F164" s="68">
        <v>69.25</v>
      </c>
      <c r="G164" s="68">
        <v>69.25</v>
      </c>
      <c r="H164" s="36">
        <v>6424</v>
      </c>
      <c r="I164" s="58">
        <v>2.3800000000000002E-2</v>
      </c>
      <c r="J164" s="58">
        <v>3.3599999999999998E-2</v>
      </c>
      <c r="K164" s="40">
        <v>27943184193.689999</v>
      </c>
      <c r="L164" s="35">
        <f t="shared" si="109"/>
        <v>5.5236496952615767E-2</v>
      </c>
      <c r="M164" s="68">
        <v>69.25</v>
      </c>
      <c r="N164" s="68">
        <v>69.25</v>
      </c>
      <c r="O164" s="36">
        <v>6424</v>
      </c>
      <c r="P164" s="58">
        <v>1.3599999999999999E-2</v>
      </c>
      <c r="Q164" s="58">
        <v>3.1699999999999999E-2</v>
      </c>
      <c r="R164" s="64">
        <f t="shared" si="106"/>
        <v>2.9727880468789363E-4</v>
      </c>
      <c r="S164" s="64">
        <f t="shared" si="107"/>
        <v>0</v>
      </c>
      <c r="T164" s="64">
        <f t="shared" si="107"/>
        <v>0</v>
      </c>
      <c r="U164" s="64">
        <f t="shared" si="108"/>
        <v>-1.0200000000000002E-2</v>
      </c>
      <c r="V164" s="65">
        <f t="shared" si="108"/>
        <v>-1.8999999999999989E-3</v>
      </c>
    </row>
    <row r="165" spans="1:22">
      <c r="A165" s="181">
        <v>145</v>
      </c>
      <c r="B165" s="150" t="s">
        <v>325</v>
      </c>
      <c r="C165" s="149" t="s">
        <v>161</v>
      </c>
      <c r="D165" s="40">
        <v>33610891177.212002</v>
      </c>
      <c r="E165" s="35">
        <f>(D165/$D$166)</f>
        <v>6.6507418284043968E-2</v>
      </c>
      <c r="F165" s="68">
        <v>8</v>
      </c>
      <c r="G165" s="68">
        <v>8</v>
      </c>
      <c r="H165" s="36">
        <v>211092</v>
      </c>
      <c r="I165" s="58">
        <v>0</v>
      </c>
      <c r="J165" s="58">
        <v>0</v>
      </c>
      <c r="K165" s="40">
        <v>33610891177.212002</v>
      </c>
      <c r="L165" s="35">
        <f t="shared" si="109"/>
        <v>6.6440097707404722E-2</v>
      </c>
      <c r="M165" s="68">
        <v>7.5</v>
      </c>
      <c r="N165" s="68">
        <v>7.5</v>
      </c>
      <c r="O165" s="36">
        <v>211092</v>
      </c>
      <c r="P165" s="58">
        <v>0</v>
      </c>
      <c r="Q165" s="58">
        <v>0</v>
      </c>
      <c r="R165" s="64">
        <f t="shared" si="106"/>
        <v>0</v>
      </c>
      <c r="S165" s="64">
        <f t="shared" si="107"/>
        <v>-6.25E-2</v>
      </c>
      <c r="T165" s="64">
        <f t="shared" si="107"/>
        <v>0</v>
      </c>
      <c r="U165" s="64">
        <f t="shared" si="108"/>
        <v>0</v>
      </c>
      <c r="V165" s="65">
        <f t="shared" si="108"/>
        <v>0</v>
      </c>
    </row>
    <row r="166" spans="1:22">
      <c r="A166" s="43"/>
      <c r="B166" s="81"/>
      <c r="C166" s="45" t="s">
        <v>56</v>
      </c>
      <c r="D166" s="46">
        <f>SUM(D160:D165)</f>
        <v>505370559321.13531</v>
      </c>
      <c r="E166" s="47">
        <f>(D166/$D$233)</f>
        <v>6.1807619932646392E-2</v>
      </c>
      <c r="F166" s="48"/>
      <c r="G166" s="82"/>
      <c r="H166" s="50">
        <f>SUM(H160:H165)</f>
        <v>223317</v>
      </c>
      <c r="I166" s="84"/>
      <c r="J166" s="84"/>
      <c r="K166" s="46">
        <f>SUM(K160:K165)</f>
        <v>505882627163.35651</v>
      </c>
      <c r="L166" s="47">
        <f>(K166/$K$233)</f>
        <v>6.1617740287903483E-2</v>
      </c>
      <c r="M166" s="48"/>
      <c r="N166" s="82"/>
      <c r="O166" s="50">
        <f>SUM(O160:O165)</f>
        <v>223317</v>
      </c>
      <c r="P166" s="84"/>
      <c r="Q166" s="84"/>
      <c r="R166" s="64">
        <f t="shared" si="106"/>
        <v>1.0132522221101533E-3</v>
      </c>
      <c r="S166" s="64" t="e">
        <f t="shared" si="107"/>
        <v>#DIV/0!</v>
      </c>
      <c r="T166" s="64">
        <f t="shared" si="107"/>
        <v>0</v>
      </c>
      <c r="U166" s="64">
        <f t="shared" si="108"/>
        <v>0</v>
      </c>
      <c r="V166" s="65">
        <f t="shared" si="108"/>
        <v>0</v>
      </c>
    </row>
    <row r="167" spans="1:22" ht="5.25" customHeight="1">
      <c r="A167" s="43"/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  <c r="R167" s="192"/>
      <c r="S167" s="192"/>
      <c r="T167" s="192"/>
      <c r="U167" s="192"/>
      <c r="V167" s="192"/>
    </row>
    <row r="168" spans="1:22" ht="15" customHeight="1">
      <c r="A168" s="194" t="s">
        <v>219</v>
      </c>
      <c r="B168" s="194"/>
      <c r="C168" s="194"/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  <c r="P168" s="194"/>
      <c r="Q168" s="194"/>
      <c r="R168" s="194"/>
      <c r="S168" s="194"/>
      <c r="T168" s="194"/>
      <c r="U168" s="194"/>
      <c r="V168" s="194"/>
    </row>
    <row r="169" spans="1:22">
      <c r="A169" s="182">
        <v>146</v>
      </c>
      <c r="B169" s="150" t="s">
        <v>220</v>
      </c>
      <c r="C169" s="149" t="s">
        <v>60</v>
      </c>
      <c r="D169" s="34">
        <v>728097863.41999996</v>
      </c>
      <c r="E169" s="35">
        <f t="shared" ref="E169:E197" si="115">(D169/$D$198)</f>
        <v>6.9889206519730832E-3</v>
      </c>
      <c r="F169" s="34">
        <v>8.4600000000000009</v>
      </c>
      <c r="G169" s="34">
        <v>8.58</v>
      </c>
      <c r="H169" s="38">
        <v>11956</v>
      </c>
      <c r="I169" s="59">
        <v>1.7329000000000001E-2</v>
      </c>
      <c r="J169" s="59">
        <v>7.8209000000000001E-2</v>
      </c>
      <c r="K169" s="34">
        <v>752785749.01999998</v>
      </c>
      <c r="L169" s="62">
        <f t="shared" ref="L169:L197" si="116">(K169/$K$198)</f>
        <v>6.719927360854811E-3</v>
      </c>
      <c r="M169" s="34">
        <v>8.68</v>
      </c>
      <c r="N169" s="34">
        <v>8.81</v>
      </c>
      <c r="O169" s="38">
        <v>11958</v>
      </c>
      <c r="P169" s="59">
        <v>2.8435999999999999E-2</v>
      </c>
      <c r="Q169" s="59">
        <v>0.106645</v>
      </c>
      <c r="R169" s="64">
        <f>((K169-D169)/D169)</f>
        <v>3.3907372676575114E-2</v>
      </c>
      <c r="S169" s="64">
        <f>((N169-G169)/G169)</f>
        <v>2.6806526806526856E-2</v>
      </c>
      <c r="T169" s="64">
        <f>((O169-H169)/H169)</f>
        <v>1.6728002676480428E-4</v>
      </c>
      <c r="U169" s="64">
        <f>P169-I169</f>
        <v>1.1106999999999999E-2</v>
      </c>
      <c r="V169" s="65">
        <f>Q169-J169</f>
        <v>2.8436000000000003E-2</v>
      </c>
    </row>
    <row r="170" spans="1:22">
      <c r="A170" s="182">
        <v>147</v>
      </c>
      <c r="B170" s="150" t="s">
        <v>221</v>
      </c>
      <c r="C170" s="150" t="s">
        <v>222</v>
      </c>
      <c r="D170" s="34">
        <v>1939304561.5202899</v>
      </c>
      <c r="E170" s="35">
        <f t="shared" si="115"/>
        <v>1.8615142800736936E-2</v>
      </c>
      <c r="F170" s="34">
        <v>2604</v>
      </c>
      <c r="G170" s="34">
        <v>2630.56</v>
      </c>
      <c r="H170" s="38">
        <v>218</v>
      </c>
      <c r="I170" s="59">
        <v>0.1024</v>
      </c>
      <c r="J170" s="59">
        <v>0.18770000000000001</v>
      </c>
      <c r="K170" s="34">
        <v>2074130986.95769</v>
      </c>
      <c r="L170" s="62">
        <f t="shared" si="116"/>
        <v>1.8515241006353683E-2</v>
      </c>
      <c r="M170" s="34">
        <v>2729.7075334968399</v>
      </c>
      <c r="N170" s="34">
        <v>2757.7651643878398</v>
      </c>
      <c r="O170" s="38">
        <v>230</v>
      </c>
      <c r="P170" s="59">
        <v>4.8300000000000003E-2</v>
      </c>
      <c r="Q170" s="59">
        <v>0.24510000000000001</v>
      </c>
      <c r="R170" s="64">
        <f>((K170-D170)/D170)</f>
        <v>6.9523079619688441E-2</v>
      </c>
      <c r="S170" s="64">
        <f>((N170-G170)/G170)</f>
        <v>4.8356686176266608E-2</v>
      </c>
      <c r="T170" s="64">
        <f>((O170-H170)/H170)</f>
        <v>5.5045871559633031E-2</v>
      </c>
      <c r="U170" s="64">
        <f>P170-I170</f>
        <v>-5.4100000000000002E-2</v>
      </c>
      <c r="V170" s="65">
        <f>Q170-J170</f>
        <v>5.7400000000000007E-2</v>
      </c>
    </row>
    <row r="171" spans="1:22">
      <c r="A171" s="182">
        <v>148</v>
      </c>
      <c r="B171" s="150" t="s">
        <v>223</v>
      </c>
      <c r="C171" s="149" t="s">
        <v>24</v>
      </c>
      <c r="D171" s="34">
        <v>11613540062.690001</v>
      </c>
      <c r="E171" s="35">
        <f t="shared" si="115"/>
        <v>0.11147692372753279</v>
      </c>
      <c r="F171" s="34">
        <v>1155.9473</v>
      </c>
      <c r="G171" s="34">
        <v>1190.8</v>
      </c>
      <c r="H171" s="38">
        <v>22523</v>
      </c>
      <c r="I171" s="59">
        <v>1.8911</v>
      </c>
      <c r="J171" s="59">
        <v>0.79290000000000005</v>
      </c>
      <c r="K171" s="34">
        <v>12097593653.360001</v>
      </c>
      <c r="L171" s="62">
        <f t="shared" si="116"/>
        <v>0.1079921487588596</v>
      </c>
      <c r="M171" s="34">
        <v>1202.6802</v>
      </c>
      <c r="N171" s="34">
        <v>1238.9419</v>
      </c>
      <c r="O171" s="38">
        <v>22534</v>
      </c>
      <c r="P171" s="59">
        <v>2.1080000000000001</v>
      </c>
      <c r="Q171" s="59">
        <v>1.0011000000000001</v>
      </c>
      <c r="R171" s="64">
        <f t="shared" ref="R171:R197" si="117">((K171-D171)/D171)</f>
        <v>4.1680106845722681E-2</v>
      </c>
      <c r="S171" s="64">
        <f t="shared" ref="S171:T197" si="118">((N171-G171)/G171)</f>
        <v>4.0428199529727982E-2</v>
      </c>
      <c r="T171" s="64">
        <f t="shared" si="118"/>
        <v>4.8838964613950181E-4</v>
      </c>
      <c r="U171" s="64">
        <f t="shared" ref="U171:V197" si="119">P171-I171</f>
        <v>0.21690000000000009</v>
      </c>
      <c r="V171" s="65">
        <f t="shared" si="119"/>
        <v>0.20820000000000005</v>
      </c>
    </row>
    <row r="172" spans="1:22">
      <c r="A172" s="182">
        <v>149</v>
      </c>
      <c r="B172" s="150" t="s">
        <v>224</v>
      </c>
      <c r="C172" s="149" t="s">
        <v>127</v>
      </c>
      <c r="D172" s="34">
        <v>6885321491.79</v>
      </c>
      <c r="E172" s="35">
        <f t="shared" si="115"/>
        <v>6.6091342918399534E-2</v>
      </c>
      <c r="F172" s="34">
        <v>38.444699999999997</v>
      </c>
      <c r="G172" s="34">
        <v>38.931199999999997</v>
      </c>
      <c r="H172" s="36">
        <v>6223</v>
      </c>
      <c r="I172" s="58">
        <v>8.1299999999999997E-2</v>
      </c>
      <c r="J172" s="58">
        <v>0.13339999999999999</v>
      </c>
      <c r="K172" s="34">
        <v>7270544468.2200003</v>
      </c>
      <c r="L172" s="62">
        <f t="shared" si="116"/>
        <v>6.4902305554943668E-2</v>
      </c>
      <c r="M172" s="34">
        <v>41.521099999999997</v>
      </c>
      <c r="N172" s="34">
        <v>42.073300000000003</v>
      </c>
      <c r="O172" s="36">
        <v>6228</v>
      </c>
      <c r="P172" s="58">
        <v>6.0199999999999997E-2</v>
      </c>
      <c r="Q172" s="58">
        <v>0.22450000000000001</v>
      </c>
      <c r="R172" s="64">
        <f t="shared" si="117"/>
        <v>5.5948437104837732E-2</v>
      </c>
      <c r="S172" s="64">
        <f t="shared" si="118"/>
        <v>8.0709045701134477E-2</v>
      </c>
      <c r="T172" s="64">
        <f t="shared" si="118"/>
        <v>8.0347099469709143E-4</v>
      </c>
      <c r="U172" s="64">
        <f t="shared" si="119"/>
        <v>-2.1100000000000001E-2</v>
      </c>
      <c r="V172" s="65">
        <f t="shared" si="119"/>
        <v>9.1100000000000014E-2</v>
      </c>
    </row>
    <row r="173" spans="1:22">
      <c r="A173" s="182">
        <v>150</v>
      </c>
      <c r="B173" s="150" t="s">
        <v>225</v>
      </c>
      <c r="C173" s="149" t="s">
        <v>135</v>
      </c>
      <c r="D173" s="40">
        <v>2890609495.4899998</v>
      </c>
      <c r="E173" s="35">
        <f t="shared" si="115"/>
        <v>2.7746600305797058E-2</v>
      </c>
      <c r="F173" s="34">
        <v>6.8912000000000004</v>
      </c>
      <c r="G173" s="34">
        <v>7.0629</v>
      </c>
      <c r="H173" s="36">
        <v>2736</v>
      </c>
      <c r="I173" s="58">
        <v>2.4754</v>
      </c>
      <c r="J173" s="58">
        <v>1.2402</v>
      </c>
      <c r="K173" s="40">
        <v>3014190296.2199998</v>
      </c>
      <c r="L173" s="62">
        <f t="shared" si="116"/>
        <v>2.6906911918511502E-2</v>
      </c>
      <c r="M173" s="34">
        <v>7.2012</v>
      </c>
      <c r="N173" s="34">
        <v>7.3864999999999998</v>
      </c>
      <c r="O173" s="36">
        <v>2736</v>
      </c>
      <c r="P173" s="58">
        <v>2.3889999999999998</v>
      </c>
      <c r="Q173" s="58">
        <v>1.4469000000000001</v>
      </c>
      <c r="R173" s="64">
        <f t="shared" si="117"/>
        <v>4.2752506321872198E-2</v>
      </c>
      <c r="S173" s="64">
        <f t="shared" si="118"/>
        <v>4.5816874088547184E-2</v>
      </c>
      <c r="T173" s="64">
        <f t="shared" si="118"/>
        <v>0</v>
      </c>
      <c r="U173" s="64">
        <f t="shared" si="119"/>
        <v>-8.6400000000000254E-2</v>
      </c>
      <c r="V173" s="65">
        <f t="shared" si="119"/>
        <v>0.20670000000000011</v>
      </c>
    </row>
    <row r="174" spans="1:22">
      <c r="A174" s="182">
        <v>151</v>
      </c>
      <c r="B174" s="150" t="s">
        <v>226</v>
      </c>
      <c r="C174" s="149" t="s">
        <v>28</v>
      </c>
      <c r="D174" s="40">
        <v>1410127229.9300001</v>
      </c>
      <c r="E174" s="35">
        <f t="shared" si="115"/>
        <v>1.3535635543380805E-2</v>
      </c>
      <c r="F174" s="34">
        <v>1.4266000000000001</v>
      </c>
      <c r="G174" s="34">
        <v>1.4391</v>
      </c>
      <c r="H174" s="36">
        <v>267</v>
      </c>
      <c r="I174" s="58">
        <v>5.0700000000000002E-2</v>
      </c>
      <c r="J174" s="58">
        <v>0.1477</v>
      </c>
      <c r="K174" s="40">
        <v>1515836792.98</v>
      </c>
      <c r="L174" s="62">
        <f t="shared" si="116"/>
        <v>1.3531490404803189E-2</v>
      </c>
      <c r="M174" s="34">
        <v>1.5035000000000001</v>
      </c>
      <c r="N174" s="34">
        <v>1.5165999999999999</v>
      </c>
      <c r="O174" s="36">
        <v>282</v>
      </c>
      <c r="P174" s="58">
        <v>5.3900000000000003E-2</v>
      </c>
      <c r="Q174" s="58">
        <v>0.20960000000000001</v>
      </c>
      <c r="R174" s="64">
        <f t="shared" ref="R174" si="120">((K174-D174)/D174)</f>
        <v>7.496455696075556E-2</v>
      </c>
      <c r="S174" s="64">
        <f t="shared" ref="S174" si="121">((N174-G174)/G174)</f>
        <v>5.3853102633590368E-2</v>
      </c>
      <c r="T174" s="64">
        <f t="shared" ref="T174" si="122">((O174-H174)/H174)</f>
        <v>5.6179775280898875E-2</v>
      </c>
      <c r="U174" s="64">
        <f t="shared" ref="U174" si="123">P174-I174</f>
        <v>3.2000000000000015E-3</v>
      </c>
      <c r="V174" s="65">
        <f t="shared" ref="V174" si="124">Q174-J174</f>
        <v>6.1900000000000011E-2</v>
      </c>
    </row>
    <row r="175" spans="1:22">
      <c r="A175" s="182">
        <v>152</v>
      </c>
      <c r="B175" s="150" t="s">
        <v>227</v>
      </c>
      <c r="C175" s="149" t="s">
        <v>71</v>
      </c>
      <c r="D175" s="34">
        <v>7919871746.11728</v>
      </c>
      <c r="E175" s="35">
        <f t="shared" si="115"/>
        <v>7.6021861879146876E-2</v>
      </c>
      <c r="F175" s="34">
        <v>12676.8049059725</v>
      </c>
      <c r="G175" s="34">
        <v>12773.9718880989</v>
      </c>
      <c r="H175" s="36">
        <v>1465</v>
      </c>
      <c r="I175" s="58">
        <v>2.4910999999999999</v>
      </c>
      <c r="J175" s="58">
        <v>1.1206</v>
      </c>
      <c r="K175" s="34">
        <v>8478610481.5997696</v>
      </c>
      <c r="L175" s="62">
        <f t="shared" si="116"/>
        <v>7.5686404307607258E-2</v>
      </c>
      <c r="M175" s="34">
        <v>13282.0747567691</v>
      </c>
      <c r="N175" s="34">
        <v>13384.118954838599</v>
      </c>
      <c r="O175" s="36">
        <v>1497</v>
      </c>
      <c r="P175" s="58">
        <v>2.4895999999999998</v>
      </c>
      <c r="Q175" s="58">
        <v>1.3546</v>
      </c>
      <c r="R175" s="64">
        <f t="shared" si="117"/>
        <v>7.0548962583442273E-2</v>
      </c>
      <c r="S175" s="64">
        <f t="shared" si="118"/>
        <v>4.7764866878104946E-2</v>
      </c>
      <c r="T175" s="64">
        <f t="shared" si="118"/>
        <v>2.1843003412969283E-2</v>
      </c>
      <c r="U175" s="64">
        <f t="shared" si="119"/>
        <v>-1.5000000000000568E-3</v>
      </c>
      <c r="V175" s="65">
        <f t="shared" si="119"/>
        <v>0.23399999999999999</v>
      </c>
    </row>
    <row r="176" spans="1:22">
      <c r="A176" s="182">
        <v>153</v>
      </c>
      <c r="B176" s="150" t="s">
        <v>228</v>
      </c>
      <c r="C176" s="149" t="s">
        <v>73</v>
      </c>
      <c r="D176" s="34">
        <v>1512314013.52</v>
      </c>
      <c r="E176" s="35">
        <f t="shared" si="115"/>
        <v>1.4516513744061481E-2</v>
      </c>
      <c r="F176" s="34">
        <v>262.14999999999998</v>
      </c>
      <c r="G176" s="34">
        <v>264.25</v>
      </c>
      <c r="H176" s="36">
        <v>508</v>
      </c>
      <c r="I176" s="58">
        <v>5.2900000000000003E-2</v>
      </c>
      <c r="J176" s="58">
        <v>0.13539999999999999</v>
      </c>
      <c r="K176" s="34">
        <v>1610360410.24</v>
      </c>
      <c r="L176" s="62">
        <f t="shared" si="116"/>
        <v>1.4375278750556752E-2</v>
      </c>
      <c r="M176" s="34">
        <v>271.58</v>
      </c>
      <c r="N176" s="34">
        <v>273.79000000000002</v>
      </c>
      <c r="O176" s="36">
        <v>508</v>
      </c>
      <c r="P176" s="58">
        <v>3.5999999999999997E-2</v>
      </c>
      <c r="Q176" s="58">
        <v>0.1764</v>
      </c>
      <c r="R176" s="64">
        <f t="shared" si="117"/>
        <v>6.4832036100618592E-2</v>
      </c>
      <c r="S176" s="64">
        <f t="shared" si="118"/>
        <v>3.6102175969725717E-2</v>
      </c>
      <c r="T176" s="64">
        <f t="shared" si="118"/>
        <v>0</v>
      </c>
      <c r="U176" s="64">
        <f t="shared" si="119"/>
        <v>-1.6900000000000005E-2</v>
      </c>
      <c r="V176" s="65">
        <f t="shared" si="119"/>
        <v>4.1000000000000009E-2</v>
      </c>
    </row>
    <row r="177" spans="1:22">
      <c r="A177" s="182">
        <v>154</v>
      </c>
      <c r="B177" s="150" t="s">
        <v>229</v>
      </c>
      <c r="C177" s="149" t="s">
        <v>230</v>
      </c>
      <c r="D177" s="34">
        <v>3739509037.2199998</v>
      </c>
      <c r="E177" s="35">
        <f t="shared" si="115"/>
        <v>3.5895081212991974E-2</v>
      </c>
      <c r="F177" s="34">
        <v>2.4009</v>
      </c>
      <c r="G177" s="34">
        <v>2.4470999999999998</v>
      </c>
      <c r="H177" s="36">
        <v>4208</v>
      </c>
      <c r="I177" s="58">
        <v>4.0099999999999997E-2</v>
      </c>
      <c r="J177" s="58">
        <v>0.6401</v>
      </c>
      <c r="K177" s="34">
        <v>4047938175.3800001</v>
      </c>
      <c r="L177" s="62">
        <f t="shared" si="116"/>
        <v>3.6134916920514216E-2</v>
      </c>
      <c r="M177" s="34">
        <v>2.5411999999999999</v>
      </c>
      <c r="N177" s="34">
        <v>2.5916999999999999</v>
      </c>
      <c r="O177" s="36">
        <v>4270</v>
      </c>
      <c r="P177" s="58">
        <v>5.8400000000000001E-2</v>
      </c>
      <c r="Q177" s="58">
        <v>0.1963</v>
      </c>
      <c r="R177" s="64">
        <f t="shared" si="117"/>
        <v>8.2478511240419577E-2</v>
      </c>
      <c r="S177" s="64">
        <f t="shared" si="118"/>
        <v>5.9090351845041099E-2</v>
      </c>
      <c r="T177" s="64">
        <f t="shared" si="118"/>
        <v>1.4733840304182509E-2</v>
      </c>
      <c r="U177" s="64">
        <f t="shared" si="119"/>
        <v>1.8300000000000004E-2</v>
      </c>
      <c r="V177" s="65">
        <f t="shared" si="119"/>
        <v>-0.44379999999999997</v>
      </c>
    </row>
    <row r="178" spans="1:22">
      <c r="A178" s="182">
        <v>155</v>
      </c>
      <c r="B178" s="150" t="s">
        <v>231</v>
      </c>
      <c r="C178" s="149" t="s">
        <v>30</v>
      </c>
      <c r="D178" s="52">
        <v>607930604.75</v>
      </c>
      <c r="E178" s="35">
        <f t="shared" si="115"/>
        <v>5.8354501118112355E-3</v>
      </c>
      <c r="F178" s="34">
        <v>231.6936</v>
      </c>
      <c r="G178" s="34">
        <v>232.6591</v>
      </c>
      <c r="H178" s="36">
        <v>175</v>
      </c>
      <c r="I178" s="58">
        <v>9.0670000000000004E-3</v>
      </c>
      <c r="J178" s="58">
        <v>0.10580000000000001</v>
      </c>
      <c r="K178" s="52">
        <v>667702230.20000005</v>
      </c>
      <c r="L178" s="62">
        <f t="shared" si="116"/>
        <v>5.9604083784343129E-3</v>
      </c>
      <c r="M178" s="34">
        <v>245.97790000000001</v>
      </c>
      <c r="N178" s="34">
        <v>247.51730000000001</v>
      </c>
      <c r="O178" s="36">
        <v>179</v>
      </c>
      <c r="P178" s="58">
        <v>2.1066999999999999E-2</v>
      </c>
      <c r="Q178" s="58">
        <v>0.1923</v>
      </c>
      <c r="R178" s="64">
        <f t="shared" si="117"/>
        <v>9.8319816411578762E-2</v>
      </c>
      <c r="S178" s="64">
        <f t="shared" si="118"/>
        <v>6.3862535357525285E-2</v>
      </c>
      <c r="T178" s="64">
        <f t="shared" si="118"/>
        <v>2.2857142857142857E-2</v>
      </c>
      <c r="U178" s="64">
        <f t="shared" si="119"/>
        <v>1.1999999999999999E-2</v>
      </c>
      <c r="V178" s="65">
        <f t="shared" si="119"/>
        <v>8.6499999999999994E-2</v>
      </c>
    </row>
    <row r="179" spans="1:22">
      <c r="A179" s="182">
        <v>156</v>
      </c>
      <c r="B179" s="150" t="s">
        <v>232</v>
      </c>
      <c r="C179" s="149" t="s">
        <v>79</v>
      </c>
      <c r="D179" s="52">
        <v>894686871.10000002</v>
      </c>
      <c r="E179" s="35">
        <f t="shared" si="115"/>
        <v>8.5879877755842497E-3</v>
      </c>
      <c r="F179" s="34">
        <v>180.97</v>
      </c>
      <c r="G179" s="34">
        <v>181.36</v>
      </c>
      <c r="H179" s="36">
        <v>53</v>
      </c>
      <c r="I179" s="58">
        <v>0.02</v>
      </c>
      <c r="J179" s="58">
        <v>6.6500000000000004E-2</v>
      </c>
      <c r="K179" s="52">
        <v>938738231.17999995</v>
      </c>
      <c r="L179" s="62">
        <f t="shared" si="116"/>
        <v>8.3798779833428195E-3</v>
      </c>
      <c r="M179" s="34">
        <v>185.98</v>
      </c>
      <c r="N179" s="34">
        <v>186.44</v>
      </c>
      <c r="O179" s="36">
        <v>81</v>
      </c>
      <c r="P179" s="58">
        <v>2.9700000000000001E-2</v>
      </c>
      <c r="Q179" s="58">
        <v>9.6199999999999994E-2</v>
      </c>
      <c r="R179" s="64">
        <f t="shared" si="117"/>
        <v>4.9236622893370101E-2</v>
      </c>
      <c r="S179" s="64">
        <f t="shared" si="118"/>
        <v>2.8010586678429553E-2</v>
      </c>
      <c r="T179" s="64">
        <f t="shared" si="118"/>
        <v>0.52830188679245282</v>
      </c>
      <c r="U179" s="64">
        <f t="shared" si="119"/>
        <v>9.7000000000000003E-3</v>
      </c>
      <c r="V179" s="65">
        <f t="shared" si="119"/>
        <v>2.969999999999999E-2</v>
      </c>
    </row>
    <row r="180" spans="1:22" ht="15.75" customHeight="1">
      <c r="A180" s="182">
        <v>157</v>
      </c>
      <c r="B180" s="150" t="s">
        <v>233</v>
      </c>
      <c r="C180" s="149" t="s">
        <v>82</v>
      </c>
      <c r="D180" s="40">
        <v>676635386.72000003</v>
      </c>
      <c r="E180" s="35">
        <f t="shared" si="115"/>
        <v>6.4949387516267543E-3</v>
      </c>
      <c r="F180" s="34">
        <v>2.1469999999999998</v>
      </c>
      <c r="G180" s="34">
        <v>2.1720999999999999</v>
      </c>
      <c r="H180" s="36">
        <v>132</v>
      </c>
      <c r="I180" s="58">
        <v>6.8000000000000005E-2</v>
      </c>
      <c r="J180" s="58">
        <v>0.15060000000000001</v>
      </c>
      <c r="K180" s="40">
        <v>722290397.67999995</v>
      </c>
      <c r="L180" s="62">
        <f t="shared" si="116"/>
        <v>6.4477030976891943E-3</v>
      </c>
      <c r="M180" s="34">
        <v>2.2681499999999999</v>
      </c>
      <c r="N180" s="34">
        <v>2.2969200000000001</v>
      </c>
      <c r="O180" s="36">
        <v>139</v>
      </c>
      <c r="P180" s="58">
        <v>6.8000000000000005E-2</v>
      </c>
      <c r="Q180" s="58">
        <v>0.24049999999999999</v>
      </c>
      <c r="R180" s="64">
        <f t="shared" si="117"/>
        <v>6.7473578615675503E-2</v>
      </c>
      <c r="S180" s="64">
        <f t="shared" si="118"/>
        <v>5.7465125915013196E-2</v>
      </c>
      <c r="T180" s="64">
        <f t="shared" si="118"/>
        <v>5.3030303030303032E-2</v>
      </c>
      <c r="U180" s="64">
        <f t="shared" si="119"/>
        <v>0</v>
      </c>
      <c r="V180" s="65">
        <f t="shared" si="119"/>
        <v>8.989999999999998E-2</v>
      </c>
    </row>
    <row r="181" spans="1:22">
      <c r="A181" s="182">
        <v>158</v>
      </c>
      <c r="B181" s="150" t="s">
        <v>234</v>
      </c>
      <c r="C181" s="149" t="s">
        <v>32</v>
      </c>
      <c r="D181" s="34">
        <v>14813541863.83</v>
      </c>
      <c r="E181" s="35">
        <f t="shared" si="115"/>
        <v>0.1421933422173334</v>
      </c>
      <c r="F181" s="34">
        <v>490.98</v>
      </c>
      <c r="G181" s="34">
        <v>495.93</v>
      </c>
      <c r="H181" s="36">
        <v>5146</v>
      </c>
      <c r="I181" s="58">
        <v>-5.0200000000000002E-2</v>
      </c>
      <c r="J181" s="58">
        <v>0.14630000000000001</v>
      </c>
      <c r="K181" s="34">
        <v>17174512980.209999</v>
      </c>
      <c r="L181" s="62">
        <f t="shared" si="116"/>
        <v>0.15331251931285303</v>
      </c>
      <c r="M181" s="34">
        <v>521.47</v>
      </c>
      <c r="N181" s="34">
        <v>495.93</v>
      </c>
      <c r="O181" s="36">
        <v>5146</v>
      </c>
      <c r="P181" s="58">
        <v>-5.8299999999999998E-2</v>
      </c>
      <c r="Q181" s="58">
        <v>0.2175</v>
      </c>
      <c r="R181" s="64">
        <f t="shared" si="117"/>
        <v>0.15937924488840488</v>
      </c>
      <c r="S181" s="64">
        <f t="shared" si="118"/>
        <v>0</v>
      </c>
      <c r="T181" s="64">
        <f t="shared" si="118"/>
        <v>0</v>
      </c>
      <c r="U181" s="64">
        <f t="shared" si="119"/>
        <v>-8.0999999999999961E-3</v>
      </c>
      <c r="V181" s="65">
        <f t="shared" si="119"/>
        <v>7.1199999999999986E-2</v>
      </c>
    </row>
    <row r="182" spans="1:22">
      <c r="A182" s="182">
        <v>159</v>
      </c>
      <c r="B182" s="150" t="s">
        <v>235</v>
      </c>
      <c r="C182" s="149" t="s">
        <v>92</v>
      </c>
      <c r="D182" s="34">
        <v>6050283254.6300001</v>
      </c>
      <c r="E182" s="35">
        <f t="shared" si="115"/>
        <v>5.8075914946310793E-2</v>
      </c>
      <c r="F182" s="34">
        <v>3.4449999999999998</v>
      </c>
      <c r="G182" s="34">
        <v>3.5101</v>
      </c>
      <c r="H182" s="36">
        <v>10209</v>
      </c>
      <c r="I182" s="58">
        <v>4.5900000000000003E-2</v>
      </c>
      <c r="J182" s="58">
        <v>0.12520000000000001</v>
      </c>
      <c r="K182" s="34">
        <v>5808525867.6999998</v>
      </c>
      <c r="L182" s="62">
        <f t="shared" si="116"/>
        <v>5.1851236497774268E-2</v>
      </c>
      <c r="M182" s="34">
        <v>3.6004</v>
      </c>
      <c r="N182" s="34">
        <v>3.6787000000000001</v>
      </c>
      <c r="O182" s="36">
        <v>10206</v>
      </c>
      <c r="P182" s="58">
        <v>4.6699999999999998E-2</v>
      </c>
      <c r="Q182" s="58">
        <v>0.17780000000000001</v>
      </c>
      <c r="R182" s="64">
        <f t="shared" si="117"/>
        <v>-3.9958027873322234E-2</v>
      </c>
      <c r="S182" s="64">
        <f t="shared" si="118"/>
        <v>4.8032819577789827E-2</v>
      </c>
      <c r="T182" s="64">
        <f t="shared" si="118"/>
        <v>-2.9385836027034972E-4</v>
      </c>
      <c r="U182" s="64">
        <f t="shared" si="119"/>
        <v>7.9999999999999516E-4</v>
      </c>
      <c r="V182" s="65">
        <f t="shared" si="119"/>
        <v>5.2600000000000008E-2</v>
      </c>
    </row>
    <row r="183" spans="1:22">
      <c r="A183" s="182">
        <v>160</v>
      </c>
      <c r="B183" s="150" t="s">
        <v>236</v>
      </c>
      <c r="C183" s="149" t="s">
        <v>94</v>
      </c>
      <c r="D183" s="34">
        <v>327965280.01999998</v>
      </c>
      <c r="E183" s="35">
        <f t="shared" si="115"/>
        <v>3.1480978503293754E-3</v>
      </c>
      <c r="F183" s="34">
        <v>373.86</v>
      </c>
      <c r="G183" s="34">
        <v>376.63</v>
      </c>
      <c r="H183" s="36">
        <v>32</v>
      </c>
      <c r="I183" s="58">
        <v>3.1800000000000002E-2</v>
      </c>
      <c r="J183" s="58">
        <v>7.5499999999999998E-2</v>
      </c>
      <c r="K183" s="34">
        <v>335382205.49000001</v>
      </c>
      <c r="L183" s="62">
        <f t="shared" si="116"/>
        <v>2.9938718446119316E-3</v>
      </c>
      <c r="M183" s="34">
        <v>382.30985299000002</v>
      </c>
      <c r="N183" s="34">
        <v>382.30985299000002</v>
      </c>
      <c r="O183" s="36">
        <v>32</v>
      </c>
      <c r="P183" s="58">
        <v>2.24E-2</v>
      </c>
      <c r="Q183" s="58">
        <v>9.98E-2</v>
      </c>
      <c r="R183" s="64">
        <f t="shared" si="117"/>
        <v>2.2614971528534148E-2</v>
      </c>
      <c r="S183" s="64">
        <f t="shared" si="118"/>
        <v>1.5080723760720147E-2</v>
      </c>
      <c r="T183" s="64">
        <f t="shared" si="118"/>
        <v>0</v>
      </c>
      <c r="U183" s="64">
        <f t="shared" si="119"/>
        <v>-9.4000000000000021E-3</v>
      </c>
      <c r="V183" s="65">
        <f t="shared" si="119"/>
        <v>2.4300000000000002E-2</v>
      </c>
    </row>
    <row r="184" spans="1:22">
      <c r="A184" s="182">
        <v>161</v>
      </c>
      <c r="B184" s="150" t="s">
        <v>237</v>
      </c>
      <c r="C184" s="150" t="s">
        <v>96</v>
      </c>
      <c r="D184" s="55">
        <v>81137361.700000003</v>
      </c>
      <c r="E184" s="35">
        <f t="shared" si="115"/>
        <v>7.7882742323696723E-4</v>
      </c>
      <c r="F184" s="34">
        <v>1.6023000000000001</v>
      </c>
      <c r="G184" s="34">
        <v>1.6023000000000001</v>
      </c>
      <c r="H184" s="36">
        <v>29</v>
      </c>
      <c r="I184" s="58">
        <v>5.5199999999999999E-2</v>
      </c>
      <c r="J184" s="58">
        <v>0.1174</v>
      </c>
      <c r="K184" s="55">
        <v>82398288.939999998</v>
      </c>
      <c r="L184" s="62">
        <f t="shared" si="116"/>
        <v>7.3554861666332559E-4</v>
      </c>
      <c r="M184" s="34">
        <v>1.6272</v>
      </c>
      <c r="N184" s="34">
        <v>1.6272</v>
      </c>
      <c r="O184" s="36">
        <v>29</v>
      </c>
      <c r="P184" s="58">
        <v>1.55E-2</v>
      </c>
      <c r="Q184" s="58">
        <v>0.13469999999999999</v>
      </c>
      <c r="R184" s="64">
        <f t="shared" si="117"/>
        <v>1.5540648766251351E-2</v>
      </c>
      <c r="S184" s="64">
        <f t="shared" si="118"/>
        <v>1.5540161018535805E-2</v>
      </c>
      <c r="T184" s="64">
        <f t="shared" si="118"/>
        <v>0</v>
      </c>
      <c r="U184" s="64">
        <f t="shared" si="119"/>
        <v>-3.9699999999999999E-2</v>
      </c>
      <c r="V184" s="65">
        <f t="shared" si="119"/>
        <v>1.7299999999999982E-2</v>
      </c>
    </row>
    <row r="185" spans="1:22" ht="13.5" customHeight="1">
      <c r="A185" s="182">
        <v>162</v>
      </c>
      <c r="B185" s="150" t="s">
        <v>238</v>
      </c>
      <c r="C185" s="149" t="s">
        <v>38</v>
      </c>
      <c r="D185" s="40">
        <v>9359304740.8500004</v>
      </c>
      <c r="E185" s="35">
        <f t="shared" si="115"/>
        <v>8.9838799806646136E-2</v>
      </c>
      <c r="F185" s="34">
        <v>7.0105769999999996</v>
      </c>
      <c r="G185" s="34">
        <v>7.0949429999999998</v>
      </c>
      <c r="H185" s="36">
        <v>4861</v>
      </c>
      <c r="I185" s="58">
        <v>2.1000000000000001E-2</v>
      </c>
      <c r="J185" s="58">
        <v>0.12889999999999999</v>
      </c>
      <c r="K185" s="40">
        <v>10365982967.889999</v>
      </c>
      <c r="L185" s="62">
        <f t="shared" si="116"/>
        <v>9.2534499568785372E-2</v>
      </c>
      <c r="M185" s="34">
        <v>7.4528210000000001</v>
      </c>
      <c r="N185" s="34">
        <v>7.5378379999999998</v>
      </c>
      <c r="O185" s="36">
        <v>5116</v>
      </c>
      <c r="P185" s="58">
        <v>6.3100000000000003E-2</v>
      </c>
      <c r="Q185" s="58">
        <v>0.20019999999999999</v>
      </c>
      <c r="R185" s="64">
        <f t="shared" si="117"/>
        <v>0.10755908210213633</v>
      </c>
      <c r="S185" s="64">
        <f t="shared" si="118"/>
        <v>6.2424039206516534E-2</v>
      </c>
      <c r="T185" s="64">
        <f t="shared" si="118"/>
        <v>5.245834190495783E-2</v>
      </c>
      <c r="U185" s="64">
        <f t="shared" si="119"/>
        <v>4.2099999999999999E-2</v>
      </c>
      <c r="V185" s="65">
        <f t="shared" si="119"/>
        <v>7.1300000000000002E-2</v>
      </c>
    </row>
    <row r="186" spans="1:22" ht="13.5" customHeight="1">
      <c r="A186" s="182">
        <v>163</v>
      </c>
      <c r="B186" s="150" t="s">
        <v>239</v>
      </c>
      <c r="C186" s="149" t="s">
        <v>240</v>
      </c>
      <c r="D186" s="40">
        <v>111662603.43000001</v>
      </c>
      <c r="E186" s="35">
        <f t="shared" si="115"/>
        <v>1.0718354144034024E-3</v>
      </c>
      <c r="F186" s="34">
        <v>2.9394999999999998</v>
      </c>
      <c r="G186" s="34">
        <v>2.9565000000000001</v>
      </c>
      <c r="H186" s="36">
        <v>114</v>
      </c>
      <c r="I186" s="58">
        <v>1.2E-4</v>
      </c>
      <c r="J186" s="58">
        <v>5.4620000000000005E-4</v>
      </c>
      <c r="K186" s="40">
        <v>123453383.26000001</v>
      </c>
      <c r="L186" s="62">
        <f t="shared" si="116"/>
        <v>1.1020370258589057E-3</v>
      </c>
      <c r="M186" s="34">
        <v>2.9824000000000002</v>
      </c>
      <c r="N186" s="34">
        <v>2.9994000000000001</v>
      </c>
      <c r="O186" s="36">
        <v>115</v>
      </c>
      <c r="P186" s="58">
        <v>1.4540000000000001E-4</v>
      </c>
      <c r="Q186" s="58">
        <v>6.9950000000000003E-4</v>
      </c>
      <c r="R186" s="64">
        <f t="shared" si="117"/>
        <v>0.10559291533437604</v>
      </c>
      <c r="S186" s="64">
        <f t="shared" si="118"/>
        <v>1.4510400811770654E-2</v>
      </c>
      <c r="T186" s="64">
        <f t="shared" si="118"/>
        <v>8.771929824561403E-3</v>
      </c>
      <c r="U186" s="64">
        <f>P186-I186</f>
        <v>2.5400000000000008E-5</v>
      </c>
      <c r="V186" s="65">
        <f>Q186-J186</f>
        <v>1.5329999999999999E-4</v>
      </c>
    </row>
    <row r="187" spans="1:22">
      <c r="A187" s="182">
        <v>164</v>
      </c>
      <c r="B187" s="150" t="s">
        <v>241</v>
      </c>
      <c r="C187" s="149" t="s">
        <v>151</v>
      </c>
      <c r="D187" s="40">
        <v>1146696459.27</v>
      </c>
      <c r="E187" s="35">
        <f t="shared" si="115"/>
        <v>1.1006996405802631E-2</v>
      </c>
      <c r="F187" s="34">
        <v>395.05</v>
      </c>
      <c r="G187" s="34">
        <v>400.55</v>
      </c>
      <c r="H187" s="36">
        <v>158</v>
      </c>
      <c r="I187" s="58">
        <v>1.37E-2</v>
      </c>
      <c r="J187" s="58">
        <v>0.93430000000000002</v>
      </c>
      <c r="K187" s="40">
        <v>1303739978.46</v>
      </c>
      <c r="L187" s="62">
        <f t="shared" si="116"/>
        <v>1.1638155961505661E-2</v>
      </c>
      <c r="M187" s="34">
        <v>423.46</v>
      </c>
      <c r="N187" s="34">
        <v>429.25</v>
      </c>
      <c r="O187" s="36">
        <v>158</v>
      </c>
      <c r="P187" s="58">
        <v>1.37E-2</v>
      </c>
      <c r="Q187" s="58">
        <v>1.4043000000000001</v>
      </c>
      <c r="R187" s="64">
        <f t="shared" si="117"/>
        <v>0.13695299913106537</v>
      </c>
      <c r="S187" s="64">
        <f t="shared" si="118"/>
        <v>7.1651479216077868E-2</v>
      </c>
      <c r="T187" s="64">
        <f t="shared" si="118"/>
        <v>0</v>
      </c>
      <c r="U187" s="64">
        <f t="shared" si="119"/>
        <v>0</v>
      </c>
      <c r="V187" s="65">
        <f t="shared" si="119"/>
        <v>0.47000000000000008</v>
      </c>
    </row>
    <row r="188" spans="1:22">
      <c r="A188" s="182">
        <v>165</v>
      </c>
      <c r="B188" s="150" t="s">
        <v>242</v>
      </c>
      <c r="C188" s="149" t="s">
        <v>34</v>
      </c>
      <c r="D188" s="40">
        <v>2546130280.8099999</v>
      </c>
      <c r="E188" s="35">
        <f t="shared" si="115"/>
        <v>2.4439987254710898E-2</v>
      </c>
      <c r="F188" s="34">
        <v>552.22</v>
      </c>
      <c r="G188" s="34">
        <v>552.22</v>
      </c>
      <c r="H188" s="36">
        <v>823</v>
      </c>
      <c r="I188" s="58">
        <v>5.79E-2</v>
      </c>
      <c r="J188" s="58">
        <v>0.15989999999999999</v>
      </c>
      <c r="K188" s="40">
        <v>2691648136.1799998</v>
      </c>
      <c r="L188" s="62">
        <f t="shared" si="116"/>
        <v>2.4027659901448645E-2</v>
      </c>
      <c r="M188" s="34">
        <v>552.22</v>
      </c>
      <c r="N188" s="34">
        <v>552.22</v>
      </c>
      <c r="O188" s="36">
        <v>823</v>
      </c>
      <c r="P188" s="58">
        <v>5.7200000000000001E-2</v>
      </c>
      <c r="Q188" s="58">
        <v>0.24940000000000001</v>
      </c>
      <c r="R188" s="64">
        <f t="shared" si="117"/>
        <v>5.7152556751222612E-2</v>
      </c>
      <c r="S188" s="64">
        <f t="shared" si="118"/>
        <v>0</v>
      </c>
      <c r="T188" s="64">
        <f t="shared" si="118"/>
        <v>0</v>
      </c>
      <c r="U188" s="64">
        <f t="shared" si="119"/>
        <v>-6.9999999999999923E-4</v>
      </c>
      <c r="V188" s="65">
        <f t="shared" si="119"/>
        <v>8.9500000000000024E-2</v>
      </c>
    </row>
    <row r="189" spans="1:22">
      <c r="A189" s="182">
        <v>166</v>
      </c>
      <c r="B189" s="150" t="s">
        <v>243</v>
      </c>
      <c r="C189" s="149" t="s">
        <v>106</v>
      </c>
      <c r="D189" s="34">
        <v>49455704.109999999</v>
      </c>
      <c r="E189" s="35">
        <f t="shared" si="115"/>
        <v>4.7471914034839991E-4</v>
      </c>
      <c r="F189" s="34">
        <v>2.85</v>
      </c>
      <c r="G189" s="34">
        <v>2.85</v>
      </c>
      <c r="H189" s="36">
        <v>8</v>
      </c>
      <c r="I189" s="58">
        <v>2.4656999999999998E-2</v>
      </c>
      <c r="J189" s="58">
        <v>8.4527000000000005E-2</v>
      </c>
      <c r="K189" s="34">
        <v>49455704.109999999</v>
      </c>
      <c r="L189" s="62">
        <f t="shared" si="116"/>
        <v>4.4147852112208247E-4</v>
      </c>
      <c r="M189" s="34">
        <v>2.85</v>
      </c>
      <c r="N189" s="34">
        <v>2.85</v>
      </c>
      <c r="O189" s="36">
        <v>8</v>
      </c>
      <c r="P189" s="58">
        <v>2.4656999999999998E-2</v>
      </c>
      <c r="Q189" s="58">
        <v>8.4527000000000005E-2</v>
      </c>
      <c r="R189" s="64">
        <f t="shared" si="117"/>
        <v>0</v>
      </c>
      <c r="S189" s="64">
        <f t="shared" si="118"/>
        <v>0</v>
      </c>
      <c r="T189" s="64">
        <f t="shared" si="118"/>
        <v>0</v>
      </c>
      <c r="U189" s="64">
        <f t="shared" si="119"/>
        <v>0</v>
      </c>
      <c r="V189" s="65">
        <f t="shared" si="119"/>
        <v>0</v>
      </c>
    </row>
    <row r="190" spans="1:22">
      <c r="A190" s="182">
        <v>167</v>
      </c>
      <c r="B190" s="150" t="s">
        <v>244</v>
      </c>
      <c r="C190" s="149" t="s">
        <v>46</v>
      </c>
      <c r="D190" s="34">
        <v>493695417.36000001</v>
      </c>
      <c r="E190" s="35">
        <f t="shared" si="115"/>
        <v>4.7389207845833607E-3</v>
      </c>
      <c r="F190" s="34">
        <v>4.0199999999999996</v>
      </c>
      <c r="G190" s="34">
        <v>4.08</v>
      </c>
      <c r="H190" s="36">
        <v>138</v>
      </c>
      <c r="I190" s="58">
        <v>4.36E-2</v>
      </c>
      <c r="J190" s="58">
        <v>0.1399</v>
      </c>
      <c r="K190" s="34">
        <v>551308972.14999998</v>
      </c>
      <c r="L190" s="62">
        <f t="shared" si="116"/>
        <v>4.9213952988064608E-3</v>
      </c>
      <c r="M190" s="34">
        <v>4.1577310000000001</v>
      </c>
      <c r="N190" s="34">
        <v>4.2181649999999999</v>
      </c>
      <c r="O190" s="36">
        <v>139</v>
      </c>
      <c r="P190" s="58">
        <v>-5.0999999999999997E-2</v>
      </c>
      <c r="Q190" s="58">
        <v>0.1779</v>
      </c>
      <c r="R190" s="64">
        <f t="shared" si="117"/>
        <v>0.11669858127929203</v>
      </c>
      <c r="S190" s="64">
        <f t="shared" si="118"/>
        <v>3.3863970588235259E-2</v>
      </c>
      <c r="T190" s="64">
        <f t="shared" si="118"/>
        <v>7.246376811594203E-3</v>
      </c>
      <c r="U190" s="64">
        <f t="shared" si="119"/>
        <v>-9.459999999999999E-2</v>
      </c>
      <c r="V190" s="65">
        <f t="shared" si="119"/>
        <v>3.8000000000000006E-2</v>
      </c>
    </row>
    <row r="191" spans="1:22">
      <c r="A191" s="182">
        <v>168</v>
      </c>
      <c r="B191" s="150" t="s">
        <v>326</v>
      </c>
      <c r="C191" s="149" t="s">
        <v>327</v>
      </c>
      <c r="D191" s="34">
        <v>211492324.78194699</v>
      </c>
      <c r="E191" s="35">
        <f t="shared" si="115"/>
        <v>2.0300884684092404E-3</v>
      </c>
      <c r="F191" s="34">
        <v>120.16824138548</v>
      </c>
      <c r="G191" s="34">
        <v>120.84113338904601</v>
      </c>
      <c r="H191" s="36">
        <v>108</v>
      </c>
      <c r="I191" s="58">
        <v>-2.5000000000000001E-3</v>
      </c>
      <c r="J191" s="58">
        <v>4.2500000000000003E-2</v>
      </c>
      <c r="K191" s="34">
        <v>216916033.036677</v>
      </c>
      <c r="L191" s="35">
        <f t="shared" si="116"/>
        <v>1.9363543841111222E-3</v>
      </c>
      <c r="M191" s="34">
        <v>123.246582404902</v>
      </c>
      <c r="N191" s="34">
        <v>123.963274472772</v>
      </c>
      <c r="O191" s="36">
        <v>108</v>
      </c>
      <c r="P191" s="58">
        <v>2.5700000000000001E-2</v>
      </c>
      <c r="Q191" s="58">
        <v>6.9199999999999998E-2</v>
      </c>
      <c r="R191" s="64">
        <f t="shared" ref="R191" si="125">((K191-D191)/D191)</f>
        <v>2.5644941301401707E-2</v>
      </c>
      <c r="S191" s="64">
        <f t="shared" ref="S191" si="126">((N191-G191)/G191)</f>
        <v>2.5836741150666896E-2</v>
      </c>
      <c r="T191" s="64">
        <f t="shared" ref="T191" si="127">((O191-H191)/H191)</f>
        <v>0</v>
      </c>
      <c r="U191" s="64">
        <f t="shared" ref="U191" si="128">P191-I191</f>
        <v>2.8199999999999999E-2</v>
      </c>
      <c r="V191" s="65">
        <f t="shared" ref="V191" si="129">Q191-J191</f>
        <v>2.6699999999999995E-2</v>
      </c>
    </row>
    <row r="192" spans="1:22">
      <c r="A192" s="182">
        <v>169</v>
      </c>
      <c r="B192" s="150" t="s">
        <v>245</v>
      </c>
      <c r="C192" s="149" t="s">
        <v>50</v>
      </c>
      <c r="D192" s="40">
        <v>7306875807.9099998</v>
      </c>
      <c r="E192" s="35">
        <f t="shared" si="115"/>
        <v>7.0137790262744984E-2</v>
      </c>
      <c r="F192" s="34">
        <v>11050.8</v>
      </c>
      <c r="G192" s="34">
        <v>11151.27</v>
      </c>
      <c r="H192" s="36">
        <v>4810</v>
      </c>
      <c r="I192" s="58">
        <v>5.1400000000000001E-2</v>
      </c>
      <c r="J192" s="58">
        <v>0.1459</v>
      </c>
      <c r="K192" s="40">
        <v>8226128764.2600002</v>
      </c>
      <c r="L192" s="35">
        <f t="shared" si="116"/>
        <v>7.3432564084574478E-2</v>
      </c>
      <c r="M192" s="34">
        <v>11676.4</v>
      </c>
      <c r="N192" s="34">
        <v>11791.82</v>
      </c>
      <c r="O192" s="36">
        <v>5062</v>
      </c>
      <c r="P192" s="58">
        <v>5.74E-2</v>
      </c>
      <c r="Q192" s="58">
        <v>0.2117</v>
      </c>
      <c r="R192" s="64">
        <f t="shared" si="117"/>
        <v>0.12580656637887158</v>
      </c>
      <c r="S192" s="64">
        <f t="shared" si="118"/>
        <v>5.7441887784978683E-2</v>
      </c>
      <c r="T192" s="64">
        <f t="shared" si="118"/>
        <v>5.2390852390852394E-2</v>
      </c>
      <c r="U192" s="64">
        <f t="shared" si="119"/>
        <v>5.9999999999999984E-3</v>
      </c>
      <c r="V192" s="65">
        <f t="shared" si="119"/>
        <v>6.5799999999999997E-2</v>
      </c>
    </row>
    <row r="193" spans="1:22">
      <c r="A193" s="182">
        <v>170</v>
      </c>
      <c r="B193" s="150" t="s">
        <v>246</v>
      </c>
      <c r="C193" s="150" t="s">
        <v>116</v>
      </c>
      <c r="D193" s="40">
        <v>176049305.13</v>
      </c>
      <c r="E193" s="35">
        <f t="shared" si="115"/>
        <v>1.6898753398467538E-3</v>
      </c>
      <c r="F193" s="34">
        <v>1574.2829999999999</v>
      </c>
      <c r="G193" s="34">
        <v>1600.7009</v>
      </c>
      <c r="H193" s="36">
        <v>65</v>
      </c>
      <c r="I193" s="58">
        <v>3.6700000000000003E-2</v>
      </c>
      <c r="J193" s="58">
        <v>9.1899999999999996E-2</v>
      </c>
      <c r="K193" s="40">
        <v>183232780.50999999</v>
      </c>
      <c r="L193" s="35">
        <f t="shared" si="116"/>
        <v>1.6356725359873141E-3</v>
      </c>
      <c r="M193" s="34">
        <v>1637.8629000000001</v>
      </c>
      <c r="N193" s="34">
        <v>1666.4376999999999</v>
      </c>
      <c r="O193" s="36">
        <v>65</v>
      </c>
      <c r="P193" s="58">
        <v>4.0399999999999998E-2</v>
      </c>
      <c r="Q193" s="58">
        <v>0.1363</v>
      </c>
      <c r="R193" s="64">
        <f t="shared" si="117"/>
        <v>4.0803770140958553E-2</v>
      </c>
      <c r="S193" s="64">
        <f t="shared" si="118"/>
        <v>4.1067509863960155E-2</v>
      </c>
      <c r="T193" s="64">
        <f t="shared" si="118"/>
        <v>0</v>
      </c>
      <c r="U193" s="64">
        <f t="shared" si="119"/>
        <v>3.699999999999995E-3</v>
      </c>
      <c r="V193" s="65">
        <f t="shared" si="119"/>
        <v>4.4400000000000009E-2</v>
      </c>
    </row>
    <row r="194" spans="1:22">
      <c r="A194" s="182">
        <v>171</v>
      </c>
      <c r="B194" s="150" t="s">
        <v>247</v>
      </c>
      <c r="C194" s="150" t="s">
        <v>96</v>
      </c>
      <c r="D194" s="40">
        <v>817395809.76999998</v>
      </c>
      <c r="E194" s="35">
        <f t="shared" si="115"/>
        <v>7.8460805102547881E-3</v>
      </c>
      <c r="F194" s="34">
        <v>1.5548999999999999</v>
      </c>
      <c r="G194" s="34">
        <v>1.5548999999999999</v>
      </c>
      <c r="H194" s="36">
        <v>47</v>
      </c>
      <c r="I194" s="58">
        <v>4.3E-3</v>
      </c>
      <c r="J194" s="58">
        <v>1.8599999999999998E-2</v>
      </c>
      <c r="K194" s="40">
        <v>819657322.09000003</v>
      </c>
      <c r="L194" s="35">
        <f t="shared" si="116"/>
        <v>7.3168729248768473E-3</v>
      </c>
      <c r="M194" s="34">
        <v>1.5591999999999999</v>
      </c>
      <c r="N194" s="34">
        <v>1.5591999999999999</v>
      </c>
      <c r="O194" s="36">
        <v>47</v>
      </c>
      <c r="P194" s="58">
        <v>2.8E-3</v>
      </c>
      <c r="Q194" s="58">
        <v>2.1399999999999999E-2</v>
      </c>
      <c r="R194" s="64">
        <f t="shared" si="117"/>
        <v>2.7667285456679795E-3</v>
      </c>
      <c r="S194" s="64">
        <f t="shared" si="118"/>
        <v>2.7654511544150562E-3</v>
      </c>
      <c r="T194" s="64">
        <f t="shared" si="118"/>
        <v>0</v>
      </c>
      <c r="U194" s="64">
        <f t="shared" si="119"/>
        <v>-1.5E-3</v>
      </c>
      <c r="V194" s="65">
        <f t="shared" si="119"/>
        <v>2.8000000000000004E-3</v>
      </c>
    </row>
    <row r="195" spans="1:22">
      <c r="A195" s="182">
        <v>172</v>
      </c>
      <c r="B195" s="150" t="s">
        <v>248</v>
      </c>
      <c r="C195" s="149" t="s">
        <v>53</v>
      </c>
      <c r="D195" s="34">
        <v>4624098712.4200001</v>
      </c>
      <c r="E195" s="35">
        <f t="shared" si="115"/>
        <v>4.4386147263492381E-2</v>
      </c>
      <c r="F195" s="34">
        <v>2.5659000000000001</v>
      </c>
      <c r="G195" s="34">
        <v>2.5857999999999999</v>
      </c>
      <c r="H195" s="36">
        <v>3072</v>
      </c>
      <c r="I195" s="58">
        <v>5.8299999999999998E-2</v>
      </c>
      <c r="J195" s="58">
        <v>0.1552</v>
      </c>
      <c r="K195" s="34">
        <v>4947484385.2299995</v>
      </c>
      <c r="L195" s="62">
        <f t="shared" si="116"/>
        <v>4.4164937674485281E-2</v>
      </c>
      <c r="M195" s="34">
        <v>2.7084999999999999</v>
      </c>
      <c r="N195" s="34">
        <v>2.73</v>
      </c>
      <c r="O195" s="36">
        <v>3101</v>
      </c>
      <c r="P195" s="58">
        <v>0.55600000000000005</v>
      </c>
      <c r="Q195" s="58">
        <v>0.21940000000000001</v>
      </c>
      <c r="R195" s="64">
        <f t="shared" si="117"/>
        <v>6.9934854967825089E-2</v>
      </c>
      <c r="S195" s="64">
        <f t="shared" si="118"/>
        <v>5.5766107200866312E-2</v>
      </c>
      <c r="T195" s="64">
        <f t="shared" si="118"/>
        <v>9.4401041666666661E-3</v>
      </c>
      <c r="U195" s="64">
        <f t="shared" si="119"/>
        <v>0.49770000000000003</v>
      </c>
      <c r="V195" s="65">
        <f t="shared" si="119"/>
        <v>6.4200000000000007E-2</v>
      </c>
    </row>
    <row r="196" spans="1:22">
      <c r="A196" s="182">
        <v>173</v>
      </c>
      <c r="B196" s="150" t="s">
        <v>249</v>
      </c>
      <c r="C196" s="149" t="s">
        <v>53</v>
      </c>
      <c r="D196" s="34">
        <v>3026380969.77</v>
      </c>
      <c r="E196" s="35">
        <f t="shared" si="115"/>
        <v>2.9049853766928226E-2</v>
      </c>
      <c r="F196" s="34">
        <v>2.0249000000000001</v>
      </c>
      <c r="G196" s="34">
        <v>2.04</v>
      </c>
      <c r="H196" s="36">
        <v>1564</v>
      </c>
      <c r="I196" s="58">
        <v>5.1499999999999997E-2</v>
      </c>
      <c r="J196" s="58">
        <v>0.13270000000000001</v>
      </c>
      <c r="K196" s="34">
        <v>3199650307.6700001</v>
      </c>
      <c r="L196" s="62">
        <f t="shared" si="116"/>
        <v>2.8562466379936612E-2</v>
      </c>
      <c r="M196" s="34">
        <v>2.1383999999999999</v>
      </c>
      <c r="N196" s="34">
        <v>2.1551999999999998</v>
      </c>
      <c r="O196" s="36">
        <v>1577</v>
      </c>
      <c r="P196" s="58">
        <v>5.6099999999999997E-2</v>
      </c>
      <c r="Q196" s="58">
        <v>0.19620000000000001</v>
      </c>
      <c r="R196" s="64">
        <f t="shared" si="117"/>
        <v>5.7252982896323287E-2</v>
      </c>
      <c r="S196" s="64">
        <f t="shared" si="118"/>
        <v>5.6470588235293995E-2</v>
      </c>
      <c r="T196" s="64">
        <f t="shared" si="118"/>
        <v>8.3120204603580571E-3</v>
      </c>
      <c r="U196" s="64">
        <f t="shared" si="119"/>
        <v>4.5999999999999999E-3</v>
      </c>
      <c r="V196" s="65">
        <f t="shared" si="119"/>
        <v>6.3500000000000001E-2</v>
      </c>
    </row>
    <row r="197" spans="1:22">
      <c r="A197" s="182">
        <v>174</v>
      </c>
      <c r="B197" s="150" t="s">
        <v>250</v>
      </c>
      <c r="C197" s="149" t="s">
        <v>121</v>
      </c>
      <c r="D197" s="40">
        <v>12218756795.58</v>
      </c>
      <c r="E197" s="35">
        <f t="shared" si="115"/>
        <v>0.11728632372157541</v>
      </c>
      <c r="F197" s="34">
        <v>773.52</v>
      </c>
      <c r="G197" s="34">
        <v>782.8</v>
      </c>
      <c r="H197" s="36">
        <v>40</v>
      </c>
      <c r="I197" s="58">
        <v>6.1499999999999999E-2</v>
      </c>
      <c r="J197" s="58">
        <v>0.12559999999999999</v>
      </c>
      <c r="K197" s="40">
        <v>12752699791.99</v>
      </c>
      <c r="L197" s="62">
        <f t="shared" si="116"/>
        <v>0.11384011502412789</v>
      </c>
      <c r="M197" s="34">
        <v>807.15</v>
      </c>
      <c r="N197" s="34">
        <v>817.09</v>
      </c>
      <c r="O197" s="36">
        <v>40</v>
      </c>
      <c r="P197" s="58">
        <v>4.3700000000000003E-2</v>
      </c>
      <c r="Q197" s="58">
        <v>0.17469999999999999</v>
      </c>
      <c r="R197" s="64">
        <f t="shared" si="117"/>
        <v>4.3698635249303577E-2</v>
      </c>
      <c r="S197" s="64">
        <f t="shared" si="118"/>
        <v>4.3804292284108433E-2</v>
      </c>
      <c r="T197" s="64">
        <f t="shared" si="118"/>
        <v>0</v>
      </c>
      <c r="U197" s="64">
        <f t="shared" si="119"/>
        <v>-1.7799999999999996E-2</v>
      </c>
      <c r="V197" s="65">
        <f t="shared" si="119"/>
        <v>4.9100000000000005E-2</v>
      </c>
    </row>
    <row r="198" spans="1:22">
      <c r="A198" s="43"/>
      <c r="B198" s="44"/>
      <c r="C198" s="45" t="s">
        <v>56</v>
      </c>
      <c r="D198" s="87">
        <f>SUM(D169:D197)</f>
        <v>104178871055.63953</v>
      </c>
      <c r="E198" s="47">
        <f>(D198/$D$233)</f>
        <v>1.2741240953704788E-2</v>
      </c>
      <c r="F198" s="48"/>
      <c r="G198" s="88"/>
      <c r="H198" s="50">
        <f>SUM(H169:H197)</f>
        <v>81688</v>
      </c>
      <c r="I198" s="106"/>
      <c r="J198" s="106"/>
      <c r="K198" s="87">
        <f>SUM(K169:K197)</f>
        <v>112022899742.21411</v>
      </c>
      <c r="L198" s="47">
        <f>(K198/$K$233)</f>
        <v>1.3644662955355165E-2</v>
      </c>
      <c r="M198" s="48"/>
      <c r="N198" s="88"/>
      <c r="O198" s="50">
        <f>SUM(O169:O197)</f>
        <v>82414</v>
      </c>
      <c r="P198" s="106"/>
      <c r="Q198" s="106"/>
      <c r="R198" s="64">
        <f t="shared" ref="R198" si="130">((K198-D198)/D198)</f>
        <v>7.5293853802516922E-2</v>
      </c>
      <c r="S198" s="64" t="e">
        <f t="shared" ref="S198" si="131">((N198-G198)/G198)</f>
        <v>#DIV/0!</v>
      </c>
      <c r="T198" s="64">
        <f t="shared" ref="T198" si="132">((O198-H198)/H198)</f>
        <v>8.8874742924297326E-3</v>
      </c>
      <c r="U198" s="64">
        <f t="shared" ref="U198" si="133">P198-I198</f>
        <v>0</v>
      </c>
      <c r="V198" s="65">
        <f t="shared" ref="V198" si="134">Q198-J198</f>
        <v>0</v>
      </c>
    </row>
    <row r="199" spans="1:22" ht="5.25" customHeight="1">
      <c r="A199" s="43"/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  <c r="R199" s="192"/>
      <c r="S199" s="192"/>
      <c r="T199" s="192"/>
      <c r="U199" s="192"/>
      <c r="V199" s="192"/>
    </row>
    <row r="200" spans="1:22" ht="15" customHeight="1">
      <c r="A200" s="194" t="s">
        <v>251</v>
      </c>
      <c r="B200" s="194"/>
      <c r="C200" s="194"/>
      <c r="D200" s="194"/>
      <c r="E200" s="194"/>
      <c r="F200" s="194"/>
      <c r="G200" s="194"/>
      <c r="H200" s="194"/>
      <c r="I200" s="194"/>
      <c r="J200" s="194"/>
      <c r="K200" s="194"/>
      <c r="L200" s="194"/>
      <c r="M200" s="194"/>
      <c r="N200" s="194"/>
      <c r="O200" s="194"/>
      <c r="P200" s="194"/>
      <c r="Q200" s="194"/>
      <c r="R200" s="194"/>
      <c r="S200" s="194"/>
      <c r="T200" s="194"/>
      <c r="U200" s="194"/>
      <c r="V200" s="194"/>
    </row>
    <row r="201" spans="1:22" ht="15" customHeight="1">
      <c r="A201" s="181">
        <v>175</v>
      </c>
      <c r="B201" s="150" t="s">
        <v>331</v>
      </c>
      <c r="C201" s="149" t="s">
        <v>137</v>
      </c>
      <c r="D201" s="89">
        <v>575962142.05649197</v>
      </c>
      <c r="E201" s="35">
        <v>0</v>
      </c>
      <c r="F201" s="90">
        <v>1000</v>
      </c>
      <c r="G201" s="90">
        <v>1000</v>
      </c>
      <c r="H201" s="36">
        <v>24</v>
      </c>
      <c r="I201" s="58">
        <v>2.8E-3</v>
      </c>
      <c r="J201" s="58">
        <v>8.2000000000000007E-3</v>
      </c>
      <c r="K201" s="89">
        <v>577494408.95986998</v>
      </c>
      <c r="L201" s="62">
        <f>(K201/$K$204)</f>
        <v>4.2807540336535069E-2</v>
      </c>
      <c r="M201" s="90">
        <v>1000</v>
      </c>
      <c r="N201" s="90">
        <v>1000</v>
      </c>
      <c r="O201" s="36">
        <v>25</v>
      </c>
      <c r="P201" s="58">
        <v>2E-3</v>
      </c>
      <c r="Q201" s="58">
        <v>1.11E-2</v>
      </c>
      <c r="R201" s="64">
        <f>((K201-D201)/D201)</f>
        <v>2.6603604499195032E-3</v>
      </c>
      <c r="S201" s="64">
        <f t="shared" ref="S201" si="135">((N201-G201)/G201)</f>
        <v>0</v>
      </c>
      <c r="T201" s="64">
        <f t="shared" ref="T201" si="136">((O201-H201)/H201)</f>
        <v>4.1666666666666664E-2</v>
      </c>
      <c r="U201" s="64">
        <f t="shared" ref="U201" si="137">P201-I201</f>
        <v>-7.9999999999999993E-4</v>
      </c>
      <c r="V201" s="65">
        <f t="shared" ref="V201" si="138">Q201-J201</f>
        <v>2.8999999999999998E-3</v>
      </c>
    </row>
    <row r="202" spans="1:22">
      <c r="A202" s="181">
        <v>176</v>
      </c>
      <c r="B202" s="150" t="s">
        <v>252</v>
      </c>
      <c r="C202" s="149" t="s">
        <v>253</v>
      </c>
      <c r="D202" s="89">
        <v>1817190969.4300001</v>
      </c>
      <c r="E202" s="35">
        <f>(D202/$D$204)</f>
        <v>0.14849383992563137</v>
      </c>
      <c r="F202" s="90">
        <v>46.453600000000002</v>
      </c>
      <c r="G202" s="90">
        <v>46.900300000000001</v>
      </c>
      <c r="H202" s="36">
        <v>1513</v>
      </c>
      <c r="I202" s="58">
        <v>4.7999999999999996E-3</v>
      </c>
      <c r="J202" s="58">
        <v>0.16170000000000001</v>
      </c>
      <c r="K202" s="89">
        <v>1823171724.02</v>
      </c>
      <c r="L202" s="62">
        <f>(K202/$K$204)</f>
        <v>0.13514502635096456</v>
      </c>
      <c r="M202" s="90">
        <v>46.825400000000002</v>
      </c>
      <c r="N202" s="90">
        <v>47.339799999999997</v>
      </c>
      <c r="O202" s="36">
        <v>1535</v>
      </c>
      <c r="P202" s="58">
        <v>0.109</v>
      </c>
      <c r="Q202" s="58">
        <v>0.29749999999999999</v>
      </c>
      <c r="R202" s="64">
        <f>((K202-D202)/D202)</f>
        <v>3.2912086239763249E-3</v>
      </c>
      <c r="S202" s="64">
        <f t="shared" ref="S202:T204" si="139">((N202-G202)/G202)</f>
        <v>9.3709421901351439E-3</v>
      </c>
      <c r="T202" s="64">
        <f t="shared" si="139"/>
        <v>1.4540647719762063E-2</v>
      </c>
      <c r="U202" s="64">
        <f t="shared" ref="U202:V204" si="140">P202-I202</f>
        <v>0.1042</v>
      </c>
      <c r="V202" s="65">
        <f t="shared" si="140"/>
        <v>0.13579999999999998</v>
      </c>
    </row>
    <row r="203" spans="1:22">
      <c r="A203" s="181">
        <v>177</v>
      </c>
      <c r="B203" s="150" t="s">
        <v>254</v>
      </c>
      <c r="C203" s="149" t="s">
        <v>50</v>
      </c>
      <c r="D203" s="52">
        <v>9844330748.7199993</v>
      </c>
      <c r="E203" s="35">
        <f>(D203/$D$204)</f>
        <v>0.80444075442105545</v>
      </c>
      <c r="F203" s="90">
        <v>5.43</v>
      </c>
      <c r="G203" s="90">
        <v>5.5</v>
      </c>
      <c r="H203" s="36">
        <v>12654</v>
      </c>
      <c r="I203" s="58">
        <v>7.8399999999999997E-2</v>
      </c>
      <c r="J203" s="58">
        <v>0.21410000000000001</v>
      </c>
      <c r="K203" s="52">
        <v>11089817188.879999</v>
      </c>
      <c r="L203" s="62">
        <f>(K203/$K$204)</f>
        <v>0.82204743331250041</v>
      </c>
      <c r="M203" s="90">
        <v>5.83</v>
      </c>
      <c r="N203" s="90">
        <v>5.91</v>
      </c>
      <c r="O203" s="36">
        <v>12909</v>
      </c>
      <c r="P203" s="58">
        <v>7.4499999999999997E-2</v>
      </c>
      <c r="Q203" s="58">
        <v>0.30459999999999998</v>
      </c>
      <c r="R203" s="64">
        <f>((K203-D203)/D203)</f>
        <v>0.12651814246711929</v>
      </c>
      <c r="S203" s="64">
        <f t="shared" si="139"/>
        <v>7.4545454545454568E-2</v>
      </c>
      <c r="T203" s="64">
        <f t="shared" si="139"/>
        <v>2.0151730678046466E-2</v>
      </c>
      <c r="U203" s="64">
        <f t="shared" si="140"/>
        <v>-3.9000000000000007E-3</v>
      </c>
      <c r="V203" s="65">
        <f t="shared" si="140"/>
        <v>9.0499999999999969E-2</v>
      </c>
    </row>
    <row r="204" spans="1:22">
      <c r="A204" s="43"/>
      <c r="B204" s="44"/>
      <c r="C204" s="79" t="s">
        <v>56</v>
      </c>
      <c r="D204" s="87">
        <f>SUM(D201:D203)</f>
        <v>12237483860.206491</v>
      </c>
      <c r="E204" s="47">
        <f>(D204/$D$233)</f>
        <v>1.4966636607790715E-3</v>
      </c>
      <c r="F204" s="48"/>
      <c r="G204" s="88"/>
      <c r="H204" s="50">
        <f>SUM(H201:H203)</f>
        <v>14191</v>
      </c>
      <c r="I204" s="106"/>
      <c r="J204" s="106"/>
      <c r="K204" s="87">
        <f>SUM(K201:K203)</f>
        <v>13490483321.859869</v>
      </c>
      <c r="L204" s="47">
        <f>(K204/$K$233)</f>
        <v>1.6431738372708175E-3</v>
      </c>
      <c r="M204" s="48"/>
      <c r="N204" s="88"/>
      <c r="O204" s="50">
        <f>SUM(O201:O203)</f>
        <v>14469</v>
      </c>
      <c r="P204" s="106"/>
      <c r="Q204" s="106"/>
      <c r="R204" s="64">
        <f>((K204-D204)/D204)</f>
        <v>0.10239028512453006</v>
      </c>
      <c r="S204" s="64" t="e">
        <f t="shared" si="139"/>
        <v>#DIV/0!</v>
      </c>
      <c r="T204" s="64">
        <f t="shared" si="139"/>
        <v>1.9589880910436192E-2</v>
      </c>
      <c r="U204" s="64">
        <f t="shared" si="140"/>
        <v>0</v>
      </c>
      <c r="V204" s="65">
        <f t="shared" si="140"/>
        <v>0</v>
      </c>
    </row>
    <row r="205" spans="1:22" ht="6" customHeight="1">
      <c r="A205" s="43"/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  <c r="S205" s="192"/>
      <c r="T205" s="192"/>
      <c r="U205" s="192"/>
      <c r="V205" s="192"/>
    </row>
    <row r="206" spans="1:22" ht="15" customHeight="1">
      <c r="A206" s="190" t="s">
        <v>255</v>
      </c>
      <c r="B206" s="190"/>
      <c r="C206" s="190"/>
      <c r="D206" s="190"/>
      <c r="E206" s="190"/>
      <c r="F206" s="190"/>
      <c r="G206" s="190"/>
      <c r="H206" s="190"/>
      <c r="I206" s="190"/>
      <c r="J206" s="190"/>
      <c r="K206" s="190"/>
      <c r="L206" s="190"/>
      <c r="M206" s="190"/>
      <c r="N206" s="190"/>
      <c r="O206" s="190"/>
      <c r="P206" s="190"/>
      <c r="Q206" s="190"/>
      <c r="R206" s="190"/>
      <c r="S206" s="190"/>
      <c r="T206" s="190"/>
      <c r="U206" s="190"/>
      <c r="V206" s="190"/>
    </row>
    <row r="207" spans="1:22">
      <c r="A207" s="193" t="s">
        <v>256</v>
      </c>
      <c r="B207" s="193"/>
      <c r="C207" s="193"/>
      <c r="D207" s="193"/>
      <c r="E207" s="193"/>
      <c r="F207" s="193"/>
      <c r="G207" s="193"/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  <c r="R207" s="193"/>
      <c r="S207" s="193"/>
      <c r="T207" s="193"/>
      <c r="U207" s="193"/>
      <c r="V207" s="193"/>
    </row>
    <row r="208" spans="1:22">
      <c r="A208" s="181">
        <v>178</v>
      </c>
      <c r="B208" s="150" t="s">
        <v>257</v>
      </c>
      <c r="C208" s="149" t="s">
        <v>258</v>
      </c>
      <c r="D208" s="56">
        <v>10824464565.709999</v>
      </c>
      <c r="E208" s="35">
        <f>(D208/$D$232)</f>
        <v>0.11462180878638342</v>
      </c>
      <c r="F208" s="91">
        <v>3.33</v>
      </c>
      <c r="G208" s="91">
        <v>3.39</v>
      </c>
      <c r="H208" s="54">
        <v>15765</v>
      </c>
      <c r="I208" s="61">
        <v>4.6300000000000001E-2</v>
      </c>
      <c r="J208" s="61">
        <v>0.1278</v>
      </c>
      <c r="K208" s="56">
        <v>11765315531.940001</v>
      </c>
      <c r="L208" s="35">
        <f>(K208/$K$232)</f>
        <v>0.11715079766474447</v>
      </c>
      <c r="M208" s="91">
        <v>3.54</v>
      </c>
      <c r="N208" s="91">
        <v>3.6</v>
      </c>
      <c r="O208" s="54">
        <v>15824</v>
      </c>
      <c r="P208" s="61">
        <v>6.3399999999999998E-2</v>
      </c>
      <c r="Q208" s="61">
        <v>0.19939999999999999</v>
      </c>
      <c r="R208" s="63">
        <f>((K208-D208)/D208)</f>
        <v>8.6918938162581449E-2</v>
      </c>
      <c r="S208" s="63">
        <f>((N208-G208)/G208)</f>
        <v>6.1946902654867242E-2</v>
      </c>
      <c r="T208" s="63">
        <f>((O208-H208)/H208)</f>
        <v>3.7424674912781477E-3</v>
      </c>
      <c r="U208" s="63">
        <f>P208-I208</f>
        <v>1.7099999999999997E-2</v>
      </c>
      <c r="V208" s="110">
        <f>Q208-J208</f>
        <v>7.1599999999999997E-2</v>
      </c>
    </row>
    <row r="209" spans="1:24">
      <c r="A209" s="181">
        <v>179</v>
      </c>
      <c r="B209" s="150" t="s">
        <v>259</v>
      </c>
      <c r="C209" s="149" t="s">
        <v>50</v>
      </c>
      <c r="D209" s="56">
        <v>12297482311.4</v>
      </c>
      <c r="E209" s="35">
        <f>(D209/$D$232)</f>
        <v>0.13021980509931738</v>
      </c>
      <c r="F209" s="91">
        <v>1114.42</v>
      </c>
      <c r="G209" s="91">
        <v>1126.03</v>
      </c>
      <c r="H209" s="54">
        <v>3837</v>
      </c>
      <c r="I209" s="61">
        <v>6.0900000000000003E-2</v>
      </c>
      <c r="J209" s="61">
        <v>0.18429999999999999</v>
      </c>
      <c r="K209" s="56">
        <v>15483248875.75</v>
      </c>
      <c r="L209" s="35">
        <f>(K209/$K$232)</f>
        <v>0.15417138208589787</v>
      </c>
      <c r="M209" s="91">
        <v>1193.3599999999999</v>
      </c>
      <c r="N209" s="91">
        <v>1207.55</v>
      </c>
      <c r="O209" s="54">
        <v>4156</v>
      </c>
      <c r="P209" s="61">
        <v>7.2400000000000006E-2</v>
      </c>
      <c r="Q209" s="61">
        <v>0.27</v>
      </c>
      <c r="R209" s="63">
        <f>((K209-D209)/D209)</f>
        <v>0.25905843844123561</v>
      </c>
      <c r="S209" s="63">
        <f>((N209-G209)/G209)</f>
        <v>7.2395939717414259E-2</v>
      </c>
      <c r="T209" s="63">
        <f>((O209-H209)/H209)</f>
        <v>8.3137868126140213E-2</v>
      </c>
      <c r="U209" s="63">
        <f>P209-I209</f>
        <v>1.1500000000000003E-2</v>
      </c>
      <c r="V209" s="110">
        <f>Q209-J209</f>
        <v>8.5700000000000026E-2</v>
      </c>
    </row>
    <row r="210" spans="1:24" ht="6" customHeight="1">
      <c r="A210" s="78"/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  <c r="S210" s="192"/>
      <c r="T210" s="192"/>
      <c r="U210" s="192"/>
      <c r="V210" s="192"/>
    </row>
    <row r="211" spans="1:24" ht="15" customHeight="1">
      <c r="A211" s="193" t="s">
        <v>193</v>
      </c>
      <c r="B211" s="193"/>
      <c r="C211" s="193"/>
      <c r="D211" s="193"/>
      <c r="E211" s="193"/>
      <c r="F211" s="193"/>
      <c r="G211" s="193"/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  <c r="R211" s="193"/>
      <c r="S211" s="193"/>
      <c r="T211" s="193"/>
      <c r="U211" s="193"/>
      <c r="V211" s="193"/>
    </row>
    <row r="212" spans="1:24">
      <c r="A212" s="181">
        <v>180</v>
      </c>
      <c r="B212" s="150" t="s">
        <v>260</v>
      </c>
      <c r="C212" s="149" t="s">
        <v>24</v>
      </c>
      <c r="D212" s="40">
        <v>1438540158.1400001</v>
      </c>
      <c r="E212" s="35">
        <f>(D212/$D$232)</f>
        <v>1.523290819022987E-2</v>
      </c>
      <c r="F212" s="90">
        <v>1.1536</v>
      </c>
      <c r="G212" s="90">
        <v>1.1536</v>
      </c>
      <c r="H212" s="36">
        <v>898</v>
      </c>
      <c r="I212" s="58">
        <v>0.13139999999999999</v>
      </c>
      <c r="J212" s="58">
        <v>0.13819999999999999</v>
      </c>
      <c r="K212" s="40">
        <v>1449803592.3800001</v>
      </c>
      <c r="L212" s="35">
        <f t="shared" ref="L212:L225" si="141">(K212/$K$232)</f>
        <v>1.4436131937425647E-2</v>
      </c>
      <c r="M212" s="90">
        <v>1.1564000000000001</v>
      </c>
      <c r="N212" s="90">
        <v>1.1564000000000001</v>
      </c>
      <c r="O212" s="36">
        <v>897</v>
      </c>
      <c r="P212" s="58">
        <v>0.12659999999999999</v>
      </c>
      <c r="Q212" s="58">
        <v>0.13689999999999999</v>
      </c>
      <c r="R212" s="64">
        <f>((K212-D212)/D212)</f>
        <v>7.8297669872236138E-3</v>
      </c>
      <c r="S212" s="64">
        <f>((N212-G212)/G212)</f>
        <v>2.4271844660195352E-3</v>
      </c>
      <c r="T212" s="64">
        <f>((O212-H212)/H212)</f>
        <v>-1.1135857461024498E-3</v>
      </c>
      <c r="U212" s="64">
        <f>P212-I212</f>
        <v>-4.7999999999999987E-3</v>
      </c>
      <c r="V212" s="65">
        <f>Q212-J212</f>
        <v>-1.2999999999999956E-3</v>
      </c>
      <c r="X212" s="111"/>
    </row>
    <row r="213" spans="1:24">
      <c r="A213" s="181">
        <v>181</v>
      </c>
      <c r="B213" s="150" t="s">
        <v>261</v>
      </c>
      <c r="C213" s="149" t="s">
        <v>262</v>
      </c>
      <c r="D213" s="40">
        <v>373037323.89999998</v>
      </c>
      <c r="E213" s="35">
        <f>(D213/$D$232)</f>
        <v>3.9501457601607819E-3</v>
      </c>
      <c r="F213" s="90">
        <v>1130.8399999999999</v>
      </c>
      <c r="G213" s="90">
        <v>1130.8399999999999</v>
      </c>
      <c r="H213" s="36">
        <v>19</v>
      </c>
      <c r="I213" s="58">
        <v>2.3999999999999998E-3</v>
      </c>
      <c r="J213" s="58">
        <v>1.4500000000000001E-2</v>
      </c>
      <c r="K213" s="40">
        <v>373804797.66000003</v>
      </c>
      <c r="L213" s="35">
        <f t="shared" si="141"/>
        <v>3.7220871890680657E-3</v>
      </c>
      <c r="M213" s="90">
        <v>1133.32</v>
      </c>
      <c r="N213" s="90">
        <v>1133.32</v>
      </c>
      <c r="O213" s="36">
        <v>19</v>
      </c>
      <c r="P213" s="58">
        <v>2.3999999999999998E-3</v>
      </c>
      <c r="Q213" s="58">
        <v>1.6899999999999998E-2</v>
      </c>
      <c r="R213" s="64">
        <f>((K213-D213)/D213)</f>
        <v>2.0573645338657497E-3</v>
      </c>
      <c r="S213" s="64">
        <f>((N213-G213)/G213)</f>
        <v>2.1930600261752487E-3</v>
      </c>
      <c r="T213" s="64">
        <f>((O213-H213)/H213)</f>
        <v>0</v>
      </c>
      <c r="U213" s="64">
        <f>P213-I213</f>
        <v>0</v>
      </c>
      <c r="V213" s="65">
        <f>Q213-J213</f>
        <v>2.3999999999999976E-3</v>
      </c>
      <c r="X213" s="111"/>
    </row>
    <row r="214" spans="1:24">
      <c r="A214" s="181">
        <v>182</v>
      </c>
      <c r="B214" s="150" t="s">
        <v>263</v>
      </c>
      <c r="C214" s="149" t="s">
        <v>73</v>
      </c>
      <c r="D214" s="40">
        <v>322474059.56</v>
      </c>
      <c r="E214" s="35">
        <f>(D214/$D$232)</f>
        <v>3.4147240973512938E-3</v>
      </c>
      <c r="F214" s="90">
        <v>124.38</v>
      </c>
      <c r="G214" s="90">
        <v>124.38</v>
      </c>
      <c r="H214" s="36">
        <v>79</v>
      </c>
      <c r="I214" s="58">
        <v>2.3E-3</v>
      </c>
      <c r="J214" s="58">
        <v>0.1331</v>
      </c>
      <c r="K214" s="40">
        <v>323469597.13</v>
      </c>
      <c r="L214" s="35">
        <f t="shared" si="141"/>
        <v>3.2208844056241404E-3</v>
      </c>
      <c r="M214" s="90">
        <v>124.74</v>
      </c>
      <c r="N214" s="90">
        <v>124.74</v>
      </c>
      <c r="O214" s="36">
        <v>79</v>
      </c>
      <c r="P214" s="58">
        <v>2.8999999999999998E-3</v>
      </c>
      <c r="Q214" s="58">
        <v>0.1331</v>
      </c>
      <c r="R214" s="64">
        <f t="shared" ref="R214:R233" si="142">((K214-D214)/D214)</f>
        <v>3.087186520858003E-3</v>
      </c>
      <c r="S214" s="64">
        <f t="shared" ref="S214:S232" si="143">((N214-G214)/G214)</f>
        <v>2.8943560057887075E-3</v>
      </c>
      <c r="T214" s="64">
        <f t="shared" ref="T214:T232" si="144">((O214-H214)/H214)</f>
        <v>0</v>
      </c>
      <c r="U214" s="64">
        <f t="shared" ref="U214:U232" si="145">P214-I214</f>
        <v>5.9999999999999984E-4</v>
      </c>
      <c r="V214" s="65">
        <f t="shared" ref="V214:V232" si="146">Q214-J214</f>
        <v>0</v>
      </c>
    </row>
    <row r="215" spans="1:24">
      <c r="A215" s="181">
        <v>183</v>
      </c>
      <c r="B215" s="186" t="s">
        <v>264</v>
      </c>
      <c r="C215" s="149" t="s">
        <v>265</v>
      </c>
      <c r="D215" s="40">
        <v>55108968.401872598</v>
      </c>
      <c r="E215" s="35">
        <v>0</v>
      </c>
      <c r="F215" s="90">
        <v>107.78</v>
      </c>
      <c r="G215" s="90">
        <v>107.78</v>
      </c>
      <c r="H215" s="36">
        <v>14</v>
      </c>
      <c r="I215" s="58">
        <v>3.0000000000000001E-3</v>
      </c>
      <c r="J215" s="58">
        <v>7.7799999999999994E-2</v>
      </c>
      <c r="K215" s="40">
        <v>55248317.953467302</v>
      </c>
      <c r="L215" s="35">
        <f t="shared" si="141"/>
        <v>5.5012417646710377E-4</v>
      </c>
      <c r="M215" s="90">
        <v>108.05</v>
      </c>
      <c r="N215" s="90">
        <v>108.05</v>
      </c>
      <c r="O215" s="36">
        <v>14</v>
      </c>
      <c r="P215" s="58">
        <v>2.7000000000000001E-3</v>
      </c>
      <c r="Q215" s="58">
        <v>8.0500000000000002E-2</v>
      </c>
      <c r="R215" s="64">
        <f t="shared" si="142"/>
        <v>2.5286184016097332E-3</v>
      </c>
      <c r="S215" s="64">
        <f t="shared" si="143"/>
        <v>2.5051029875672298E-3</v>
      </c>
      <c r="T215" s="64">
        <f t="shared" si="144"/>
        <v>0</v>
      </c>
      <c r="U215" s="64">
        <f t="shared" si="145"/>
        <v>-2.9999999999999992E-4</v>
      </c>
      <c r="V215" s="65">
        <f t="shared" si="146"/>
        <v>2.7000000000000079E-3</v>
      </c>
    </row>
    <row r="216" spans="1:24">
      <c r="A216" s="181">
        <v>184</v>
      </c>
      <c r="B216" s="186" t="s">
        <v>266</v>
      </c>
      <c r="C216" s="149" t="s">
        <v>79</v>
      </c>
      <c r="D216" s="52">
        <v>70940387.709999993</v>
      </c>
      <c r="E216" s="35">
        <f>(D216/$D$232)</f>
        <v>7.5119794664819744E-4</v>
      </c>
      <c r="F216" s="90">
        <v>103.93</v>
      </c>
      <c r="G216" s="90">
        <v>103.93</v>
      </c>
      <c r="H216" s="36">
        <v>15</v>
      </c>
      <c r="I216" s="58">
        <v>2.0400000000000001E-2</v>
      </c>
      <c r="J216" s="58">
        <v>5.3199999999999997E-2</v>
      </c>
      <c r="K216" s="52">
        <v>72337608.390000001</v>
      </c>
      <c r="L216" s="35">
        <f t="shared" si="141"/>
        <v>7.2028739909630408E-4</v>
      </c>
      <c r="M216" s="90">
        <v>105.98</v>
      </c>
      <c r="N216" s="90">
        <v>105.98</v>
      </c>
      <c r="O216" s="36">
        <v>15</v>
      </c>
      <c r="P216" s="58">
        <v>2.07E-2</v>
      </c>
      <c r="Q216" s="58">
        <v>7.3899999999999993E-2</v>
      </c>
      <c r="R216" s="64">
        <f t="shared" si="142"/>
        <v>1.9695701209186515E-2</v>
      </c>
      <c r="S216" s="64">
        <f t="shared" si="143"/>
        <v>1.9724814779178264E-2</v>
      </c>
      <c r="T216" s="64">
        <f t="shared" si="144"/>
        <v>0</v>
      </c>
      <c r="U216" s="64">
        <f t="shared" si="145"/>
        <v>2.9999999999999818E-4</v>
      </c>
      <c r="V216" s="65">
        <f t="shared" si="146"/>
        <v>2.0699999999999996E-2</v>
      </c>
    </row>
    <row r="217" spans="1:24">
      <c r="A217" s="181">
        <v>185</v>
      </c>
      <c r="B217" s="150" t="s">
        <v>267</v>
      </c>
      <c r="C217" s="149" t="s">
        <v>82</v>
      </c>
      <c r="D217" s="52">
        <v>272173113.69</v>
      </c>
      <c r="E217" s="35">
        <v>0</v>
      </c>
      <c r="F217" s="90">
        <v>1.19</v>
      </c>
      <c r="G217" s="90">
        <v>1.19</v>
      </c>
      <c r="H217" s="36">
        <v>61</v>
      </c>
      <c r="I217" s="58">
        <v>0.14050000000000001</v>
      </c>
      <c r="J217" s="58">
        <v>0.13969999999999999</v>
      </c>
      <c r="K217" s="52">
        <v>276952706.10000002</v>
      </c>
      <c r="L217" s="35">
        <f t="shared" si="141"/>
        <v>2.7577016822832802E-3</v>
      </c>
      <c r="M217" s="90">
        <v>1.19</v>
      </c>
      <c r="N217" s="90">
        <v>1.19</v>
      </c>
      <c r="O217" s="36">
        <v>62</v>
      </c>
      <c r="P217" s="58">
        <v>0.14050000000000001</v>
      </c>
      <c r="Q217" s="58">
        <v>0.13969999999999999</v>
      </c>
      <c r="R217" s="64">
        <f t="shared" ref="R217:R218" si="147">((K217-D217)/D217)</f>
        <v>1.7560854359199827E-2</v>
      </c>
      <c r="S217" s="64">
        <f t="shared" ref="S217:S218" si="148">((N217-G217)/G217)</f>
        <v>0</v>
      </c>
      <c r="T217" s="64">
        <f t="shared" ref="T217" si="149">((O217-H217)/H217)</f>
        <v>1.6393442622950821E-2</v>
      </c>
      <c r="U217" s="64">
        <f t="shared" ref="U217" si="150">P217-I217</f>
        <v>0</v>
      </c>
      <c r="V217" s="65">
        <f t="shared" ref="V217" si="151">Q217-J217</f>
        <v>0</v>
      </c>
    </row>
    <row r="218" spans="1:24">
      <c r="A218" s="181">
        <v>186</v>
      </c>
      <c r="B218" s="150" t="s">
        <v>268</v>
      </c>
      <c r="C218" s="149" t="s">
        <v>32</v>
      </c>
      <c r="D218" s="40">
        <v>5303291102.5900002</v>
      </c>
      <c r="E218" s="35">
        <f t="shared" ref="E218:E225" si="152">(D218/$D$232)</f>
        <v>5.6157310600399926E-2</v>
      </c>
      <c r="F218" s="90">
        <v>144.63</v>
      </c>
      <c r="G218" s="90">
        <v>144.63</v>
      </c>
      <c r="H218" s="36">
        <v>783</v>
      </c>
      <c r="I218" s="58">
        <v>-2.5999999999999999E-3</v>
      </c>
      <c r="J218" s="58">
        <v>1.6400000000000001E-2</v>
      </c>
      <c r="K218" s="40">
        <v>5329097973.54</v>
      </c>
      <c r="L218" s="35">
        <f t="shared" si="141"/>
        <v>5.3063436908167748E-2</v>
      </c>
      <c r="M218" s="90">
        <v>145</v>
      </c>
      <c r="N218" s="90">
        <v>145</v>
      </c>
      <c r="O218" s="36">
        <v>778</v>
      </c>
      <c r="P218" s="58">
        <v>-2.5999999999999999E-3</v>
      </c>
      <c r="Q218" s="58">
        <v>1.9E-2</v>
      </c>
      <c r="R218" s="64">
        <f t="shared" si="147"/>
        <v>4.8661992055077556E-3</v>
      </c>
      <c r="S218" s="64">
        <f t="shared" si="148"/>
        <v>2.5582520915439712E-3</v>
      </c>
      <c r="T218" s="64">
        <f t="shared" si="144"/>
        <v>-6.3856960408684551E-3</v>
      </c>
      <c r="U218" s="64">
        <f t="shared" si="145"/>
        <v>0</v>
      </c>
      <c r="V218" s="65">
        <f t="shared" si="146"/>
        <v>2.5999999999999981E-3</v>
      </c>
    </row>
    <row r="219" spans="1:24">
      <c r="A219" s="181">
        <v>187</v>
      </c>
      <c r="B219" s="150" t="s">
        <v>269</v>
      </c>
      <c r="C219" s="149" t="s">
        <v>71</v>
      </c>
      <c r="D219" s="40">
        <v>1058265345.22351</v>
      </c>
      <c r="E219" s="35">
        <f t="shared" si="152"/>
        <v>1.1206123620167154E-2</v>
      </c>
      <c r="F219" s="39">
        <v>1343.4535492571599</v>
      </c>
      <c r="G219" s="39">
        <v>1343.4535492571599</v>
      </c>
      <c r="H219" s="36">
        <v>327</v>
      </c>
      <c r="I219" s="58">
        <v>0.11600000000000001</v>
      </c>
      <c r="J219" s="58">
        <v>0.1164</v>
      </c>
      <c r="K219" s="40">
        <v>1049179641.75878</v>
      </c>
      <c r="L219" s="35">
        <f t="shared" si="141"/>
        <v>1.0446998347980961E-2</v>
      </c>
      <c r="M219" s="39">
        <v>1346.4412493924899</v>
      </c>
      <c r="N219" s="39">
        <v>1346.4412493924899</v>
      </c>
      <c r="O219" s="36">
        <v>329</v>
      </c>
      <c r="P219" s="58">
        <v>0.11600000000000001</v>
      </c>
      <c r="Q219" s="58">
        <v>0.1166</v>
      </c>
      <c r="R219" s="64">
        <f t="shared" si="142"/>
        <v>-8.5854681963634417E-3</v>
      </c>
      <c r="S219" s="64">
        <f t="shared" si="143"/>
        <v>2.2238953754537966E-3</v>
      </c>
      <c r="T219" s="64">
        <f t="shared" si="144"/>
        <v>6.1162079510703364E-3</v>
      </c>
      <c r="U219" s="64">
        <f t="shared" si="145"/>
        <v>0</v>
      </c>
      <c r="V219" s="65">
        <f t="shared" si="146"/>
        <v>1.9999999999999185E-4</v>
      </c>
    </row>
    <row r="220" spans="1:24">
      <c r="A220" s="181">
        <v>188</v>
      </c>
      <c r="B220" s="150" t="s">
        <v>270</v>
      </c>
      <c r="C220" s="149" t="s">
        <v>258</v>
      </c>
      <c r="D220" s="40">
        <v>42615861716.620003</v>
      </c>
      <c r="E220" s="35">
        <f t="shared" si="152"/>
        <v>0.4512654758391717</v>
      </c>
      <c r="F220" s="39">
        <v>1283.08</v>
      </c>
      <c r="G220" s="39">
        <v>1283.08</v>
      </c>
      <c r="H220" s="36">
        <v>12258</v>
      </c>
      <c r="I220" s="58">
        <v>3.0000000000000001E-3</v>
      </c>
      <c r="J220" s="58">
        <v>1.8200000000000001E-2</v>
      </c>
      <c r="K220" s="40">
        <v>43278623020.739998</v>
      </c>
      <c r="L220" s="35">
        <f t="shared" si="141"/>
        <v>0.43093831142456773</v>
      </c>
      <c r="M220" s="39">
        <v>1287.3499999999999</v>
      </c>
      <c r="N220" s="39">
        <v>1287.3499999999999</v>
      </c>
      <c r="O220" s="36">
        <v>12196</v>
      </c>
      <c r="P220" s="58">
        <v>3.3E-3</v>
      </c>
      <c r="Q220" s="58">
        <v>2.1499999999999998E-2</v>
      </c>
      <c r="R220" s="64">
        <f t="shared" si="142"/>
        <v>1.555198645347399E-2</v>
      </c>
      <c r="S220" s="64">
        <f t="shared" si="143"/>
        <v>3.327929669233393E-3</v>
      </c>
      <c r="T220" s="64">
        <f t="shared" si="144"/>
        <v>-5.0579213574808287E-3</v>
      </c>
      <c r="U220" s="64">
        <f t="shared" si="145"/>
        <v>2.9999999999999992E-4</v>
      </c>
      <c r="V220" s="65">
        <f t="shared" si="146"/>
        <v>3.2999999999999974E-3</v>
      </c>
    </row>
    <row r="221" spans="1:24">
      <c r="A221" s="181">
        <v>189</v>
      </c>
      <c r="B221" s="150" t="s">
        <v>271</v>
      </c>
      <c r="C221" s="149" t="s">
        <v>272</v>
      </c>
      <c r="D221" s="40">
        <v>361524428.11000001</v>
      </c>
      <c r="E221" s="35">
        <f t="shared" si="152"/>
        <v>3.828234054338465E-3</v>
      </c>
      <c r="F221" s="91">
        <v>128.59</v>
      </c>
      <c r="G221" s="91">
        <v>129.38999999999999</v>
      </c>
      <c r="H221" s="54">
        <v>129</v>
      </c>
      <c r="I221" s="58">
        <v>2.9000000000000001E-2</v>
      </c>
      <c r="J221" s="58">
        <v>6.0600000000000001E-2</v>
      </c>
      <c r="K221" s="40">
        <v>375004470.73000002</v>
      </c>
      <c r="L221" s="35">
        <f t="shared" si="141"/>
        <v>3.7340326959017646E-3</v>
      </c>
      <c r="M221" s="91">
        <v>133.31</v>
      </c>
      <c r="N221" s="91">
        <v>134.16</v>
      </c>
      <c r="O221" s="54">
        <v>130</v>
      </c>
      <c r="P221" s="58">
        <v>3.6900000000000002E-2</v>
      </c>
      <c r="Q221" s="58">
        <v>9.98E-2</v>
      </c>
      <c r="R221" s="64">
        <f t="shared" si="142"/>
        <v>3.7286671582531267E-2</v>
      </c>
      <c r="S221" s="64">
        <f t="shared" si="143"/>
        <v>3.6865290980755937E-2</v>
      </c>
      <c r="T221" s="64">
        <f t="shared" si="144"/>
        <v>7.7519379844961239E-3</v>
      </c>
      <c r="U221" s="64">
        <f t="shared" si="145"/>
        <v>7.9000000000000008E-3</v>
      </c>
      <c r="V221" s="65">
        <f t="shared" si="146"/>
        <v>3.9199999999999999E-2</v>
      </c>
    </row>
    <row r="222" spans="1:24">
      <c r="A222" s="181">
        <v>190</v>
      </c>
      <c r="B222" s="150" t="s">
        <v>273</v>
      </c>
      <c r="C222" s="149" t="s">
        <v>272</v>
      </c>
      <c r="D222" s="40">
        <v>828973409.48000002</v>
      </c>
      <c r="E222" s="35">
        <f t="shared" si="152"/>
        <v>8.7781184051740156E-3</v>
      </c>
      <c r="F222" s="91">
        <v>137.59</v>
      </c>
      <c r="G222" s="91">
        <v>137.59</v>
      </c>
      <c r="H222" s="54">
        <v>148</v>
      </c>
      <c r="I222" s="58">
        <v>1.6999999999999999E-3</v>
      </c>
      <c r="J222" s="58">
        <v>1.4500000000000001E-2</v>
      </c>
      <c r="K222" s="40">
        <v>827471722.98000002</v>
      </c>
      <c r="L222" s="35">
        <f t="shared" si="141"/>
        <v>8.2393856865939103E-3</v>
      </c>
      <c r="M222" s="91">
        <v>138.52000000000001</v>
      </c>
      <c r="N222" s="91">
        <v>138.52000000000001</v>
      </c>
      <c r="O222" s="54">
        <v>146</v>
      </c>
      <c r="P222" s="58">
        <v>6.7999999999999996E-3</v>
      </c>
      <c r="Q222" s="58">
        <v>2.1399999999999999E-2</v>
      </c>
      <c r="R222" s="64">
        <f t="shared" si="142"/>
        <v>-1.8115014098485749E-3</v>
      </c>
      <c r="S222" s="64">
        <f t="shared" si="143"/>
        <v>6.7592121520459831E-3</v>
      </c>
      <c r="T222" s="64">
        <f t="shared" si="144"/>
        <v>-1.3513513513513514E-2</v>
      </c>
      <c r="U222" s="64">
        <f t="shared" si="145"/>
        <v>5.0999999999999995E-3</v>
      </c>
      <c r="V222" s="65">
        <f t="shared" si="146"/>
        <v>6.8999999999999981E-3</v>
      </c>
    </row>
    <row r="223" spans="1:24" ht="13.5" customHeight="1">
      <c r="A223" s="181">
        <v>191</v>
      </c>
      <c r="B223" s="150" t="s">
        <v>274</v>
      </c>
      <c r="C223" s="149" t="s">
        <v>104</v>
      </c>
      <c r="D223" s="40">
        <v>2735408673</v>
      </c>
      <c r="E223" s="35">
        <f t="shared" si="152"/>
        <v>2.8965635017407926E-2</v>
      </c>
      <c r="F223" s="68">
        <v>105.93</v>
      </c>
      <c r="G223" s="68">
        <v>105.93</v>
      </c>
      <c r="H223" s="36">
        <v>812</v>
      </c>
      <c r="I223" s="58">
        <v>3.2000000000000002E-3</v>
      </c>
      <c r="J223" s="58">
        <v>0.16309999999999999</v>
      </c>
      <c r="K223" s="40">
        <v>2787610164</v>
      </c>
      <c r="L223" s="35">
        <f t="shared" si="141"/>
        <v>2.7757075737100984E-2</v>
      </c>
      <c r="M223" s="68">
        <v>106.27</v>
      </c>
      <c r="N223" s="68">
        <v>106.27</v>
      </c>
      <c r="O223" s="36">
        <v>818</v>
      </c>
      <c r="P223" s="58">
        <v>3.2000000000000002E-3</v>
      </c>
      <c r="Q223" s="58">
        <v>0.16289999999999999</v>
      </c>
      <c r="R223" s="64">
        <f t="shared" si="142"/>
        <v>1.9083616834024712E-2</v>
      </c>
      <c r="S223" s="64">
        <f t="shared" si="143"/>
        <v>3.209666761068528E-3</v>
      </c>
      <c r="T223" s="64">
        <f t="shared" si="144"/>
        <v>7.3891625615763543E-3</v>
      </c>
      <c r="U223" s="64">
        <f t="shared" si="145"/>
        <v>0</v>
      </c>
      <c r="V223" s="65">
        <f t="shared" si="146"/>
        <v>-2.0000000000000573E-4</v>
      </c>
    </row>
    <row r="224" spans="1:24" ht="15.75" customHeight="1">
      <c r="A224" s="181">
        <v>192</v>
      </c>
      <c r="B224" s="150" t="s">
        <v>275</v>
      </c>
      <c r="C224" s="149" t="s">
        <v>50</v>
      </c>
      <c r="D224" s="40">
        <v>3683411671.3200002</v>
      </c>
      <c r="E224" s="35">
        <f t="shared" si="152"/>
        <v>3.9004174821637573E-2</v>
      </c>
      <c r="F224" s="68">
        <v>146.63999999999999</v>
      </c>
      <c r="G224" s="68">
        <v>146.63999999999999</v>
      </c>
      <c r="H224" s="36">
        <v>2202</v>
      </c>
      <c r="I224" s="58">
        <v>2.3999999999999998E-3</v>
      </c>
      <c r="J224" s="58">
        <v>1.54E-2</v>
      </c>
      <c r="K224" s="40">
        <v>3673413727.6100001</v>
      </c>
      <c r="L224" s="35">
        <f t="shared" si="141"/>
        <v>3.657728916609633E-2</v>
      </c>
      <c r="M224" s="68">
        <v>146.99</v>
      </c>
      <c r="N224" s="68">
        <v>146.99</v>
      </c>
      <c r="O224" s="36">
        <v>2239</v>
      </c>
      <c r="P224" s="58">
        <v>2.3999999999999998E-3</v>
      </c>
      <c r="Q224" s="58">
        <v>1.78E-2</v>
      </c>
      <c r="R224" s="64">
        <f t="shared" si="142"/>
        <v>-2.714316129214289E-3</v>
      </c>
      <c r="S224" s="64">
        <f t="shared" si="143"/>
        <v>2.3867975995637124E-3</v>
      </c>
      <c r="T224" s="64">
        <f t="shared" si="144"/>
        <v>1.6802906448683014E-2</v>
      </c>
      <c r="U224" s="64">
        <f t="shared" si="145"/>
        <v>0</v>
      </c>
      <c r="V224" s="65">
        <f t="shared" si="146"/>
        <v>2.3999999999999994E-3</v>
      </c>
    </row>
    <row r="225" spans="1:22">
      <c r="A225" s="181">
        <v>193</v>
      </c>
      <c r="B225" s="150" t="s">
        <v>276</v>
      </c>
      <c r="C225" s="149" t="s">
        <v>53</v>
      </c>
      <c r="D225" s="40">
        <v>4094368822.4499998</v>
      </c>
      <c r="E225" s="35">
        <f t="shared" si="152"/>
        <v>4.335585907449558E-2</v>
      </c>
      <c r="F225" s="68">
        <v>1.2370000000000001</v>
      </c>
      <c r="G225" s="68">
        <v>1.2370000000000001</v>
      </c>
      <c r="H225" s="36">
        <v>2114</v>
      </c>
      <c r="I225" s="58">
        <v>1.9E-3</v>
      </c>
      <c r="J225" s="58">
        <v>4.6100000000000002E-2</v>
      </c>
      <c r="K225" s="40">
        <v>4107193150.0999999</v>
      </c>
      <c r="L225" s="35">
        <f t="shared" si="141"/>
        <v>4.0896561795657184E-2</v>
      </c>
      <c r="M225" s="68">
        <v>1.2398</v>
      </c>
      <c r="N225" s="68">
        <v>1.2398</v>
      </c>
      <c r="O225" s="36">
        <v>2125</v>
      </c>
      <c r="P225" s="58">
        <v>2.3E-3</v>
      </c>
      <c r="Q225" s="58">
        <v>5.6599999999999998E-2</v>
      </c>
      <c r="R225" s="64">
        <f t="shared" si="142"/>
        <v>3.1321867193992159E-3</v>
      </c>
      <c r="S225" s="64">
        <f t="shared" si="143"/>
        <v>2.263540824575516E-3</v>
      </c>
      <c r="T225" s="64">
        <f t="shared" si="144"/>
        <v>5.2034058656575217E-3</v>
      </c>
      <c r="U225" s="64">
        <f t="shared" si="145"/>
        <v>3.9999999999999996E-4</v>
      </c>
      <c r="V225" s="65">
        <f t="shared" si="146"/>
        <v>1.0499999999999995E-2</v>
      </c>
    </row>
    <row r="226" spans="1:22" ht="6" customHeight="1">
      <c r="A226" s="43"/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192"/>
      <c r="S226" s="192"/>
      <c r="T226" s="192"/>
      <c r="U226" s="192"/>
      <c r="V226" s="192"/>
    </row>
    <row r="227" spans="1:22">
      <c r="A227" s="193" t="s">
        <v>277</v>
      </c>
      <c r="B227" s="193"/>
      <c r="C227" s="193"/>
      <c r="D227" s="193"/>
      <c r="E227" s="193"/>
      <c r="F227" s="193"/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  <c r="R227" s="193"/>
      <c r="S227" s="193"/>
      <c r="T227" s="193"/>
      <c r="U227" s="193"/>
      <c r="V227" s="193"/>
    </row>
    <row r="228" spans="1:22">
      <c r="A228" s="181">
        <v>194</v>
      </c>
      <c r="B228" s="150" t="s">
        <v>278</v>
      </c>
      <c r="C228" s="149" t="s">
        <v>20</v>
      </c>
      <c r="D228" s="89">
        <v>406410326.89999998</v>
      </c>
      <c r="E228" s="35">
        <f>(D228/$D$204)</f>
        <v>3.3210285017948316E-2</v>
      </c>
      <c r="F228" s="90">
        <v>110.5958</v>
      </c>
      <c r="G228" s="90">
        <v>110.5958</v>
      </c>
      <c r="H228" s="38">
        <v>110</v>
      </c>
      <c r="I228" s="59">
        <v>1.67E-2</v>
      </c>
      <c r="J228" s="59">
        <v>5.45E-2</v>
      </c>
      <c r="K228" s="89">
        <v>435767234.95999998</v>
      </c>
      <c r="L228" s="62">
        <f>(K228/K229)</f>
        <v>5.2613410012412237E-2</v>
      </c>
      <c r="M228" s="90">
        <v>113.47410000000001</v>
      </c>
      <c r="N228" s="90">
        <v>113.47410000000001</v>
      </c>
      <c r="O228" s="38">
        <v>110</v>
      </c>
      <c r="P228" s="59">
        <v>2.5999999999999999E-2</v>
      </c>
      <c r="Q228" s="59">
        <v>8.1900000000000001E-2</v>
      </c>
      <c r="R228" s="64">
        <f>((K228-D228)/D228)</f>
        <v>7.2234650836575487E-2</v>
      </c>
      <c r="S228" s="64">
        <f t="shared" ref="S228" si="153">((N228-G228)/G228)</f>
        <v>2.6025400602916297E-2</v>
      </c>
      <c r="T228" s="64">
        <f t="shared" ref="T228" si="154">((O228-H228)/H228)</f>
        <v>0</v>
      </c>
      <c r="U228" s="64">
        <f t="shared" ref="U228" si="155">P228-I228</f>
        <v>9.2999999999999992E-3</v>
      </c>
      <c r="V228" s="65">
        <f t="shared" ref="V228" si="156">Q228-J228</f>
        <v>2.7400000000000001E-2</v>
      </c>
    </row>
    <row r="229" spans="1:22">
      <c r="A229" s="181">
        <v>195</v>
      </c>
      <c r="B229" s="150" t="s">
        <v>279</v>
      </c>
      <c r="C229" s="149" t="s">
        <v>24</v>
      </c>
      <c r="D229" s="89">
        <v>7225620527.25</v>
      </c>
      <c r="E229" s="35">
        <f>(D229/$D$204)</f>
        <v>0.59044985143932005</v>
      </c>
      <c r="F229" s="90">
        <v>120.1276</v>
      </c>
      <c r="G229" s="90">
        <v>123.7496</v>
      </c>
      <c r="H229" s="38">
        <v>4082</v>
      </c>
      <c r="I229" s="59">
        <v>2.4721000000000002</v>
      </c>
      <c r="J229" s="59">
        <v>1.2742</v>
      </c>
      <c r="K229" s="89">
        <v>8282436642.2399998</v>
      </c>
      <c r="L229" s="62">
        <f>(K229/$K$204)</f>
        <v>0.61394662034229763</v>
      </c>
      <c r="M229" s="90">
        <v>128.3245</v>
      </c>
      <c r="N229" s="90">
        <v>132.1935</v>
      </c>
      <c r="O229" s="38">
        <v>4222</v>
      </c>
      <c r="P229" s="59">
        <v>3.5579000000000001</v>
      </c>
      <c r="Q229" s="59">
        <v>1.6626000000000001</v>
      </c>
      <c r="R229" s="64">
        <f>((K229-D229)/D229)</f>
        <v>0.14625956497499787</v>
      </c>
      <c r="S229" s="64">
        <f t="shared" ref="S229" si="157">((N229-G229)/G229)</f>
        <v>6.8233755907089799E-2</v>
      </c>
      <c r="T229" s="64">
        <f t="shared" ref="T229" si="158">((O229-H229)/H229)</f>
        <v>3.4296913277805E-2</v>
      </c>
      <c r="U229" s="64">
        <f t="shared" ref="U229" si="159">P229-I229</f>
        <v>1.0857999999999999</v>
      </c>
      <c r="V229" s="65">
        <f t="shared" ref="V229" si="160">Q229-J229</f>
        <v>0.38840000000000008</v>
      </c>
    </row>
    <row r="230" spans="1:22">
      <c r="A230" s="181">
        <v>196</v>
      </c>
      <c r="B230" s="150" t="s">
        <v>280</v>
      </c>
      <c r="C230" s="149" t="s">
        <v>258</v>
      </c>
      <c r="D230" s="40">
        <v>316270899.83999997</v>
      </c>
      <c r="E230" s="35">
        <f t="shared" ref="E230" si="161">(D230/$D$232)</f>
        <v>3.3490379488142459E-3</v>
      </c>
      <c r="F230" s="39">
        <v>1376.3</v>
      </c>
      <c r="G230" s="39">
        <v>1376.3</v>
      </c>
      <c r="H230" s="36">
        <v>135</v>
      </c>
      <c r="I230" s="58">
        <v>2.6200000000000001E-2</v>
      </c>
      <c r="J230" s="58">
        <v>0.1028</v>
      </c>
      <c r="K230" s="40">
        <v>325143524.08999997</v>
      </c>
      <c r="L230" s="35">
        <f t="shared" ref="L230" si="162">(K230/$K$232)</f>
        <v>3.2375522015760765E-3</v>
      </c>
      <c r="M230" s="39">
        <v>1414.81</v>
      </c>
      <c r="N230" s="39">
        <v>1414.81</v>
      </c>
      <c r="O230" s="36">
        <v>137</v>
      </c>
      <c r="P230" s="58">
        <v>2.8000000000000001E-2</v>
      </c>
      <c r="Q230" s="58">
        <v>0.1336</v>
      </c>
      <c r="R230" s="64">
        <f t="shared" ref="R230" si="163">((K230-D230)/D230)</f>
        <v>2.8053874872739228E-2</v>
      </c>
      <c r="S230" s="64">
        <f t="shared" ref="S230" si="164">((N230-G230)/G230)</f>
        <v>2.7980818135580898E-2</v>
      </c>
      <c r="T230" s="64">
        <f t="shared" ref="T230" si="165">((O230-H230)/H230)</f>
        <v>1.4814814814814815E-2</v>
      </c>
      <c r="U230" s="64">
        <f t="shared" ref="U230" si="166">P230-I230</f>
        <v>1.7999999999999995E-3</v>
      </c>
      <c r="V230" s="65">
        <f t="shared" ref="V230" si="167">Q230-J230</f>
        <v>3.0799999999999994E-2</v>
      </c>
    </row>
    <row r="231" spans="1:22">
      <c r="A231" s="181">
        <v>197</v>
      </c>
      <c r="B231" s="150" t="s">
        <v>281</v>
      </c>
      <c r="C231" s="149" t="s">
        <v>282</v>
      </c>
      <c r="D231" s="40">
        <v>152716199.66999999</v>
      </c>
      <c r="E231" s="35">
        <f t="shared" ref="E231" si="168">(D231/$D$232)</f>
        <v>1.6171337557526317E-3</v>
      </c>
      <c r="F231" s="39">
        <v>111.92</v>
      </c>
      <c r="G231" s="39">
        <v>114.22</v>
      </c>
      <c r="H231" s="36">
        <v>310</v>
      </c>
      <c r="I231" s="58">
        <v>6.4000000000000003E-3</v>
      </c>
      <c r="J231" s="58">
        <v>4.7100000000000003E-2</v>
      </c>
      <c r="K231" s="40">
        <v>157690533.21000001</v>
      </c>
      <c r="L231" s="35">
        <f t="shared" ref="L231" si="169">(K231/$K$232)</f>
        <v>1.5701722320645866E-3</v>
      </c>
      <c r="M231" s="39">
        <v>115.78</v>
      </c>
      <c r="N231" s="39">
        <v>118.16</v>
      </c>
      <c r="O231" s="36">
        <v>308</v>
      </c>
      <c r="P231" s="58">
        <v>3.4099999999999998E-2</v>
      </c>
      <c r="Q231" s="58">
        <v>8.2699999999999996E-2</v>
      </c>
      <c r="R231" s="64">
        <f t="shared" ref="R231" si="170">((K231-D231)/D231)</f>
        <v>3.257240260528297E-2</v>
      </c>
      <c r="S231" s="64">
        <f t="shared" ref="S231" si="171">((N231-G231)/G231)</f>
        <v>3.4494834529854648E-2</v>
      </c>
      <c r="T231" s="64">
        <f t="shared" ref="T231" si="172">((O231-H231)/H231)</f>
        <v>-6.4516129032258064E-3</v>
      </c>
      <c r="U231" s="64">
        <f t="shared" ref="U231" si="173">P231-I231</f>
        <v>2.7699999999999999E-2</v>
      </c>
      <c r="V231" s="65">
        <f t="shared" ref="V231" si="174">Q231-J231</f>
        <v>3.5599999999999993E-2</v>
      </c>
    </row>
    <row r="232" spans="1:22">
      <c r="A232" s="43"/>
      <c r="B232" s="44"/>
      <c r="C232" s="79" t="s">
        <v>56</v>
      </c>
      <c r="D232" s="67">
        <f>SUM(D208:D231)</f>
        <v>94436344010.965378</v>
      </c>
      <c r="E232" s="47">
        <f>(D232/$D$233)</f>
        <v>1.1549714463579138E-2</v>
      </c>
      <c r="F232" s="48"/>
      <c r="G232" s="82"/>
      <c r="H232" s="92">
        <f>SUM(H208:H231)</f>
        <v>44098</v>
      </c>
      <c r="I232" s="84"/>
      <c r="J232" s="84"/>
      <c r="K232" s="67">
        <f>SUM(K208:K231)</f>
        <v>100428812833.26227</v>
      </c>
      <c r="L232" s="47">
        <f>(K232/$K$233)</f>
        <v>1.2232474835677977E-2</v>
      </c>
      <c r="M232" s="48"/>
      <c r="N232" s="82"/>
      <c r="O232" s="50">
        <f>SUM(O208:O231)</f>
        <v>44604</v>
      </c>
      <c r="P232" s="84"/>
      <c r="Q232" s="84"/>
      <c r="R232" s="64">
        <f t="shared" si="142"/>
        <v>6.3455112383438747E-2</v>
      </c>
      <c r="S232" s="64" t="e">
        <f t="shared" si="143"/>
        <v>#DIV/0!</v>
      </c>
      <c r="T232" s="64">
        <f t="shared" si="144"/>
        <v>1.147444328540977E-2</v>
      </c>
      <c r="U232" s="64">
        <f t="shared" si="145"/>
        <v>0</v>
      </c>
      <c r="V232" s="65">
        <f t="shared" si="146"/>
        <v>0</v>
      </c>
    </row>
    <row r="233" spans="1:22">
      <c r="A233" s="93"/>
      <c r="B233" s="93"/>
      <c r="C233" s="94" t="s">
        <v>283</v>
      </c>
      <c r="D233" s="95">
        <f>SUM(D26,D73,D115,D157,D166,D198,D204,D232)</f>
        <v>8176508978534.5674</v>
      </c>
      <c r="E233" s="96"/>
      <c r="F233" s="96"/>
      <c r="G233" s="97"/>
      <c r="H233" s="95">
        <f>SUM(H26,H73,H115,H157,H166,H198,H204,H232)</f>
        <v>1193415</v>
      </c>
      <c r="I233" s="107"/>
      <c r="J233" s="107"/>
      <c r="K233" s="95">
        <f>SUM(K26,K73,K115,K157,K166,K198,K204,K232)</f>
        <v>8210015894767.7139</v>
      </c>
      <c r="L233" s="96"/>
      <c r="M233" s="96"/>
      <c r="N233" s="97"/>
      <c r="O233" s="95">
        <f>SUM(O26,O73,O115,O157,O166,O198,O204,O232)</f>
        <v>1204620</v>
      </c>
      <c r="P233" s="108"/>
      <c r="Q233" s="95"/>
      <c r="R233" s="112">
        <f t="shared" si="142"/>
        <v>4.097948931641943E-3</v>
      </c>
      <c r="S233" s="112"/>
      <c r="T233" s="112"/>
      <c r="U233" s="112"/>
      <c r="V233" s="112"/>
    </row>
    <row r="234" spans="1:22" ht="6.75" customHeight="1">
      <c r="A234" s="43"/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  <c r="R234" s="192"/>
      <c r="S234" s="192"/>
      <c r="T234" s="192"/>
      <c r="U234" s="192"/>
      <c r="V234" s="44"/>
    </row>
    <row r="235" spans="1:22" ht="14.4" customHeight="1">
      <c r="A235" s="190" t="s">
        <v>284</v>
      </c>
      <c r="B235" s="190"/>
      <c r="C235" s="190"/>
      <c r="D235" s="190"/>
      <c r="E235" s="190"/>
      <c r="F235" s="190"/>
      <c r="G235" s="190"/>
      <c r="H235" s="190"/>
      <c r="I235" s="190"/>
      <c r="J235" s="190"/>
      <c r="K235" s="190"/>
      <c r="L235" s="190"/>
      <c r="M235" s="190"/>
      <c r="N235" s="190"/>
      <c r="O235" s="190"/>
      <c r="P235" s="190"/>
      <c r="Q235" s="190"/>
      <c r="R235" s="190"/>
      <c r="S235" s="190"/>
      <c r="T235" s="190"/>
      <c r="U235" s="190"/>
      <c r="V235" s="190"/>
    </row>
    <row r="236" spans="1:22" ht="14.4" customHeight="1">
      <c r="A236" s="181">
        <v>1</v>
      </c>
      <c r="B236" s="150" t="s">
        <v>285</v>
      </c>
      <c r="C236" s="149" t="s">
        <v>24</v>
      </c>
      <c r="D236" s="40">
        <v>1974638039.7153521</v>
      </c>
      <c r="E236" s="35">
        <f t="shared" ref="E236:E239" si="175">(D236/$D$232)</f>
        <v>2.0909725597658343E-2</v>
      </c>
      <c r="F236" s="39">
        <v>1414.1077037299999</v>
      </c>
      <c r="G236" s="39">
        <v>1414.1077037299999</v>
      </c>
      <c r="H236" s="36">
        <v>55</v>
      </c>
      <c r="I236" s="58">
        <v>8.5099999999999995E-2</v>
      </c>
      <c r="J236" s="58">
        <v>5.3600000000000002E-2</v>
      </c>
      <c r="K236" s="40">
        <f>1489536.33*1344.1505</f>
        <v>2002161002.7376649</v>
      </c>
      <c r="L236" s="35">
        <f>(K236/$K$241)</f>
        <v>0.10194542992353851</v>
      </c>
      <c r="M236" s="39">
        <f>1.0448*1344.1505</f>
        <v>1404.3684423999998</v>
      </c>
      <c r="N236" s="39">
        <f>1.0448*1344.1505</f>
        <v>1404.3684423999998</v>
      </c>
      <c r="O236" s="36">
        <v>55</v>
      </c>
      <c r="P236" s="58">
        <v>7.4999999999999997E-2</v>
      </c>
      <c r="Q236" s="58">
        <v>5.6599999999999998E-2</v>
      </c>
      <c r="R236" s="64">
        <f t="shared" ref="R236" si="176">((K236-D236)/D236)</f>
        <v>1.3938231953781448E-2</v>
      </c>
      <c r="S236" s="64">
        <f t="shared" ref="S236" si="177">((N236-G236)/G236)</f>
        <v>-6.8872132612747853E-3</v>
      </c>
      <c r="T236" s="64">
        <f t="shared" ref="T236" si="178">((O236-H236)/H236)</f>
        <v>0</v>
      </c>
      <c r="U236" s="64">
        <f t="shared" ref="U236" si="179">P236-I236</f>
        <v>-1.0099999999999998E-2</v>
      </c>
      <c r="V236" s="65">
        <f t="shared" ref="V236" si="180">Q236-J236</f>
        <v>2.9999999999999957E-3</v>
      </c>
    </row>
    <row r="237" spans="1:22" ht="14.4" customHeight="1">
      <c r="A237" s="181">
        <v>2</v>
      </c>
      <c r="B237" s="150" t="s">
        <v>286</v>
      </c>
      <c r="C237" s="149" t="s">
        <v>214</v>
      </c>
      <c r="D237" s="40">
        <v>4241740966.9699998</v>
      </c>
      <c r="E237" s="35">
        <f t="shared" ref="E237" si="181">(D237/$D$232)</f>
        <v>4.4916403863299433E-2</v>
      </c>
      <c r="F237" s="39">
        <v>123.2</v>
      </c>
      <c r="G237" s="39">
        <v>123.2</v>
      </c>
      <c r="H237" s="36">
        <v>9</v>
      </c>
      <c r="I237" s="58">
        <v>5.3E-3</v>
      </c>
      <c r="J237" s="58">
        <v>3.1199999999999999E-2</v>
      </c>
      <c r="K237" s="40">
        <v>4265228747.9699998</v>
      </c>
      <c r="L237" s="35">
        <f>(K237/$K$241)</f>
        <v>0.21717563065082349</v>
      </c>
      <c r="M237" s="39">
        <v>123.2</v>
      </c>
      <c r="N237" s="39">
        <v>123.2</v>
      </c>
      <c r="O237" s="36">
        <v>9</v>
      </c>
      <c r="P237" s="58">
        <v>5.4999999999999997E-3</v>
      </c>
      <c r="Q237" s="58">
        <v>3.6900000000000002E-2</v>
      </c>
      <c r="R237" s="64">
        <f t="shared" ref="R237" si="182">((K237-D237)/D237)</f>
        <v>5.5372973462776091E-3</v>
      </c>
      <c r="S237" s="64">
        <f t="shared" ref="S237" si="183">((N237-G237)/G237)</f>
        <v>0</v>
      </c>
      <c r="T237" s="64">
        <f t="shared" ref="T237" si="184">((O237-H237)/H237)</f>
        <v>0</v>
      </c>
      <c r="U237" s="64">
        <f t="shared" ref="U237" si="185">P237-I237</f>
        <v>1.9999999999999966E-4</v>
      </c>
      <c r="V237" s="65">
        <f t="shared" ref="V237" si="186">Q237-J237</f>
        <v>5.7000000000000037E-3</v>
      </c>
    </row>
    <row r="238" spans="1:22" ht="14.4" customHeight="1">
      <c r="A238" s="181">
        <v>3</v>
      </c>
      <c r="B238" s="150" t="s">
        <v>287</v>
      </c>
      <c r="C238" s="149" t="s">
        <v>32</v>
      </c>
      <c r="D238" s="40">
        <v>1179507954.0527861</v>
      </c>
      <c r="E238" s="35">
        <f>(D238/$D$232)</f>
        <v>1.2489979005496324E-2</v>
      </c>
      <c r="F238" s="39">
        <v>152579.41551700002</v>
      </c>
      <c r="G238" s="39">
        <v>152579.41551700002</v>
      </c>
      <c r="H238" s="36">
        <v>14</v>
      </c>
      <c r="I238" s="58">
        <v>-4.3E-3</v>
      </c>
      <c r="J238" s="58">
        <v>7.0000000000000001E-3</v>
      </c>
      <c r="K238" s="40">
        <f>888399.36*W138</f>
        <v>1196072846.9130239</v>
      </c>
      <c r="L238" s="35">
        <f>(K238/$K$241)</f>
        <v>6.090127638670996E-2</v>
      </c>
      <c r="M238" s="39">
        <f>112.65*W138</f>
        <v>151663.33100999999</v>
      </c>
      <c r="N238" s="39">
        <f>112.65*W138</f>
        <v>151663.33100999999</v>
      </c>
      <c r="O238" s="36">
        <v>10</v>
      </c>
      <c r="P238" s="58">
        <v>-6.9999999999999999E-4</v>
      </c>
      <c r="Q238" s="58">
        <v>7.7000000000000002E-3</v>
      </c>
      <c r="R238" s="64">
        <f t="shared" ref="R238:R239" si="187">((K238-D238)/D238)</f>
        <v>1.4043900936251351E-2</v>
      </c>
      <c r="S238" s="64">
        <f t="shared" ref="S238:S239" si="188">((N238-G238)/G238)</f>
        <v>-6.0039849012133197E-3</v>
      </c>
      <c r="T238" s="64">
        <f t="shared" ref="T238:T239" si="189">((O238-H238)/H238)</f>
        <v>-0.2857142857142857</v>
      </c>
      <c r="U238" s="64">
        <f t="shared" ref="U238:U239" si="190">P238-I238</f>
        <v>3.5999999999999999E-3</v>
      </c>
      <c r="V238" s="65">
        <f t="shared" ref="V238:V239" si="191">Q238-J238</f>
        <v>7.000000000000001E-4</v>
      </c>
    </row>
    <row r="239" spans="1:22" ht="14.4" customHeight="1">
      <c r="A239" s="181">
        <v>4</v>
      </c>
      <c r="B239" s="150" t="s">
        <v>288</v>
      </c>
      <c r="C239" s="149" t="s">
        <v>42</v>
      </c>
      <c r="D239" s="40">
        <v>13139019974.58</v>
      </c>
      <c r="E239" s="35">
        <f t="shared" si="175"/>
        <v>0.13913096819011098</v>
      </c>
      <c r="F239" s="39">
        <v>1.26</v>
      </c>
      <c r="G239" s="39">
        <v>1.26</v>
      </c>
      <c r="H239" s="36">
        <v>16</v>
      </c>
      <c r="I239" s="58">
        <v>9.8900000000000002E-2</v>
      </c>
      <c r="J239" s="58">
        <v>-0.1234</v>
      </c>
      <c r="K239" s="40">
        <v>11963294678.23</v>
      </c>
      <c r="L239" s="35">
        <f>(K239/$K$241)</f>
        <v>0.60914342932786469</v>
      </c>
      <c r="M239" s="39">
        <v>1.1499999999999999</v>
      </c>
      <c r="N239" s="39">
        <v>1.1499999999999999</v>
      </c>
      <c r="O239" s="36">
        <v>16</v>
      </c>
      <c r="P239" s="58">
        <v>5.9999999999999995E-4</v>
      </c>
      <c r="Q239" s="58">
        <v>-0.73740000000000006</v>
      </c>
      <c r="R239" s="64">
        <f t="shared" si="187"/>
        <v>-8.9483484964987536E-2</v>
      </c>
      <c r="S239" s="64">
        <f t="shared" si="188"/>
        <v>-8.730158730158738E-2</v>
      </c>
      <c r="T239" s="64">
        <f t="shared" si="189"/>
        <v>0</v>
      </c>
      <c r="U239" s="64">
        <f t="shared" si="190"/>
        <v>-9.8299999999999998E-2</v>
      </c>
      <c r="V239" s="65">
        <f t="shared" si="191"/>
        <v>-0.6140000000000001</v>
      </c>
    </row>
    <row r="240" spans="1:22" ht="14.4" customHeight="1">
      <c r="A240" s="181">
        <v>5</v>
      </c>
      <c r="B240" s="150" t="s">
        <v>289</v>
      </c>
      <c r="C240" s="149" t="s">
        <v>53</v>
      </c>
      <c r="D240" s="40">
        <v>200361583.71000001</v>
      </c>
      <c r="E240" s="35">
        <f t="shared" ref="E240" si="192">(D240/$D$232)</f>
        <v>2.1216575652985383E-3</v>
      </c>
      <c r="F240" s="39">
        <v>1.2779</v>
      </c>
      <c r="G240" s="39">
        <v>1.2779</v>
      </c>
      <c r="H240" s="36">
        <v>20</v>
      </c>
      <c r="I240" s="58">
        <v>4.4699999999999997E-2</v>
      </c>
      <c r="J240" s="58">
        <v>0.14599999999999999</v>
      </c>
      <c r="K240" s="40">
        <v>212779329.56</v>
      </c>
      <c r="L240" s="35">
        <f>(K240/$K$241)</f>
        <v>1.0834233711063188E-2</v>
      </c>
      <c r="M240" s="39">
        <v>1.3571</v>
      </c>
      <c r="N240" s="39">
        <v>1.3571</v>
      </c>
      <c r="O240" s="36">
        <v>20</v>
      </c>
      <c r="P240" s="58">
        <v>6.1699999999999998E-2</v>
      </c>
      <c r="Q240" s="58">
        <v>0.217</v>
      </c>
      <c r="R240" s="64">
        <f t="shared" ref="R240:R241" si="193">((K240-D240)/D240)</f>
        <v>6.19766804597294E-2</v>
      </c>
      <c r="S240" s="64">
        <f t="shared" ref="S240" si="194">((N240-G240)/G240)</f>
        <v>6.1976680491431201E-2</v>
      </c>
      <c r="T240" s="64">
        <f t="shared" ref="T240" si="195">((O240-H240)/H240)</f>
        <v>0</v>
      </c>
      <c r="U240" s="64">
        <f t="shared" ref="U240" si="196">P240-I240</f>
        <v>1.7000000000000001E-2</v>
      </c>
      <c r="V240" s="65">
        <f t="shared" ref="V240" si="197">Q240-J240</f>
        <v>7.1000000000000008E-2</v>
      </c>
    </row>
    <row r="241" spans="1:22" ht="14.4" customHeight="1">
      <c r="A241" s="98"/>
      <c r="B241" s="98"/>
      <c r="C241" s="98" t="s">
        <v>56</v>
      </c>
      <c r="D241" s="98">
        <f>SUM(D236:D240)</f>
        <v>20735268519.028137</v>
      </c>
      <c r="E241" s="98"/>
      <c r="F241" s="98"/>
      <c r="G241" s="98"/>
      <c r="H241" s="98">
        <f>SUM(H236:H240)</f>
        <v>114</v>
      </c>
      <c r="I241" s="98"/>
      <c r="J241" s="98"/>
      <c r="K241" s="98">
        <f>SUM(K236:K240)</f>
        <v>19639536605.41069</v>
      </c>
      <c r="L241" s="47"/>
      <c r="M241" s="98"/>
      <c r="N241" s="98"/>
      <c r="O241" s="98">
        <f>SUM(O236:O240)</f>
        <v>110</v>
      </c>
      <c r="P241" s="98"/>
      <c r="Q241" s="98"/>
      <c r="R241" s="112">
        <f t="shared" si="193"/>
        <v>-5.2843873838042003E-2</v>
      </c>
      <c r="S241" s="98"/>
      <c r="T241" s="98"/>
      <c r="U241" s="98"/>
      <c r="V241" s="98"/>
    </row>
    <row r="242" spans="1:22" ht="6" customHeight="1">
      <c r="A242" s="43"/>
      <c r="B242" s="51"/>
      <c r="C242" s="79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44"/>
    </row>
    <row r="243" spans="1:22" ht="15.6">
      <c r="A243" s="190" t="s">
        <v>290</v>
      </c>
      <c r="B243" s="190"/>
      <c r="C243" s="190"/>
      <c r="D243" s="190"/>
      <c r="E243" s="190"/>
      <c r="F243" s="190"/>
      <c r="G243" s="190"/>
      <c r="H243" s="190"/>
      <c r="I243" s="190"/>
      <c r="J243" s="190"/>
      <c r="K243" s="190"/>
      <c r="L243" s="190"/>
      <c r="M243" s="190"/>
      <c r="N243" s="190"/>
      <c r="O243" s="190"/>
      <c r="P243" s="190"/>
      <c r="Q243" s="190"/>
      <c r="R243" s="190"/>
      <c r="S243" s="190"/>
      <c r="T243" s="190"/>
      <c r="U243" s="190"/>
      <c r="V243" s="190"/>
    </row>
    <row r="244" spans="1:22">
      <c r="A244" s="181">
        <v>1</v>
      </c>
      <c r="B244" s="150" t="s">
        <v>291</v>
      </c>
      <c r="C244" s="149" t="s">
        <v>292</v>
      </c>
      <c r="D244" s="40">
        <v>132461478140</v>
      </c>
      <c r="E244" s="35">
        <f>(D244/$D$246)</f>
        <v>0.89495924043508146</v>
      </c>
      <c r="F244" s="68">
        <v>108.35</v>
      </c>
      <c r="G244" s="68">
        <v>108.35</v>
      </c>
      <c r="H244" s="36">
        <v>0</v>
      </c>
      <c r="I244" s="58">
        <v>0.20979999999999999</v>
      </c>
      <c r="J244" s="58">
        <v>0.20979999999999999</v>
      </c>
      <c r="K244" s="40">
        <v>132461478140</v>
      </c>
      <c r="L244" s="35">
        <f>(K244/$K$246)</f>
        <v>0.91412919206537369</v>
      </c>
      <c r="M244" s="68">
        <v>108.35</v>
      </c>
      <c r="N244" s="68">
        <v>108.35</v>
      </c>
      <c r="O244" s="36">
        <v>0</v>
      </c>
      <c r="P244" s="58">
        <v>0.20979999999999999</v>
      </c>
      <c r="Q244" s="58">
        <v>0.20979999999999999</v>
      </c>
      <c r="R244" s="64">
        <f>((K244-D244)/D244)</f>
        <v>0</v>
      </c>
      <c r="S244" s="64">
        <f>((N244-G244)/G244)</f>
        <v>0</v>
      </c>
      <c r="T244" s="64" t="e">
        <f>((O244-H244)/H244)</f>
        <v>#DIV/0!</v>
      </c>
      <c r="U244" s="64">
        <f>P244-I244</f>
        <v>0</v>
      </c>
      <c r="V244" s="65">
        <f>Q244-J244</f>
        <v>0</v>
      </c>
    </row>
    <row r="245" spans="1:22" ht="14.4" customHeight="1">
      <c r="A245" s="181">
        <v>2</v>
      </c>
      <c r="B245" s="150" t="s">
        <v>293</v>
      </c>
      <c r="C245" s="149" t="s">
        <v>53</v>
      </c>
      <c r="D245" s="40">
        <v>15546913924.43</v>
      </c>
      <c r="E245" s="35">
        <f>(D245/$D$246)</f>
        <v>0.10504075956491862</v>
      </c>
      <c r="F245" s="99">
        <v>1000000</v>
      </c>
      <c r="G245" s="99">
        <v>1000000</v>
      </c>
      <c r="H245" s="36">
        <v>26</v>
      </c>
      <c r="I245" s="58">
        <v>2.006E-3</v>
      </c>
      <c r="J245" s="58">
        <v>0.2006</v>
      </c>
      <c r="K245" s="40">
        <v>12443070680.629999</v>
      </c>
      <c r="L245" s="35">
        <f>(K245/$K$246)</f>
        <v>8.58708079346263E-2</v>
      </c>
      <c r="M245" s="99">
        <v>1000000</v>
      </c>
      <c r="N245" s="99">
        <v>1000000</v>
      </c>
      <c r="O245" s="36">
        <v>26</v>
      </c>
      <c r="P245" s="58">
        <v>0.1701</v>
      </c>
      <c r="Q245" s="58">
        <v>0.1701</v>
      </c>
      <c r="R245" s="64">
        <f>((K245-D245)/D245)</f>
        <v>-0.19964368870163396</v>
      </c>
      <c r="S245" s="64">
        <f>((N245-G245)/G245)</f>
        <v>0</v>
      </c>
      <c r="T245" s="64">
        <f>((O245-H245)/H245)</f>
        <v>0</v>
      </c>
      <c r="U245" s="64">
        <f>P245-I245</f>
        <v>0.16809399999999999</v>
      </c>
      <c r="V245" s="65">
        <f>Q245-J245</f>
        <v>-3.0499999999999999E-2</v>
      </c>
    </row>
    <row r="246" spans="1:22" ht="15" customHeight="1">
      <c r="A246" s="93"/>
      <c r="B246" s="93"/>
      <c r="C246" s="94" t="s">
        <v>294</v>
      </c>
      <c r="D246" s="98">
        <f>SUM(D244:D245)</f>
        <v>148008392064.42999</v>
      </c>
      <c r="E246" s="100"/>
      <c r="F246" s="101"/>
      <c r="G246" s="101"/>
      <c r="H246" s="98">
        <f>SUM(H244:H245)</f>
        <v>26</v>
      </c>
      <c r="I246" s="109"/>
      <c r="J246" s="109"/>
      <c r="K246" s="98">
        <f>SUM(K244:K245)</f>
        <v>144904548820.63</v>
      </c>
      <c r="L246" s="100"/>
      <c r="M246" s="101"/>
      <c r="N246" s="101"/>
      <c r="O246" s="98">
        <f>SUM(O244:O245)</f>
        <v>26</v>
      </c>
      <c r="P246" s="109"/>
      <c r="Q246" s="98"/>
      <c r="R246" s="112">
        <f>((K246-D246)/D246)</f>
        <v>-2.0970724703561702E-2</v>
      </c>
      <c r="S246" s="113"/>
      <c r="T246" s="113"/>
      <c r="U246" s="112"/>
      <c r="V246" s="114"/>
    </row>
    <row r="247" spans="1:22" ht="4.5" customHeight="1">
      <c r="A247" s="43"/>
      <c r="B247" s="191"/>
      <c r="C247" s="191"/>
      <c r="D247" s="191"/>
      <c r="E247" s="191"/>
      <c r="F247" s="191"/>
      <c r="G247" s="191"/>
      <c r="H247" s="191"/>
      <c r="I247" s="191"/>
      <c r="J247" s="191"/>
      <c r="K247" s="191"/>
      <c r="L247" s="191"/>
      <c r="M247" s="191"/>
      <c r="N247" s="191"/>
      <c r="O247" s="191"/>
      <c r="P247" s="191"/>
      <c r="Q247" s="191"/>
      <c r="R247" s="191"/>
      <c r="S247" s="191"/>
      <c r="T247" s="191"/>
      <c r="U247" s="191"/>
      <c r="V247" s="191"/>
    </row>
    <row r="248" spans="1:22" ht="15.6">
      <c r="A248" s="190" t="s">
        <v>295</v>
      </c>
      <c r="B248" s="190"/>
      <c r="C248" s="190"/>
      <c r="D248" s="190"/>
      <c r="E248" s="190"/>
      <c r="F248" s="190"/>
      <c r="G248" s="190"/>
      <c r="H248" s="190"/>
      <c r="I248" s="190"/>
      <c r="J248" s="190"/>
      <c r="K248" s="190"/>
      <c r="L248" s="190"/>
      <c r="M248" s="190"/>
      <c r="N248" s="190"/>
      <c r="O248" s="190"/>
      <c r="P248" s="190"/>
      <c r="Q248" s="190"/>
      <c r="R248" s="190"/>
      <c r="S248" s="190"/>
      <c r="T248" s="190"/>
      <c r="U248" s="190"/>
      <c r="V248" s="190"/>
    </row>
    <row r="249" spans="1:22">
      <c r="A249" s="181">
        <v>1</v>
      </c>
      <c r="B249" s="150" t="s">
        <v>296</v>
      </c>
      <c r="C249" s="149" t="s">
        <v>94</v>
      </c>
      <c r="D249" s="102">
        <v>1706298946.5799999</v>
      </c>
      <c r="E249" s="103">
        <f t="shared" ref="E249:E260" si="198">(D249/$D$261)</f>
        <v>7.9500027096592943E-2</v>
      </c>
      <c r="F249" s="99">
        <v>416.92123807000002</v>
      </c>
      <c r="G249" s="99">
        <v>416.92123807000002</v>
      </c>
      <c r="H249" s="104">
        <v>266</v>
      </c>
      <c r="I249" s="60">
        <v>6.2399999999999997E-2</v>
      </c>
      <c r="J249" s="60">
        <v>0.18110000000000001</v>
      </c>
      <c r="K249" s="102">
        <v>1824971941.99</v>
      </c>
      <c r="L249" s="103">
        <f t="shared" ref="L249:L260" si="199">(K249/$K$261)</f>
        <v>7.9139291413837395E-2</v>
      </c>
      <c r="M249" s="99">
        <v>445.96811843</v>
      </c>
      <c r="N249" s="99">
        <v>445.96811843</v>
      </c>
      <c r="O249" s="104">
        <v>266</v>
      </c>
      <c r="P249" s="60">
        <v>6.9800000000000001E-2</v>
      </c>
      <c r="Q249" s="60">
        <v>0.26340000000000002</v>
      </c>
      <c r="R249" s="64">
        <f>((K249-D249)/D249)</f>
        <v>6.9549943547618606E-2</v>
      </c>
      <c r="S249" s="64">
        <f>((N249-G249)/G249)</f>
        <v>6.966994652146527E-2</v>
      </c>
      <c r="T249" s="64">
        <f>((O249-H249)/H249)</f>
        <v>0</v>
      </c>
      <c r="U249" s="64">
        <f>P249-I249</f>
        <v>7.4000000000000038E-3</v>
      </c>
      <c r="V249" s="65">
        <f>Q249-J249</f>
        <v>8.2300000000000012E-2</v>
      </c>
    </row>
    <row r="250" spans="1:22">
      <c r="A250" s="181">
        <v>2</v>
      </c>
      <c r="B250" s="150" t="s">
        <v>297</v>
      </c>
      <c r="C250" s="149" t="s">
        <v>258</v>
      </c>
      <c r="D250" s="102">
        <v>2508726748.5999999</v>
      </c>
      <c r="E250" s="103">
        <f t="shared" si="198"/>
        <v>0.11688681217989404</v>
      </c>
      <c r="F250" s="99">
        <v>71.36</v>
      </c>
      <c r="G250" s="99">
        <v>78.87</v>
      </c>
      <c r="H250" s="104">
        <v>615</v>
      </c>
      <c r="I250" s="60">
        <v>3.7400000000000003E-2</v>
      </c>
      <c r="J250" s="60">
        <v>0.25040000000000001</v>
      </c>
      <c r="K250" s="102">
        <v>2818237225</v>
      </c>
      <c r="L250" s="103">
        <f t="shared" si="199"/>
        <v>0.12221190468243458</v>
      </c>
      <c r="M250" s="99">
        <v>80.16</v>
      </c>
      <c r="N250" s="99">
        <v>88.6</v>
      </c>
      <c r="O250" s="104">
        <v>615</v>
      </c>
      <c r="P250" s="60">
        <v>9.3299999999999994E-2</v>
      </c>
      <c r="Q250" s="60">
        <v>0.36699999999999999</v>
      </c>
      <c r="R250" s="64">
        <f t="shared" ref="R250:R261" si="200">((K250-D250)/D250)</f>
        <v>0.12337353064566441</v>
      </c>
      <c r="S250" s="64">
        <f t="shared" ref="S250:S261" si="201">((N250-G250)/G250)</f>
        <v>0.12336756688221109</v>
      </c>
      <c r="T250" s="64">
        <f t="shared" ref="T250:T261" si="202">((O250-H250)/H250)</f>
        <v>0</v>
      </c>
      <c r="U250" s="64">
        <f t="shared" ref="U250:U261" si="203">P250-I250</f>
        <v>5.5899999999999991E-2</v>
      </c>
      <c r="V250" s="65">
        <f t="shared" ref="V250:V261" si="204">Q250-J250</f>
        <v>0.11659999999999998</v>
      </c>
    </row>
    <row r="251" spans="1:22">
      <c r="A251" s="181">
        <v>3</v>
      </c>
      <c r="B251" s="150" t="s">
        <v>298</v>
      </c>
      <c r="C251" s="149" t="s">
        <v>44</v>
      </c>
      <c r="D251" s="102">
        <v>587400206.32000005</v>
      </c>
      <c r="E251" s="103">
        <f t="shared" si="198"/>
        <v>2.7368200872762382E-2</v>
      </c>
      <c r="F251" s="99">
        <v>48.94</v>
      </c>
      <c r="G251" s="99">
        <v>49.07</v>
      </c>
      <c r="H251" s="104">
        <v>218</v>
      </c>
      <c r="I251" s="60">
        <v>6.7799999999999999E-2</v>
      </c>
      <c r="J251" s="60">
        <v>0.21049999999999999</v>
      </c>
      <c r="K251" s="102">
        <v>635849071.70000005</v>
      </c>
      <c r="L251" s="103">
        <f t="shared" si="199"/>
        <v>2.7573380073785278E-2</v>
      </c>
      <c r="M251" s="99">
        <v>52.98</v>
      </c>
      <c r="N251" s="99">
        <v>53.12</v>
      </c>
      <c r="O251" s="104">
        <v>218</v>
      </c>
      <c r="P251" s="60">
        <v>8.2500000000000004E-2</v>
      </c>
      <c r="Q251" s="60">
        <v>0.30630000000000002</v>
      </c>
      <c r="R251" s="64">
        <f t="shared" si="200"/>
        <v>8.2480164049527654E-2</v>
      </c>
      <c r="S251" s="64">
        <f t="shared" si="201"/>
        <v>8.2535153861829982E-2</v>
      </c>
      <c r="T251" s="64">
        <f t="shared" si="202"/>
        <v>0</v>
      </c>
      <c r="U251" s="64">
        <f t="shared" si="203"/>
        <v>1.4700000000000005E-2</v>
      </c>
      <c r="V251" s="65">
        <f t="shared" si="204"/>
        <v>9.5800000000000024E-2</v>
      </c>
    </row>
    <row r="252" spans="1:22">
      <c r="A252" s="181">
        <v>4</v>
      </c>
      <c r="B252" s="150" t="s">
        <v>299</v>
      </c>
      <c r="C252" s="149" t="s">
        <v>44</v>
      </c>
      <c r="D252" s="102">
        <v>1156361738.8800001</v>
      </c>
      <c r="E252" s="103">
        <f t="shared" si="198"/>
        <v>5.3877305473746979E-2</v>
      </c>
      <c r="F252" s="99">
        <v>98.2</v>
      </c>
      <c r="G252" s="99">
        <v>98.46</v>
      </c>
      <c r="H252" s="104">
        <v>261</v>
      </c>
      <c r="I252" s="60">
        <v>6.5299999999999997E-2</v>
      </c>
      <c r="J252" s="60">
        <v>0.1787</v>
      </c>
      <c r="K252" s="102">
        <v>1229235496.6300001</v>
      </c>
      <c r="L252" s="103">
        <f t="shared" si="199"/>
        <v>5.330538182299778E-2</v>
      </c>
      <c r="M252" s="99">
        <v>104.383921</v>
      </c>
      <c r="N252" s="99">
        <v>104.67224400000001</v>
      </c>
      <c r="O252" s="104">
        <v>261</v>
      </c>
      <c r="P252" s="60">
        <v>6.3E-2</v>
      </c>
      <c r="Q252" s="60">
        <v>0.25130000000000002</v>
      </c>
      <c r="R252" s="64">
        <f t="shared" si="200"/>
        <v>6.3019862470183624E-2</v>
      </c>
      <c r="S252" s="64">
        <f t="shared" si="201"/>
        <v>6.3094088970140294E-2</v>
      </c>
      <c r="T252" s="64">
        <f t="shared" si="202"/>
        <v>0</v>
      </c>
      <c r="U252" s="64">
        <f t="shared" si="203"/>
        <v>-2.2999999999999965E-3</v>
      </c>
      <c r="V252" s="65">
        <f t="shared" si="204"/>
        <v>7.2600000000000026E-2</v>
      </c>
    </row>
    <row r="253" spans="1:22">
      <c r="A253" s="181">
        <v>5</v>
      </c>
      <c r="B253" s="150" t="s">
        <v>300</v>
      </c>
      <c r="C253" s="149" t="s">
        <v>301</v>
      </c>
      <c r="D253" s="102">
        <v>2103448745.5</v>
      </c>
      <c r="E253" s="103">
        <f t="shared" si="198"/>
        <v>9.8004064644544461E-2</v>
      </c>
      <c r="F253" s="99">
        <v>62250</v>
      </c>
      <c r="G253" s="99">
        <v>69900</v>
      </c>
      <c r="H253" s="104">
        <v>326</v>
      </c>
      <c r="I253" s="60">
        <v>-2E-3</v>
      </c>
      <c r="J253" s="60">
        <v>7.0000000000000007E-2</v>
      </c>
      <c r="K253" s="102">
        <v>2117935664.04</v>
      </c>
      <c r="L253" s="103">
        <f t="shared" si="199"/>
        <v>9.1843564197185451E-2</v>
      </c>
      <c r="M253" s="99">
        <v>61900</v>
      </c>
      <c r="N253" s="99">
        <v>71550</v>
      </c>
      <c r="O253" s="104">
        <v>326</v>
      </c>
      <c r="P253" s="60">
        <v>7.0000000000000001E-3</v>
      </c>
      <c r="Q253" s="60">
        <v>0.08</v>
      </c>
      <c r="R253" s="64">
        <f t="shared" si="200"/>
        <v>6.8872220304832532E-3</v>
      </c>
      <c r="S253" s="64">
        <f t="shared" si="201"/>
        <v>2.3605150214592276E-2</v>
      </c>
      <c r="T253" s="64">
        <f t="shared" si="202"/>
        <v>0</v>
      </c>
      <c r="U253" s="64">
        <f t="shared" si="203"/>
        <v>9.0000000000000011E-3</v>
      </c>
      <c r="V253" s="65">
        <f t="shared" si="204"/>
        <v>9.999999999999995E-3</v>
      </c>
    </row>
    <row r="254" spans="1:22">
      <c r="A254" s="181">
        <v>6</v>
      </c>
      <c r="B254" s="150" t="s">
        <v>302</v>
      </c>
      <c r="C254" s="149" t="s">
        <v>303</v>
      </c>
      <c r="D254" s="102">
        <v>1175418461.1600001</v>
      </c>
      <c r="E254" s="103">
        <f t="shared" si="198"/>
        <v>5.4765197915261313E-2</v>
      </c>
      <c r="F254" s="99">
        <v>14310</v>
      </c>
      <c r="G254" s="99">
        <v>14310</v>
      </c>
      <c r="H254" s="104">
        <v>396</v>
      </c>
      <c r="I254" s="60">
        <v>0.1052</v>
      </c>
      <c r="J254" s="60">
        <v>0.20399999999999999</v>
      </c>
      <c r="K254" s="102">
        <v>1262829141.8499999</v>
      </c>
      <c r="L254" s="103">
        <f t="shared" si="199"/>
        <v>5.4762158893126127E-2</v>
      </c>
      <c r="M254" s="99">
        <v>8492.85</v>
      </c>
      <c r="N254" s="99">
        <v>8492.85</v>
      </c>
      <c r="O254" s="104">
        <v>396</v>
      </c>
      <c r="P254" s="60">
        <v>7.1300000000000002E-2</v>
      </c>
      <c r="Q254" s="60">
        <v>0.2898</v>
      </c>
      <c r="R254" s="64">
        <f t="shared" si="200"/>
        <v>7.4365584324527056E-2</v>
      </c>
      <c r="S254" s="64">
        <f t="shared" si="201"/>
        <v>-0.40650943396226413</v>
      </c>
      <c r="T254" s="64">
        <f t="shared" si="202"/>
        <v>0</v>
      </c>
      <c r="U254" s="64">
        <f t="shared" si="203"/>
        <v>-3.39E-2</v>
      </c>
      <c r="V254" s="65">
        <f t="shared" si="204"/>
        <v>8.5800000000000015E-2</v>
      </c>
    </row>
    <row r="255" spans="1:22">
      <c r="A255" s="181">
        <v>7</v>
      </c>
      <c r="B255" s="150" t="s">
        <v>304</v>
      </c>
      <c r="C255" s="149" t="s">
        <v>303</v>
      </c>
      <c r="D255" s="102">
        <v>1238304875.1700001</v>
      </c>
      <c r="E255" s="103">
        <f t="shared" si="198"/>
        <v>5.7695207118996207E-2</v>
      </c>
      <c r="F255" s="99">
        <v>5610.87</v>
      </c>
      <c r="G255" s="99">
        <v>5610.87</v>
      </c>
      <c r="H255" s="104">
        <v>3283</v>
      </c>
      <c r="I255" s="60">
        <v>7.3099999999999998E-2</v>
      </c>
      <c r="J255" s="60">
        <v>0.1447</v>
      </c>
      <c r="K255" s="102">
        <v>1323779333.27</v>
      </c>
      <c r="L255" s="103">
        <f t="shared" si="199"/>
        <v>5.7405243342554334E-2</v>
      </c>
      <c r="M255" s="99">
        <v>3313.18</v>
      </c>
      <c r="N255" s="99">
        <v>3313.18</v>
      </c>
      <c r="O255" s="104">
        <v>3283</v>
      </c>
      <c r="P255" s="60">
        <v>6.9000000000000006E-2</v>
      </c>
      <c r="Q255" s="60">
        <v>0.2238</v>
      </c>
      <c r="R255" s="64">
        <f t="shared" si="200"/>
        <v>6.902537477958777E-2</v>
      </c>
      <c r="S255" s="64">
        <f t="shared" si="201"/>
        <v>-0.40950690356397496</v>
      </c>
      <c r="T255" s="64">
        <f t="shared" si="202"/>
        <v>0</v>
      </c>
      <c r="U255" s="64">
        <f t="shared" si="203"/>
        <v>-4.0999999999999925E-3</v>
      </c>
      <c r="V255" s="65">
        <f t="shared" si="204"/>
        <v>7.9100000000000004E-2</v>
      </c>
    </row>
    <row r="256" spans="1:22">
      <c r="A256" s="181">
        <v>8</v>
      </c>
      <c r="B256" s="150" t="s">
        <v>305</v>
      </c>
      <c r="C256" s="149" t="s">
        <v>306</v>
      </c>
      <c r="D256" s="102">
        <v>240435509.49000001</v>
      </c>
      <c r="E256" s="103">
        <f t="shared" si="198"/>
        <v>1.1202391912478356E-2</v>
      </c>
      <c r="F256" s="99">
        <v>42.62</v>
      </c>
      <c r="G256" s="99">
        <v>42.72</v>
      </c>
      <c r="H256" s="104">
        <v>549</v>
      </c>
      <c r="I256" s="60">
        <v>0.25819999999999999</v>
      </c>
      <c r="J256" s="60">
        <v>0.69850000000000001</v>
      </c>
      <c r="K256" s="102">
        <v>256893961.72999999</v>
      </c>
      <c r="L256" s="103">
        <f t="shared" si="199"/>
        <v>1.1140119818848734E-2</v>
      </c>
      <c r="M256" s="99">
        <v>45.22</v>
      </c>
      <c r="N256" s="99">
        <v>45.32</v>
      </c>
      <c r="O256" s="104">
        <v>549</v>
      </c>
      <c r="P256" s="60">
        <v>-3.5999999999999999E-3</v>
      </c>
      <c r="Q256" s="60">
        <v>0.69230000000000003</v>
      </c>
      <c r="R256" s="64">
        <f t="shared" si="200"/>
        <v>6.8452668555118334E-2</v>
      </c>
      <c r="S256" s="64">
        <f t="shared" si="201"/>
        <v>6.086142322097382E-2</v>
      </c>
      <c r="T256" s="64">
        <f t="shared" si="202"/>
        <v>0</v>
      </c>
      <c r="U256" s="64">
        <f t="shared" si="203"/>
        <v>-0.26179999999999998</v>
      </c>
      <c r="V256" s="65">
        <f t="shared" si="204"/>
        <v>-6.1999999999999833E-3</v>
      </c>
    </row>
    <row r="257" spans="1:26">
      <c r="A257" s="181">
        <v>9</v>
      </c>
      <c r="B257" s="150" t="s">
        <v>307</v>
      </c>
      <c r="C257" s="149" t="s">
        <v>306</v>
      </c>
      <c r="D257" s="105">
        <v>1133891823.8099999</v>
      </c>
      <c r="E257" s="103">
        <f t="shared" si="198"/>
        <v>5.2830385260554787E-2</v>
      </c>
      <c r="F257" s="99">
        <v>17.73</v>
      </c>
      <c r="G257" s="99">
        <v>16.86</v>
      </c>
      <c r="H257" s="104">
        <v>774</v>
      </c>
      <c r="I257" s="60">
        <v>0.18679999999999999</v>
      </c>
      <c r="J257" s="60">
        <v>0.95069999999999999</v>
      </c>
      <c r="K257" s="105">
        <v>1198470160.3099999</v>
      </c>
      <c r="L257" s="103">
        <f t="shared" si="199"/>
        <v>5.1971253412333947E-2</v>
      </c>
      <c r="M257" s="99">
        <v>18.739999999999998</v>
      </c>
      <c r="N257" s="99">
        <v>18.84</v>
      </c>
      <c r="O257" s="104">
        <v>774</v>
      </c>
      <c r="P257" s="60">
        <v>2.53E-2</v>
      </c>
      <c r="Q257" s="60">
        <v>1</v>
      </c>
      <c r="R257" s="64">
        <f t="shared" si="200"/>
        <v>5.6952819611142236E-2</v>
      </c>
      <c r="S257" s="64">
        <f t="shared" si="201"/>
        <v>0.11743772241992885</v>
      </c>
      <c r="T257" s="64">
        <f t="shared" si="202"/>
        <v>0</v>
      </c>
      <c r="U257" s="64">
        <f t="shared" si="203"/>
        <v>-0.1615</v>
      </c>
      <c r="V257" s="65">
        <f t="shared" si="204"/>
        <v>4.930000000000001E-2</v>
      </c>
    </row>
    <row r="258" spans="1:26" ht="15" customHeight="1">
      <c r="A258" s="181">
        <v>10</v>
      </c>
      <c r="B258" s="150" t="s">
        <v>308</v>
      </c>
      <c r="C258" s="149" t="s">
        <v>306</v>
      </c>
      <c r="D258" s="102">
        <v>190074435.74000001</v>
      </c>
      <c r="E258" s="103">
        <f t="shared" si="198"/>
        <v>8.8559644381115132E-3</v>
      </c>
      <c r="F258" s="99">
        <v>147.94999999999999</v>
      </c>
      <c r="G258" s="99">
        <v>149.94999999999999</v>
      </c>
      <c r="H258" s="104">
        <v>771</v>
      </c>
      <c r="I258" s="60">
        <v>8.9999999999999998E-4</v>
      </c>
      <c r="J258" s="60">
        <v>2.1842999999999999</v>
      </c>
      <c r="K258" s="102">
        <v>190791570.86000001</v>
      </c>
      <c r="L258" s="103">
        <f t="shared" si="199"/>
        <v>8.2736119817430499E-3</v>
      </c>
      <c r="M258" s="99">
        <v>148.51</v>
      </c>
      <c r="N258" s="99">
        <v>150.51</v>
      </c>
      <c r="O258" s="104">
        <v>771</v>
      </c>
      <c r="P258" s="60">
        <v>-0.2772</v>
      </c>
      <c r="Q258" s="60">
        <v>1.3016000000000001</v>
      </c>
      <c r="R258" s="64">
        <f t="shared" si="200"/>
        <v>3.7729172637448374E-3</v>
      </c>
      <c r="S258" s="64">
        <f t="shared" si="201"/>
        <v>3.734578192730926E-3</v>
      </c>
      <c r="T258" s="64">
        <f t="shared" si="202"/>
        <v>0</v>
      </c>
      <c r="U258" s="64">
        <f t="shared" si="203"/>
        <v>-0.27810000000000001</v>
      </c>
      <c r="V258" s="65">
        <f t="shared" si="204"/>
        <v>-0.88269999999999982</v>
      </c>
    </row>
    <row r="259" spans="1:26">
      <c r="A259" s="181">
        <v>11</v>
      </c>
      <c r="B259" s="150" t="s">
        <v>309</v>
      </c>
      <c r="C259" s="149" t="s">
        <v>306</v>
      </c>
      <c r="D259" s="102">
        <v>9242245425.6800003</v>
      </c>
      <c r="E259" s="103">
        <f t="shared" si="198"/>
        <v>0.43061549281714506</v>
      </c>
      <c r="F259" s="99">
        <v>66.2</v>
      </c>
      <c r="G259" s="99">
        <v>66.400000000000006</v>
      </c>
      <c r="H259" s="104">
        <v>1341</v>
      </c>
      <c r="I259" s="60">
        <v>0.1046</v>
      </c>
      <c r="J259" s="60">
        <v>0.47820000000000001</v>
      </c>
      <c r="K259" s="102">
        <v>10006869385.370001</v>
      </c>
      <c r="L259" s="103">
        <f t="shared" si="199"/>
        <v>0.43394450851965144</v>
      </c>
      <c r="M259" s="99">
        <v>70.790000000000006</v>
      </c>
      <c r="N259" s="99">
        <v>70.989999999999995</v>
      </c>
      <c r="O259" s="104">
        <v>1341</v>
      </c>
      <c r="P259" s="60">
        <v>-6.0600000000000001E-2</v>
      </c>
      <c r="Q259" s="60">
        <v>0.3886</v>
      </c>
      <c r="R259" s="64">
        <f t="shared" si="200"/>
        <v>8.2731406111058031E-2</v>
      </c>
      <c r="S259" s="64">
        <f t="shared" si="201"/>
        <v>6.9126506024096215E-2</v>
      </c>
      <c r="T259" s="64">
        <f t="shared" si="202"/>
        <v>0</v>
      </c>
      <c r="U259" s="64">
        <f t="shared" si="203"/>
        <v>-0.16520000000000001</v>
      </c>
      <c r="V259" s="65">
        <f t="shared" si="204"/>
        <v>-8.9600000000000013E-2</v>
      </c>
    </row>
    <row r="260" spans="1:26">
      <c r="A260" s="181">
        <v>12</v>
      </c>
      <c r="B260" s="150" t="s">
        <v>310</v>
      </c>
      <c r="C260" s="149" t="s">
        <v>306</v>
      </c>
      <c r="D260" s="105">
        <v>180265598.91</v>
      </c>
      <c r="E260" s="103">
        <f t="shared" si="198"/>
        <v>8.398950269911944E-3</v>
      </c>
      <c r="F260" s="99">
        <v>66.8</v>
      </c>
      <c r="G260" s="99">
        <v>67</v>
      </c>
      <c r="H260" s="104">
        <v>719</v>
      </c>
      <c r="I260" s="60">
        <v>0.1118</v>
      </c>
      <c r="J260" s="60">
        <v>2.42</v>
      </c>
      <c r="K260" s="105">
        <v>194388275.00999999</v>
      </c>
      <c r="L260" s="103">
        <f t="shared" si="199"/>
        <v>8.4295818415020055E-3</v>
      </c>
      <c r="M260" s="99">
        <v>73.55</v>
      </c>
      <c r="N260" s="99">
        <v>73.75</v>
      </c>
      <c r="O260" s="104">
        <v>719</v>
      </c>
      <c r="P260" s="60">
        <v>-0.16669999999999999</v>
      </c>
      <c r="Q260" s="60">
        <v>1.85</v>
      </c>
      <c r="R260" s="64">
        <f t="shared" si="200"/>
        <v>7.8343711642124947E-2</v>
      </c>
      <c r="S260" s="64">
        <f t="shared" si="201"/>
        <v>0.10074626865671642</v>
      </c>
      <c r="T260" s="64">
        <f t="shared" si="202"/>
        <v>0</v>
      </c>
      <c r="U260" s="64">
        <f t="shared" si="203"/>
        <v>-0.27849999999999997</v>
      </c>
      <c r="V260" s="65">
        <f t="shared" si="204"/>
        <v>-0.56999999999999984</v>
      </c>
    </row>
    <row r="261" spans="1:26">
      <c r="A261" s="115"/>
      <c r="B261" s="115"/>
      <c r="C261" s="116" t="s">
        <v>311</v>
      </c>
      <c r="D261" s="98">
        <f>SUM(D249:D260)</f>
        <v>21462872515.84</v>
      </c>
      <c r="E261" s="100"/>
      <c r="F261" s="100"/>
      <c r="G261" s="101"/>
      <c r="H261" s="98">
        <f>SUM(H249:H260)</f>
        <v>9519</v>
      </c>
      <c r="I261" s="109"/>
      <c r="J261" s="109"/>
      <c r="K261" s="98">
        <f>SUM(K249:K260)</f>
        <v>23060251227.759998</v>
      </c>
      <c r="L261" s="100"/>
      <c r="M261" s="100"/>
      <c r="N261" s="101"/>
      <c r="O261" s="98">
        <f>SUM(O249:O260)</f>
        <v>9519</v>
      </c>
      <c r="P261" s="109"/>
      <c r="Q261" s="109"/>
      <c r="R261" s="64">
        <f t="shared" si="200"/>
        <v>7.442520616665374E-2</v>
      </c>
      <c r="S261" s="64" t="e">
        <f t="shared" si="201"/>
        <v>#DIV/0!</v>
      </c>
      <c r="T261" s="64">
        <f t="shared" si="202"/>
        <v>0</v>
      </c>
      <c r="U261" s="64">
        <f t="shared" si="203"/>
        <v>0</v>
      </c>
      <c r="V261" s="65">
        <f t="shared" si="204"/>
        <v>0</v>
      </c>
      <c r="Z261" s="73"/>
    </row>
    <row r="262" spans="1:26">
      <c r="A262" s="117"/>
      <c r="B262" s="117"/>
      <c r="C262" s="118" t="s">
        <v>312</v>
      </c>
      <c r="D262" s="119">
        <f>SUM(D233,D241,D246,D261)</f>
        <v>8366715511633.8652</v>
      </c>
      <c r="E262" s="120"/>
      <c r="F262" s="120"/>
      <c r="G262" s="121"/>
      <c r="H262" s="119">
        <f>SUM(H233,H241,H246,H261)</f>
        <v>1203074</v>
      </c>
      <c r="I262" s="132"/>
      <c r="J262" s="132"/>
      <c r="K262" s="119">
        <f>SUM(K233,K241,K246,K261)</f>
        <v>8397620231421.5146</v>
      </c>
      <c r="L262" s="120"/>
      <c r="M262" s="120"/>
      <c r="N262" s="119"/>
      <c r="O262" s="119">
        <f>SUM(O233,O241,O246,O261)</f>
        <v>1214275</v>
      </c>
      <c r="P262" s="133"/>
      <c r="Q262" s="119"/>
      <c r="R262" s="137"/>
      <c r="S262" s="138"/>
      <c r="T262" s="138"/>
      <c r="U262" s="139"/>
      <c r="V262" s="139"/>
      <c r="Z262" s="73"/>
    </row>
    <row r="263" spans="1:26">
      <c r="A263" s="122" t="s">
        <v>313</v>
      </c>
      <c r="B263" s="123" t="s">
        <v>337</v>
      </c>
      <c r="C263" s="124"/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124"/>
      <c r="O263" s="124"/>
      <c r="P263" s="124"/>
      <c r="Q263" s="124"/>
      <c r="R263" s="124"/>
      <c r="S263" s="124"/>
      <c r="T263" s="124"/>
      <c r="U263" s="124"/>
      <c r="V263" s="124"/>
    </row>
    <row r="264" spans="1:26">
      <c r="B264" s="125"/>
    </row>
    <row r="265" spans="1:26">
      <c r="B265" s="125"/>
      <c r="C265" s="126"/>
      <c r="D265" s="127"/>
      <c r="K265" s="127"/>
    </row>
    <row r="266" spans="1:26" ht="15">
      <c r="B266" s="128"/>
      <c r="C266" s="129"/>
      <c r="D266" s="130"/>
      <c r="F266" s="131"/>
      <c r="G266" s="131"/>
      <c r="I266" s="134"/>
      <c r="J266" s="135"/>
    </row>
    <row r="267" spans="1:26">
      <c r="C267" s="125"/>
    </row>
    <row r="268" spans="1:26">
      <c r="K268" s="111"/>
    </row>
    <row r="269" spans="1:26">
      <c r="B269" s="126"/>
    </row>
    <row r="270" spans="1:26">
      <c r="K270" s="136"/>
    </row>
  </sheetData>
  <sheetProtection algorithmName="SHA-512" hashValue="RBt31bSawaMvXU88irou6NBQ3Het6n2EAIdIZse3Vk6RFnsFI3fODY4U9UVG4mAgMQrpLaC7xWp+J0QgP0bhug==" saltValue="5C6j7mKiEbMsTpLUBtJYng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7:V27"/>
    <mergeCell ref="A28:V28"/>
    <mergeCell ref="B74:V74"/>
    <mergeCell ref="A75:V75"/>
    <mergeCell ref="B116:V116"/>
    <mergeCell ref="A117:V117"/>
    <mergeCell ref="A118:V118"/>
    <mergeCell ref="B136:V136"/>
    <mergeCell ref="A137:V137"/>
    <mergeCell ref="B158:V158"/>
    <mergeCell ref="A159:V159"/>
    <mergeCell ref="B167:V167"/>
    <mergeCell ref="A168:V168"/>
    <mergeCell ref="B199:V199"/>
    <mergeCell ref="A200:V200"/>
    <mergeCell ref="B205:V205"/>
    <mergeCell ref="A206:V206"/>
    <mergeCell ref="A207:V207"/>
    <mergeCell ref="A235:V235"/>
    <mergeCell ref="A243:V243"/>
    <mergeCell ref="B247:V247"/>
    <mergeCell ref="A248:V248"/>
    <mergeCell ref="B210:V210"/>
    <mergeCell ref="A211:V211"/>
    <mergeCell ref="B226:V226"/>
    <mergeCell ref="A227:V227"/>
    <mergeCell ref="B234:U234"/>
  </mergeCells>
  <pageMargins left="0.7" right="0.7" top="0.75" bottom="0.75" header="0.3" footer="0.3"/>
  <pageSetup paperSize="9" orientation="portrait" horizontalDpi="300" verticalDpi="300" r:id="rId1"/>
  <ignoredErrors>
    <ignoredError sqref="E100 E80 L51 L35 E35 L142 E142" formula="1"/>
    <ignoredError sqref="S166 S26 S73 S115 S157 S198 S204 S232 S261 T244:T245 R52:T52 R142 R130:T130 R47:T4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H9" sqref="H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E1" s="15"/>
      <c r="F1" s="20"/>
      <c r="G1" s="20"/>
      <c r="H1" s="20"/>
    </row>
    <row r="2" spans="1:8" ht="27.6">
      <c r="A2" s="165" t="s">
        <v>314</v>
      </c>
      <c r="B2" s="166" t="s">
        <v>334</v>
      </c>
      <c r="C2" s="166" t="s">
        <v>338</v>
      </c>
      <c r="D2" s="167"/>
      <c r="E2" s="15"/>
      <c r="F2" s="20"/>
      <c r="G2" s="20"/>
      <c r="H2" s="20"/>
    </row>
    <row r="3" spans="1:8">
      <c r="A3" s="168" t="s">
        <v>18</v>
      </c>
      <c r="B3" s="169">
        <f t="shared" ref="B3:C10" si="0">B13</f>
        <v>119.8491439427295</v>
      </c>
      <c r="C3" s="169">
        <f t="shared" si="0"/>
        <v>139.85715441589801</v>
      </c>
      <c r="D3" s="167"/>
      <c r="E3" s="15"/>
      <c r="F3" s="20"/>
      <c r="G3" s="20"/>
      <c r="H3" s="20"/>
    </row>
    <row r="4" spans="1:8" ht="15.6" customHeight="1">
      <c r="A4" s="165" t="s">
        <v>57</v>
      </c>
      <c r="B4" s="170">
        <f t="shared" si="0"/>
        <v>5255.3168160080068</v>
      </c>
      <c r="C4" s="170">
        <f t="shared" si="0"/>
        <v>5272.9684753521688</v>
      </c>
      <c r="D4" s="167"/>
      <c r="E4" s="15"/>
      <c r="F4" s="20"/>
      <c r="G4" s="20"/>
      <c r="H4" s="20"/>
    </row>
    <row r="5" spans="1:8" ht="16.2" customHeight="1">
      <c r="A5" s="165" t="s">
        <v>315</v>
      </c>
      <c r="B5" s="169">
        <f t="shared" si="0"/>
        <v>244.64717030383531</v>
      </c>
      <c r="C5" s="169">
        <f t="shared" si="0"/>
        <v>244.28472303470218</v>
      </c>
      <c r="D5" s="167"/>
      <c r="E5" s="15"/>
      <c r="F5" s="20"/>
      <c r="G5" s="20"/>
      <c r="H5" s="20"/>
    </row>
    <row r="6" spans="1:8">
      <c r="A6" s="165" t="s">
        <v>174</v>
      </c>
      <c r="B6" s="170">
        <f t="shared" si="0"/>
        <v>1840.4725900320491</v>
      </c>
      <c r="C6" s="170">
        <f t="shared" si="0"/>
        <v>1821.0807189042509</v>
      </c>
      <c r="D6" s="167"/>
      <c r="E6" s="15"/>
      <c r="F6" s="20"/>
      <c r="G6" s="20"/>
      <c r="H6" s="20"/>
    </row>
    <row r="7" spans="1:8">
      <c r="A7" s="165" t="s">
        <v>316</v>
      </c>
      <c r="B7" s="169">
        <f t="shared" si="0"/>
        <v>505.37055932113532</v>
      </c>
      <c r="C7" s="169">
        <f t="shared" si="0"/>
        <v>505.88262716335652</v>
      </c>
      <c r="D7" s="167"/>
      <c r="E7" s="15"/>
      <c r="F7" s="20"/>
      <c r="G7" s="20"/>
      <c r="H7" s="20"/>
    </row>
    <row r="8" spans="1:8">
      <c r="A8" s="165" t="s">
        <v>219</v>
      </c>
      <c r="B8" s="171">
        <f t="shared" si="0"/>
        <v>104.17887105563953</v>
      </c>
      <c r="C8" s="171">
        <f t="shared" si="0"/>
        <v>112.02289974221411</v>
      </c>
      <c r="D8" s="167"/>
      <c r="E8" s="15"/>
      <c r="F8" s="20"/>
      <c r="G8" s="20"/>
      <c r="H8" s="20"/>
    </row>
    <row r="9" spans="1:8">
      <c r="A9" s="165" t="s">
        <v>251</v>
      </c>
      <c r="B9" s="169">
        <f t="shared" si="0"/>
        <v>12.237483860206492</v>
      </c>
      <c r="C9" s="169">
        <f t="shared" si="0"/>
        <v>13.49048332185987</v>
      </c>
      <c r="D9" s="167"/>
      <c r="E9" s="15"/>
      <c r="F9" s="20"/>
      <c r="G9" s="20"/>
      <c r="H9" s="20"/>
    </row>
    <row r="10" spans="1:8">
      <c r="A10" s="165" t="s">
        <v>317</v>
      </c>
      <c r="B10" s="169">
        <f t="shared" si="0"/>
        <v>94.436344010965371</v>
      </c>
      <c r="C10" s="169">
        <f t="shared" si="0"/>
        <v>100.42881283326227</v>
      </c>
      <c r="D10" s="167"/>
      <c r="E10" s="15"/>
      <c r="F10" s="20"/>
      <c r="G10" s="20"/>
      <c r="H10" s="20"/>
    </row>
    <row r="11" spans="1:8">
      <c r="A11" s="165" t="s">
        <v>284</v>
      </c>
      <c r="B11" s="169">
        <f>B21</f>
        <v>20.735268519028136</v>
      </c>
      <c r="C11" s="169">
        <f>C21</f>
        <v>19.63953660541069</v>
      </c>
      <c r="D11" s="167"/>
      <c r="E11" s="15"/>
      <c r="F11" s="20"/>
      <c r="G11" s="20"/>
      <c r="H11" s="20"/>
    </row>
    <row r="12" spans="1:8">
      <c r="E12" s="15"/>
      <c r="F12" s="20"/>
      <c r="G12" s="20"/>
      <c r="H12" s="20"/>
    </row>
    <row r="13" spans="1:8">
      <c r="A13" s="172" t="s">
        <v>18</v>
      </c>
      <c r="B13" s="173">
        <f>'Weekly Valuation'!D26/1000000000</f>
        <v>119.8491439427295</v>
      </c>
      <c r="C13" s="174">
        <f>'Weekly Valuation'!K26/1000000000</f>
        <v>139.85715441589801</v>
      </c>
      <c r="E13" s="15"/>
      <c r="F13" s="20"/>
      <c r="G13" s="20"/>
      <c r="H13" s="20"/>
    </row>
    <row r="14" spans="1:8">
      <c r="A14" s="175" t="s">
        <v>57</v>
      </c>
      <c r="B14" s="173">
        <f>'Weekly Valuation'!D73/1000000000</f>
        <v>5255.3168160080068</v>
      </c>
      <c r="C14" s="176">
        <f>'Weekly Valuation'!K73/1000000000</f>
        <v>5272.9684753521688</v>
      </c>
      <c r="E14" s="15"/>
      <c r="F14" s="20"/>
      <c r="G14" s="20"/>
      <c r="H14" s="20"/>
    </row>
    <row r="15" spans="1:8">
      <c r="A15" s="175" t="s">
        <v>315</v>
      </c>
      <c r="B15" s="173">
        <f>'Weekly Valuation'!D115/1000000000</f>
        <v>244.64717030383531</v>
      </c>
      <c r="C15" s="174">
        <f>'Weekly Valuation'!K115/1000000000</f>
        <v>244.28472303470218</v>
      </c>
      <c r="E15" s="15"/>
      <c r="F15" s="20"/>
      <c r="G15" s="20"/>
      <c r="H15" s="20"/>
    </row>
    <row r="16" spans="1:8">
      <c r="A16" s="175" t="s">
        <v>174</v>
      </c>
      <c r="B16" s="173">
        <f>'Weekly Valuation'!D157/1000000000</f>
        <v>1840.4725900320491</v>
      </c>
      <c r="C16" s="176">
        <f>'Weekly Valuation'!K157/1000000000</f>
        <v>1821.0807189042509</v>
      </c>
      <c r="E16" s="15"/>
      <c r="F16" s="20"/>
      <c r="G16" s="20"/>
      <c r="H16" s="20"/>
    </row>
    <row r="17" spans="1:8">
      <c r="A17" s="175" t="s">
        <v>316</v>
      </c>
      <c r="B17" s="173">
        <f>'Weekly Valuation'!D166/1000000000</f>
        <v>505.37055932113532</v>
      </c>
      <c r="C17" s="174">
        <f>'Weekly Valuation'!K166/1000000000</f>
        <v>505.88262716335652</v>
      </c>
      <c r="E17" s="15"/>
      <c r="F17" s="20"/>
      <c r="G17" s="20"/>
      <c r="H17" s="20"/>
    </row>
    <row r="18" spans="1:8">
      <c r="A18" s="175" t="s">
        <v>219</v>
      </c>
      <c r="B18" s="173">
        <f>'Weekly Valuation'!D198/1000000000</f>
        <v>104.17887105563953</v>
      </c>
      <c r="C18" s="177">
        <f>'Weekly Valuation'!K198/1000000000</f>
        <v>112.02289974221411</v>
      </c>
      <c r="E18" s="15"/>
      <c r="F18" s="20"/>
      <c r="G18" s="20"/>
      <c r="H18" s="20"/>
    </row>
    <row r="19" spans="1:8">
      <c r="A19" s="175" t="s">
        <v>251</v>
      </c>
      <c r="B19" s="173">
        <f>'Weekly Valuation'!D204/1000000000</f>
        <v>12.237483860206492</v>
      </c>
      <c r="C19" s="174">
        <f>'Weekly Valuation'!K204/1000000000</f>
        <v>13.49048332185987</v>
      </c>
      <c r="E19" s="15"/>
      <c r="F19" s="20"/>
      <c r="G19" s="20"/>
      <c r="H19" s="20"/>
    </row>
    <row r="20" spans="1:8">
      <c r="A20" s="175" t="s">
        <v>317</v>
      </c>
      <c r="B20" s="173">
        <f>'Weekly Valuation'!D232/1000000000</f>
        <v>94.436344010965371</v>
      </c>
      <c r="C20" s="174">
        <f>'Weekly Valuation'!K232/1000000000</f>
        <v>100.42881283326227</v>
      </c>
      <c r="E20" s="15"/>
      <c r="F20" s="20"/>
      <c r="G20" s="20"/>
      <c r="H20" s="20"/>
    </row>
    <row r="21" spans="1:8">
      <c r="A21" s="175" t="s">
        <v>284</v>
      </c>
      <c r="B21" s="173">
        <f>'Weekly Valuation'!D241/1000000000</f>
        <v>20.735268519028136</v>
      </c>
      <c r="C21" s="174">
        <f>'Weekly Valuation'!K241/1000000000</f>
        <v>19.63953660541069</v>
      </c>
      <c r="E21" s="15"/>
      <c r="F21" s="20"/>
      <c r="G21" s="20"/>
      <c r="H21" s="20"/>
    </row>
    <row r="22" spans="1:8">
      <c r="A22" s="23"/>
      <c r="C22" s="21"/>
      <c r="E22" s="15"/>
      <c r="F22" s="20"/>
      <c r="G22" s="20"/>
      <c r="H22" s="20"/>
    </row>
    <row r="23" spans="1:8">
      <c r="A23" s="23"/>
      <c r="B23" s="21"/>
      <c r="C23" s="22"/>
      <c r="E23" s="15"/>
      <c r="F23" s="20"/>
      <c r="G23" s="20"/>
      <c r="H23" s="20"/>
    </row>
    <row r="24" spans="1:8">
      <c r="A24" s="23"/>
      <c r="B24" s="21"/>
      <c r="C24" s="21"/>
      <c r="F24" s="20"/>
      <c r="G24" s="20"/>
      <c r="H24" s="20"/>
    </row>
    <row r="25" spans="1:8">
      <c r="A25" s="23"/>
      <c r="B25" s="21"/>
      <c r="C25" s="21"/>
      <c r="F25" s="20"/>
      <c r="G25" s="20"/>
      <c r="H25" s="20"/>
    </row>
    <row r="26" spans="1:8">
      <c r="A26" s="23"/>
      <c r="B26" s="21"/>
      <c r="C26" s="21"/>
      <c r="F26" s="20"/>
      <c r="G26" s="20"/>
      <c r="H26" s="20"/>
    </row>
    <row r="27" spans="1:8">
      <c r="A27" s="23"/>
      <c r="B27" s="21"/>
      <c r="C27" s="21"/>
      <c r="F27" s="20"/>
      <c r="G27" s="20"/>
      <c r="H27" s="20"/>
    </row>
    <row r="28" spans="1:8">
      <c r="F28" s="20"/>
      <c r="G28" s="20"/>
      <c r="H28" s="20"/>
    </row>
    <row r="29" spans="1:8">
      <c r="F29" s="20"/>
      <c r="G29" s="20"/>
      <c r="H29" s="20"/>
    </row>
  </sheetData>
  <sheetProtection algorithmName="SHA-512" hashValue="/mbhCaF9OZs287YYSnRssIEzQNao6gGtgx0Q8p4qPk+ezN/t5tvWZ4KJHaNlaujlHG2EiWNgynLpJTvt+/ZF1Q==" saltValue="TZjTT7OAoCDk9P3/Eemex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I13" sqref="I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59" t="s">
        <v>314</v>
      </c>
      <c r="B1" s="160">
        <v>46073</v>
      </c>
      <c r="C1" s="161"/>
      <c r="D1" s="20"/>
      <c r="E1" s="20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2" t="s">
        <v>251</v>
      </c>
      <c r="B2" s="21">
        <f>'Weekly Valuation'!K204</f>
        <v>13490483321.859869</v>
      </c>
      <c r="C2" s="161"/>
      <c r="D2" s="20"/>
      <c r="E2" s="20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62" t="s">
        <v>284</v>
      </c>
      <c r="B3" s="21">
        <f>'Weekly Valuation'!K241</f>
        <v>19639536605.41069</v>
      </c>
      <c r="C3" s="161"/>
      <c r="D3" s="20"/>
      <c r="E3" s="2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62" t="s">
        <v>18</v>
      </c>
      <c r="B4" s="21">
        <f>'Weekly Valuation'!K26</f>
        <v>139857154415.89801</v>
      </c>
      <c r="C4" s="161"/>
      <c r="D4" s="20"/>
      <c r="E4" s="20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62" t="s">
        <v>317</v>
      </c>
      <c r="B5" s="22">
        <f>'Weekly Valuation'!K232</f>
        <v>100428812833.26227</v>
      </c>
      <c r="C5" s="161"/>
      <c r="D5" s="20"/>
      <c r="E5" s="20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62" t="s">
        <v>219</v>
      </c>
      <c r="B6" s="21">
        <f>'Weekly Valuation'!K198</f>
        <v>112022899742.21411</v>
      </c>
      <c r="C6" s="161"/>
      <c r="D6" s="20"/>
      <c r="E6" s="20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62" t="s">
        <v>316</v>
      </c>
      <c r="B7" s="21">
        <f>'Weekly Valuation'!K166</f>
        <v>505882627163.35651</v>
      </c>
      <c r="C7" s="161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62" t="s">
        <v>315</v>
      </c>
      <c r="B8" s="21">
        <f>'Weekly Valuation'!K115</f>
        <v>244284723034.70218</v>
      </c>
      <c r="C8" s="161"/>
      <c r="D8" s="20"/>
      <c r="E8" s="20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62" t="s">
        <v>174</v>
      </c>
      <c r="B9" s="163">
        <f>'Weekly Valuation'!K157</f>
        <v>1821080718904.251</v>
      </c>
      <c r="C9" s="161"/>
      <c r="D9" s="20"/>
      <c r="E9" s="20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62" t="s">
        <v>57</v>
      </c>
      <c r="B10" s="163">
        <f>'Weekly Valuation'!K73</f>
        <v>5272968475352.1689</v>
      </c>
      <c r="C10" s="161"/>
      <c r="D10" s="20"/>
      <c r="E10" s="20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61"/>
      <c r="B11" s="161"/>
      <c r="C11" s="161"/>
      <c r="D11" s="20"/>
      <c r="E11" s="20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62"/>
      <c r="B12" s="164"/>
      <c r="C12" s="161"/>
      <c r="D12" s="20"/>
      <c r="E12" s="20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89"/>
      <c r="B13" s="188"/>
      <c r="C13" s="188"/>
      <c r="D13" s="15"/>
      <c r="E13" s="20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79"/>
      <c r="B14" s="179"/>
      <c r="C14" s="188"/>
      <c r="D14" s="15"/>
      <c r="E14" s="2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179"/>
      <c r="B15" s="179"/>
      <c r="C15" s="15"/>
      <c r="D15" s="15"/>
      <c r="E15" s="20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178"/>
      <c r="B16" s="187"/>
      <c r="C16" s="15"/>
      <c r="D16" s="15"/>
      <c r="E16" s="20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79"/>
      <c r="B17" s="179"/>
      <c r="C17" s="15"/>
      <c r="D17" s="15"/>
      <c r="E17" s="20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79"/>
      <c r="B18" s="179"/>
      <c r="C18" s="15"/>
      <c r="D18" s="15"/>
      <c r="E18" s="20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80"/>
      <c r="B19" s="17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80"/>
      <c r="B20" s="18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80"/>
      <c r="B21" s="18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78"/>
      <c r="B22" s="180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80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200"/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4"/>
    </row>
    <row r="34" spans="1:17" ht="15" customHeight="1">
      <c r="A34" s="200"/>
      <c r="B34" s="200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4"/>
    </row>
  </sheetData>
  <sheetProtection algorithmName="SHA-512" hashValue="UNoDYupvWQNt9f9WN+5FGNANkvbdyxNxdn7QOEonSE7wlBl/JwlVaGW5qTcitcjXDzx7SnZyyq9Nl3wFvBT6vg==" saltValue="/Ns33iivsgAaz1RlN2v49Q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D8" sqref="D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20"/>
      <c r="N1" s="15"/>
      <c r="O1" s="153"/>
    </row>
    <row r="2" spans="1:15">
      <c r="A2" s="154" t="s">
        <v>318</v>
      </c>
      <c r="B2" s="155">
        <v>46024</v>
      </c>
      <c r="C2" s="155">
        <v>46031</v>
      </c>
      <c r="D2" s="155">
        <v>46038</v>
      </c>
      <c r="E2" s="155">
        <v>46045</v>
      </c>
      <c r="F2" s="155">
        <v>46052</v>
      </c>
      <c r="G2" s="155">
        <v>46059</v>
      </c>
      <c r="H2" s="155">
        <v>46066</v>
      </c>
      <c r="I2" s="155">
        <v>46073</v>
      </c>
      <c r="J2" s="20"/>
      <c r="K2" s="15"/>
      <c r="L2" s="15"/>
      <c r="M2" s="20"/>
      <c r="N2" s="15"/>
      <c r="O2" s="153"/>
    </row>
    <row r="3" spans="1:15">
      <c r="A3" s="154" t="s">
        <v>319</v>
      </c>
      <c r="B3" s="156">
        <f t="shared" ref="B3:I3" si="0">B4</f>
        <v>7797.3820775891299</v>
      </c>
      <c r="C3" s="156">
        <f t="shared" si="0"/>
        <v>7922.6135885840922</v>
      </c>
      <c r="D3" s="156">
        <f t="shared" si="0"/>
        <v>8029.3427073122812</v>
      </c>
      <c r="E3" s="156">
        <f t="shared" si="0"/>
        <v>8056.134516783889</v>
      </c>
      <c r="F3" s="156">
        <f t="shared" si="0"/>
        <v>8081.3813988736874</v>
      </c>
      <c r="G3" s="156">
        <f t="shared" si="0"/>
        <v>8107.597332853632</v>
      </c>
      <c r="H3" s="156">
        <f t="shared" si="0"/>
        <v>8197.2442470535952</v>
      </c>
      <c r="I3" s="156">
        <f t="shared" si="0"/>
        <v>8229.6554313731249</v>
      </c>
      <c r="J3" s="20"/>
      <c r="K3" s="15"/>
      <c r="L3" s="15"/>
      <c r="M3" s="20"/>
      <c r="N3" s="15"/>
      <c r="O3" s="153"/>
    </row>
    <row r="4" spans="1:15">
      <c r="A4" s="20"/>
      <c r="B4" s="157">
        <f>'NAV Trend'!C11/1000000000</f>
        <v>7797.3820775891299</v>
      </c>
      <c r="C4" s="157">
        <f>'NAV Trend'!D11/1000000000</f>
        <v>7922.6135885840922</v>
      </c>
      <c r="D4" s="157">
        <f>'NAV Trend'!E11/1000000000</f>
        <v>8029.3427073122812</v>
      </c>
      <c r="E4" s="157">
        <f>'NAV Trend'!F11/1000000000</f>
        <v>8056.134516783889</v>
      </c>
      <c r="F4" s="157">
        <f>'NAV Trend'!G11/1000000000</f>
        <v>8081.3813988736874</v>
      </c>
      <c r="G4" s="157">
        <f>'NAV Trend'!H11/1000000000</f>
        <v>8107.597332853632</v>
      </c>
      <c r="H4" s="158">
        <f>'NAV Trend'!I11/1000000000</f>
        <v>8197.2442470535952</v>
      </c>
      <c r="I4" s="158">
        <f>'NAV Trend'!J11/1000000000</f>
        <v>8229.6554313731249</v>
      </c>
      <c r="J4" s="20"/>
      <c r="K4" s="15"/>
      <c r="L4" s="15"/>
      <c r="M4" s="20"/>
      <c r="N4" s="15"/>
      <c r="O4" s="153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20"/>
      <c r="N5" s="15"/>
      <c r="O5" s="153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15"/>
      <c r="M6" s="20"/>
      <c r="N6" s="15"/>
      <c r="O6" s="153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15"/>
      <c r="L7" s="15"/>
      <c r="M7" s="20"/>
      <c r="N7" s="15"/>
      <c r="O7" s="153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20"/>
      <c r="N8" s="15"/>
      <c r="O8" s="153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3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3"/>
      <c r="O10" s="153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3"/>
      <c r="O11" s="153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3"/>
      <c r="O12" s="153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3"/>
      <c r="O13" s="153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3"/>
      <c r="O14" s="153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3"/>
      <c r="O15" s="153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3"/>
      <c r="N16" s="153"/>
      <c r="O16" s="153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3"/>
      <c r="N17" s="153"/>
      <c r="O17" s="153"/>
    </row>
    <row r="18" spans="1:15"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spans="1:15"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spans="1:15"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</sheetData>
  <sheetProtection algorithmName="SHA-512" hashValue="4rGJMOksTX2+cI3fUadC13awPXnMDJkFP9Vl3iQ8gxuApmZ269b4XkzvjMwB5VBHb7zIpYSt0jpU42tkvnzKlg==" saltValue="6cPDK23gscW7kRwVP7W+t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F8" sqref="F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43"/>
    </row>
    <row r="2" spans="1:16">
      <c r="A2" s="154" t="s">
        <v>318</v>
      </c>
      <c r="B2" s="155">
        <v>46024</v>
      </c>
      <c r="C2" s="155">
        <v>46031</v>
      </c>
      <c r="D2" s="155">
        <v>46038</v>
      </c>
      <c r="E2" s="155">
        <v>46045</v>
      </c>
      <c r="F2" s="155">
        <v>46052</v>
      </c>
      <c r="G2" s="155">
        <v>46059</v>
      </c>
      <c r="H2" s="155">
        <v>46066</v>
      </c>
      <c r="I2" s="155">
        <v>46073</v>
      </c>
      <c r="J2" s="20"/>
      <c r="K2" s="20"/>
      <c r="L2" s="20"/>
      <c r="M2" s="20"/>
      <c r="N2" s="20"/>
      <c r="O2" s="20"/>
      <c r="P2" s="143"/>
    </row>
    <row r="3" spans="1:16">
      <c r="A3" s="154" t="s">
        <v>320</v>
      </c>
      <c r="B3" s="156">
        <f t="shared" ref="B3:I3" si="0">B4</f>
        <v>18.294657025999999</v>
      </c>
      <c r="C3" s="156">
        <f t="shared" si="0"/>
        <v>18.629129376529999</v>
      </c>
      <c r="D3" s="156">
        <f t="shared" si="0"/>
        <v>19.377061801090001</v>
      </c>
      <c r="E3" s="156">
        <f t="shared" si="0"/>
        <v>19.447744548879999</v>
      </c>
      <c r="F3" s="156">
        <f t="shared" si="0"/>
        <v>19.641137987049994</v>
      </c>
      <c r="G3" s="156">
        <f t="shared" si="0"/>
        <v>20.41173907228</v>
      </c>
      <c r="H3" s="156">
        <f t="shared" si="0"/>
        <v>21.462872515840001</v>
      </c>
      <c r="I3" s="156">
        <f t="shared" si="0"/>
        <v>23.060251227759998</v>
      </c>
      <c r="J3" s="20"/>
      <c r="K3" s="20"/>
      <c r="L3" s="20"/>
      <c r="M3" s="20"/>
      <c r="N3" s="20"/>
      <c r="O3" s="20"/>
      <c r="P3" s="143"/>
    </row>
    <row r="4" spans="1:16">
      <c r="A4" s="20"/>
      <c r="B4" s="157">
        <f>'NAV Trend'!C17/1000000000</f>
        <v>18.294657025999999</v>
      </c>
      <c r="C4" s="157">
        <f>'NAV Trend'!D17/1000000000</f>
        <v>18.629129376529999</v>
      </c>
      <c r="D4" s="157">
        <f>'NAV Trend'!E17/1000000000</f>
        <v>19.377061801090001</v>
      </c>
      <c r="E4" s="157">
        <f>'NAV Trend'!F17/1000000000</f>
        <v>19.447744548879999</v>
      </c>
      <c r="F4" s="157">
        <f>'NAV Trend'!G17/1000000000</f>
        <v>19.641137987049994</v>
      </c>
      <c r="G4" s="157">
        <f>'NAV Trend'!H17/1000000000</f>
        <v>20.41173907228</v>
      </c>
      <c r="H4" s="157">
        <f>'NAV Trend'!I17/1000000000</f>
        <v>21.462872515840001</v>
      </c>
      <c r="I4" s="158">
        <f>'NAV Trend'!J17/1000000000</f>
        <v>23.060251227759998</v>
      </c>
      <c r="J4" s="20"/>
      <c r="K4" s="20"/>
      <c r="L4" s="20"/>
      <c r="M4" s="20"/>
      <c r="N4" s="20"/>
      <c r="O4" s="20"/>
      <c r="P4" s="143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143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20"/>
      <c r="L7" s="20"/>
      <c r="M7" s="20"/>
      <c r="N7" s="20"/>
      <c r="O7" s="20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20"/>
      <c r="L8" s="20"/>
      <c r="M8" s="20"/>
      <c r="N8" s="20"/>
      <c r="O8" s="20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20"/>
      <c r="L9" s="20"/>
      <c r="M9" s="20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41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41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41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41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41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41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41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41"/>
    </row>
    <row r="18" spans="1:15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spans="1:15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spans="1:15">
      <c r="A20" s="141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</sheetData>
  <sheetProtection algorithmName="SHA-512" hashValue="HWflS9sJZFagtd37ZXmRyVSQS4bwRDrqbbwzPOEz+xcWaPhqfuRzTA3n1HyOHInjdl70zF7tGV8mxjyurJ2lug==" saltValue="bHf2k5oXJ++hblYnW3tYi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H19" sqref="H19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314</v>
      </c>
      <c r="B1" s="2">
        <v>46015</v>
      </c>
      <c r="C1" s="2">
        <v>46024</v>
      </c>
      <c r="D1" s="2">
        <v>46031</v>
      </c>
      <c r="E1" s="2">
        <v>46038</v>
      </c>
      <c r="F1" s="2">
        <v>46045</v>
      </c>
      <c r="G1" s="2">
        <v>46052</v>
      </c>
      <c r="H1" s="2">
        <v>46059</v>
      </c>
      <c r="I1" s="2">
        <v>46066</v>
      </c>
      <c r="J1" s="2">
        <v>46073</v>
      </c>
    </row>
    <row r="2" spans="1:11">
      <c r="A2" s="3" t="s">
        <v>18</v>
      </c>
      <c r="B2" s="4">
        <v>79641660217.847488</v>
      </c>
      <c r="C2" s="4">
        <v>81634147241.387192</v>
      </c>
      <c r="D2" s="4">
        <v>88746718359.350891</v>
      </c>
      <c r="E2" s="4">
        <v>93935595234.247498</v>
      </c>
      <c r="F2" s="4">
        <v>97343280758.238815</v>
      </c>
      <c r="G2" s="4">
        <v>100449483893.22079</v>
      </c>
      <c r="H2" s="4">
        <v>106635929371.092</v>
      </c>
      <c r="I2" s="4">
        <v>119849143942.72949</v>
      </c>
      <c r="J2" s="4">
        <v>139857154415.89801</v>
      </c>
    </row>
    <row r="3" spans="1:11">
      <c r="A3" s="3" t="s">
        <v>57</v>
      </c>
      <c r="B3" s="4">
        <v>4744967555037.585</v>
      </c>
      <c r="C3" s="4">
        <v>4861697321728.9277</v>
      </c>
      <c r="D3" s="4">
        <v>4966755962611.584</v>
      </c>
      <c r="E3" s="4">
        <v>5059951065309.5</v>
      </c>
      <c r="F3" s="4">
        <v>5108518173049.8516</v>
      </c>
      <c r="G3" s="4">
        <v>5168017665961.8213</v>
      </c>
      <c r="H3" s="4">
        <v>5200745752031.0068</v>
      </c>
      <c r="I3" s="4">
        <v>5255316816008.0068</v>
      </c>
      <c r="J3" s="4">
        <v>5272968475352.1689</v>
      </c>
    </row>
    <row r="4" spans="1:11">
      <c r="A4" s="3" t="s">
        <v>315</v>
      </c>
      <c r="B4" s="5">
        <v>237258742107.80859</v>
      </c>
      <c r="C4" s="5">
        <v>241491021912.76636</v>
      </c>
      <c r="D4" s="5">
        <v>242702403146.86172</v>
      </c>
      <c r="E4" s="5">
        <v>243520063100.36298</v>
      </c>
      <c r="F4" s="5">
        <v>243035319324.12384</v>
      </c>
      <c r="G4" s="5">
        <v>241463824670.87335</v>
      </c>
      <c r="H4" s="5">
        <v>242097642886.62512</v>
      </c>
      <c r="I4" s="5">
        <v>244647170303.8353</v>
      </c>
      <c r="J4" s="5">
        <v>244284723034.70218</v>
      </c>
    </row>
    <row r="5" spans="1:11">
      <c r="A5" s="3" t="s">
        <v>174</v>
      </c>
      <c r="B5" s="4">
        <v>1955698754786.5325</v>
      </c>
      <c r="C5" s="4">
        <v>1957393043586.3616</v>
      </c>
      <c r="D5" s="4">
        <v>1941064146472.0417</v>
      </c>
      <c r="E5" s="4">
        <v>1942452968719.8398</v>
      </c>
      <c r="F5" s="4">
        <v>1915257941328.8516</v>
      </c>
      <c r="G5" s="4">
        <v>1879340816992.0879</v>
      </c>
      <c r="H5" s="4">
        <v>1855852687433.3228</v>
      </c>
      <c r="I5" s="4">
        <v>1840472590032.0491</v>
      </c>
      <c r="J5" s="4">
        <v>1821080718904.251</v>
      </c>
    </row>
    <row r="6" spans="1:11">
      <c r="A6" s="3" t="s">
        <v>316</v>
      </c>
      <c r="B6" s="5">
        <v>483055353307.30524</v>
      </c>
      <c r="C6" s="5">
        <v>482861100288.11963</v>
      </c>
      <c r="D6" s="5">
        <v>504019075123.87</v>
      </c>
      <c r="E6" s="5">
        <v>504828869652.40448</v>
      </c>
      <c r="F6" s="5">
        <v>505309533936.44556</v>
      </c>
      <c r="G6" s="5">
        <v>503446552793.28357</v>
      </c>
      <c r="H6" s="5">
        <v>504339412317.29657</v>
      </c>
      <c r="I6" s="5">
        <v>505370559321.13531</v>
      </c>
      <c r="J6" s="5">
        <v>505882627163.35651</v>
      </c>
    </row>
    <row r="7" spans="1:11">
      <c r="A7" s="3" t="s">
        <v>219</v>
      </c>
      <c r="B7" s="7">
        <v>83513673347.384338</v>
      </c>
      <c r="C7" s="7">
        <v>84098310043.701248</v>
      </c>
      <c r="D7" s="7">
        <v>88017317935.611069</v>
      </c>
      <c r="E7" s="7">
        <v>90902677733.101563</v>
      </c>
      <c r="F7" s="7">
        <v>92487511317.429947</v>
      </c>
      <c r="G7" s="7">
        <v>93467466492.254761</v>
      </c>
      <c r="H7" s="7">
        <v>97403173769.586121</v>
      </c>
      <c r="I7" s="7">
        <v>104178871055.63953</v>
      </c>
      <c r="J7" s="7">
        <v>112022899742.21411</v>
      </c>
    </row>
    <row r="8" spans="1:11">
      <c r="A8" s="3" t="s">
        <v>251</v>
      </c>
      <c r="B8" s="6">
        <v>8179170952.1100006</v>
      </c>
      <c r="C8" s="6">
        <v>8453062319.8899994</v>
      </c>
      <c r="D8" s="6">
        <v>8936439418.3799992</v>
      </c>
      <c r="E8" s="6">
        <v>9318037783.75</v>
      </c>
      <c r="F8" s="6">
        <v>9969512236.25</v>
      </c>
      <c r="G8" s="6">
        <v>9672057599.0100002</v>
      </c>
      <c r="H8" s="6">
        <v>10809295044.16016</v>
      </c>
      <c r="I8" s="6">
        <v>12237483860.206491</v>
      </c>
      <c r="J8" s="6">
        <v>13490483321.859869</v>
      </c>
    </row>
    <row r="9" spans="1:11">
      <c r="A9" s="3" t="s">
        <v>317</v>
      </c>
      <c r="B9" s="6">
        <v>80120118418.338852</v>
      </c>
      <c r="C9" s="6">
        <v>79754070467.976181</v>
      </c>
      <c r="D9" s="6">
        <v>82371525516.392532</v>
      </c>
      <c r="E9" s="6">
        <v>84433429779.074936</v>
      </c>
      <c r="F9" s="6">
        <v>84213244832.69693</v>
      </c>
      <c r="G9" s="6">
        <v>85523530471.136795</v>
      </c>
      <c r="H9" s="6">
        <v>89713440000.541626</v>
      </c>
      <c r="I9" s="6">
        <v>94436344010.965378</v>
      </c>
      <c r="J9" s="6">
        <v>100428812833.26227</v>
      </c>
    </row>
    <row r="10" spans="1:11">
      <c r="A10" s="3" t="s">
        <v>284</v>
      </c>
      <c r="B10" s="6">
        <v>0</v>
      </c>
      <c r="C10" s="6">
        <v>18740964878.253338</v>
      </c>
      <c r="D10" s="6">
        <v>18756838778.421936</v>
      </c>
      <c r="E10" s="6">
        <v>18866349662.769352</v>
      </c>
      <c r="F10" s="6">
        <v>19311194832.128181</v>
      </c>
      <c r="G10" s="6">
        <v>19390708322.203178</v>
      </c>
      <c r="H10" s="6">
        <v>19490186623.385223</v>
      </c>
      <c r="I10" s="6">
        <v>20735268519.028137</v>
      </c>
      <c r="J10" s="6">
        <v>19639536605.41069</v>
      </c>
    </row>
    <row r="11" spans="1:11" ht="15.6">
      <c r="A11" s="8" t="s">
        <v>321</v>
      </c>
      <c r="B11" s="9">
        <f t="shared" ref="B11:H11" si="0">SUM(B2:B9)</f>
        <v>7672435028174.9131</v>
      </c>
      <c r="C11" s="9">
        <f t="shared" si="0"/>
        <v>7797382077589.1299</v>
      </c>
      <c r="D11" s="9">
        <f t="shared" si="0"/>
        <v>7922613588584.0918</v>
      </c>
      <c r="E11" s="9">
        <f t="shared" si="0"/>
        <v>8029342707312.2813</v>
      </c>
      <c r="F11" s="9">
        <f t="shared" si="0"/>
        <v>8056134516783.8887</v>
      </c>
      <c r="G11" s="9">
        <f t="shared" si="0"/>
        <v>8081381398873.6875</v>
      </c>
      <c r="H11" s="9">
        <f t="shared" si="0"/>
        <v>8107597332853.6318</v>
      </c>
      <c r="I11" s="9">
        <f>SUM(I2:I10)</f>
        <v>8197244247053.5957</v>
      </c>
      <c r="J11" s="9">
        <f>SUM(J2:J10)</f>
        <v>8229655431373.125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322</v>
      </c>
      <c r="B13" s="140" t="s">
        <v>323</v>
      </c>
      <c r="C13" s="13">
        <f>(B11+C11)/2</f>
        <v>7734908552882.0215</v>
      </c>
      <c r="D13" s="14">
        <f t="shared" ref="D13:J13" si="1">(C11+D11)/2</f>
        <v>7859997833086.6113</v>
      </c>
      <c r="E13" s="14">
        <f t="shared" si="1"/>
        <v>7975978147948.1865</v>
      </c>
      <c r="F13" s="14">
        <f t="shared" si="1"/>
        <v>8042738612048.085</v>
      </c>
      <c r="G13" s="14">
        <f t="shared" si="1"/>
        <v>8068757957828.7881</v>
      </c>
      <c r="H13" s="14">
        <f t="shared" si="1"/>
        <v>8094489365863.6602</v>
      </c>
      <c r="I13" s="14">
        <f t="shared" si="1"/>
        <v>8152420789953.6133</v>
      </c>
      <c r="J13" s="14">
        <f t="shared" si="1"/>
        <v>8213449839213.3604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46015</v>
      </c>
      <c r="C16" s="2">
        <v>46024</v>
      </c>
      <c r="D16" s="2">
        <v>46031</v>
      </c>
      <c r="E16" s="2">
        <v>46038</v>
      </c>
      <c r="F16" s="2">
        <v>46045</v>
      </c>
      <c r="G16" s="2">
        <v>46052</v>
      </c>
      <c r="H16" s="2">
        <v>46059</v>
      </c>
      <c r="I16" s="2">
        <v>46066</v>
      </c>
      <c r="J16" s="2">
        <v>46073</v>
      </c>
      <c r="K16" s="15"/>
    </row>
    <row r="17" spans="1:11">
      <c r="A17" s="16" t="s">
        <v>324</v>
      </c>
      <c r="B17" s="17">
        <v>18082167415.780003</v>
      </c>
      <c r="C17" s="17">
        <v>18294657026</v>
      </c>
      <c r="D17" s="17">
        <v>18629129376.529999</v>
      </c>
      <c r="E17" s="17">
        <v>19377061801.09</v>
      </c>
      <c r="F17" s="17">
        <v>19447744548.880001</v>
      </c>
      <c r="G17" s="17">
        <v>19641137987.049995</v>
      </c>
      <c r="H17" s="17">
        <v>20411739072.279999</v>
      </c>
      <c r="I17" s="17">
        <v>21462872515.84</v>
      </c>
      <c r="J17" s="17">
        <v>23060251227.759998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15"/>
      <c r="K23" s="20"/>
    </row>
  </sheetData>
  <sheetProtection algorithmName="SHA-512" hashValue="KYGzsU+b/r/cHxn9XWkb6Go12lJRFfCExBfx30x1KhqzE1dZ70DgELhA+c5xyaIPQIPcl7CJomG7P5kHkjcNtw==" saltValue="o/GlkKzflSVYlj0PQEnpSg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2026-03-05T10:32:58Z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