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isaac\Desktop\Monthly Mutual Funds Update 2025\"/>
    </mc:Choice>
  </mc:AlternateContent>
  <bookViews>
    <workbookView xWindow="0" yWindow="0" windowWidth="11832" windowHeight="8976"/>
  </bookViews>
  <sheets>
    <sheet name="December" sheetId="7" r:id="rId1"/>
    <sheet name="NAV Comparison" sheetId="2" r:id="rId2"/>
    <sheet name="Market Share" sheetId="3" r:id="rId3"/>
    <sheet name="Unitholders" sheetId="6" r:id="rId4"/>
  </sheets>
  <externalReferences>
    <externalReference r:id="rId5"/>
  </externalReferences>
  <definedNames>
    <definedName name="_Hlk34300669" localSheetId="0">December!$K$65</definedName>
    <definedName name="Component">"Group"</definedName>
    <definedName name="FX_RATE">December!$C$241</definedName>
    <definedName name="pbCountingPages">FALSE</definedName>
  </definedNames>
  <calcPr calcId="162913"/>
</workbook>
</file>

<file path=xl/calcChain.xml><?xml version="1.0" encoding="utf-8"?>
<calcChain xmlns="http://schemas.openxmlformats.org/spreadsheetml/2006/main">
  <c r="L234" i="7" l="1"/>
  <c r="M234" i="7"/>
  <c r="N234" i="7"/>
  <c r="O234" i="7"/>
  <c r="P234" i="7"/>
  <c r="Q234" i="7"/>
  <c r="L235" i="7"/>
  <c r="M235" i="7"/>
  <c r="N235" i="7"/>
  <c r="O235" i="7"/>
  <c r="P235" i="7"/>
  <c r="Q235" i="7"/>
  <c r="L236" i="7"/>
  <c r="M236" i="7"/>
  <c r="N236" i="7"/>
  <c r="O236" i="7"/>
  <c r="P236" i="7"/>
  <c r="Q236" i="7"/>
  <c r="L237" i="7"/>
  <c r="M237" i="7"/>
  <c r="N237" i="7"/>
  <c r="O237" i="7"/>
  <c r="P237" i="7"/>
  <c r="Q237" i="7"/>
  <c r="L226" i="7"/>
  <c r="M226" i="7"/>
  <c r="N226" i="7"/>
  <c r="O226" i="7"/>
  <c r="P226" i="7"/>
  <c r="Q226" i="7"/>
  <c r="L227" i="7"/>
  <c r="M227" i="7"/>
  <c r="N227" i="7"/>
  <c r="O227" i="7"/>
  <c r="P227" i="7"/>
  <c r="Q227" i="7"/>
  <c r="L228" i="7"/>
  <c r="M228" i="7"/>
  <c r="N228" i="7"/>
  <c r="O228" i="7"/>
  <c r="P228" i="7"/>
  <c r="Q228" i="7"/>
  <c r="L210" i="7"/>
  <c r="M210" i="7"/>
  <c r="N210" i="7"/>
  <c r="O210" i="7"/>
  <c r="P210" i="7"/>
  <c r="Q210" i="7"/>
  <c r="L211" i="7"/>
  <c r="M211" i="7"/>
  <c r="N211" i="7"/>
  <c r="O211" i="7"/>
  <c r="P211" i="7"/>
  <c r="Q211" i="7"/>
  <c r="L212" i="7"/>
  <c r="M212" i="7"/>
  <c r="N212" i="7"/>
  <c r="O212" i="7"/>
  <c r="P212" i="7"/>
  <c r="Q212" i="7"/>
  <c r="L213" i="7"/>
  <c r="M213" i="7"/>
  <c r="N213" i="7"/>
  <c r="O213" i="7"/>
  <c r="P213" i="7"/>
  <c r="Q213" i="7"/>
  <c r="L214" i="7"/>
  <c r="M214" i="7"/>
  <c r="N214" i="7"/>
  <c r="O214" i="7"/>
  <c r="P214" i="7"/>
  <c r="Q214" i="7"/>
  <c r="L215" i="7"/>
  <c r="M215" i="7"/>
  <c r="N215" i="7"/>
  <c r="O215" i="7"/>
  <c r="P215" i="7"/>
  <c r="Q215" i="7"/>
  <c r="L216" i="7"/>
  <c r="M216" i="7"/>
  <c r="N216" i="7"/>
  <c r="O216" i="7"/>
  <c r="P216" i="7"/>
  <c r="Q216" i="7"/>
  <c r="L217" i="7"/>
  <c r="M217" i="7"/>
  <c r="N217" i="7"/>
  <c r="O217" i="7"/>
  <c r="P217" i="7"/>
  <c r="Q217" i="7"/>
  <c r="L218" i="7"/>
  <c r="M218" i="7"/>
  <c r="N218" i="7"/>
  <c r="O218" i="7"/>
  <c r="P218" i="7"/>
  <c r="Q218" i="7"/>
  <c r="L219" i="7"/>
  <c r="M219" i="7"/>
  <c r="N219" i="7"/>
  <c r="O219" i="7"/>
  <c r="P219" i="7"/>
  <c r="Q219" i="7"/>
  <c r="L220" i="7"/>
  <c r="M220" i="7"/>
  <c r="N220" i="7"/>
  <c r="O220" i="7"/>
  <c r="P220" i="7"/>
  <c r="Q220" i="7"/>
  <c r="L221" i="7"/>
  <c r="M221" i="7"/>
  <c r="N221" i="7"/>
  <c r="O221" i="7"/>
  <c r="P221" i="7"/>
  <c r="Q221" i="7"/>
  <c r="L222" i="7"/>
  <c r="M222" i="7"/>
  <c r="N222" i="7"/>
  <c r="O222" i="7"/>
  <c r="P222" i="7"/>
  <c r="Q222" i="7"/>
  <c r="L206" i="7"/>
  <c r="M206" i="7"/>
  <c r="N206" i="7"/>
  <c r="O206" i="7"/>
  <c r="P206" i="7"/>
  <c r="Q206" i="7"/>
  <c r="L200" i="7"/>
  <c r="M200" i="7"/>
  <c r="N200" i="7"/>
  <c r="O200" i="7"/>
  <c r="P200" i="7"/>
  <c r="Q200" i="7"/>
  <c r="L168" i="7"/>
  <c r="M168" i="7"/>
  <c r="N168" i="7"/>
  <c r="O168" i="7"/>
  <c r="P168" i="7"/>
  <c r="Q168" i="7"/>
  <c r="L169" i="7"/>
  <c r="M169" i="7"/>
  <c r="N169" i="7"/>
  <c r="O169" i="7"/>
  <c r="P169" i="7"/>
  <c r="Q169" i="7"/>
  <c r="L170" i="7"/>
  <c r="M170" i="7"/>
  <c r="N170" i="7"/>
  <c r="O170" i="7"/>
  <c r="P170" i="7"/>
  <c r="Q170" i="7"/>
  <c r="L171" i="7"/>
  <c r="M171" i="7"/>
  <c r="N171" i="7"/>
  <c r="O171" i="7"/>
  <c r="P171" i="7"/>
  <c r="Q171" i="7"/>
  <c r="L172" i="7"/>
  <c r="M172" i="7"/>
  <c r="N172" i="7"/>
  <c r="O172" i="7"/>
  <c r="P172" i="7"/>
  <c r="Q172" i="7"/>
  <c r="L173" i="7"/>
  <c r="M173" i="7"/>
  <c r="N173" i="7"/>
  <c r="O173" i="7"/>
  <c r="P173" i="7"/>
  <c r="Q173" i="7"/>
  <c r="L174" i="7"/>
  <c r="M174" i="7"/>
  <c r="N174" i="7"/>
  <c r="O174" i="7"/>
  <c r="P174" i="7"/>
  <c r="Q174" i="7"/>
  <c r="L175" i="7"/>
  <c r="M175" i="7"/>
  <c r="N175" i="7"/>
  <c r="O175" i="7"/>
  <c r="P175" i="7"/>
  <c r="Q175" i="7"/>
  <c r="L176" i="7"/>
  <c r="M176" i="7"/>
  <c r="N176" i="7"/>
  <c r="O176" i="7"/>
  <c r="P176" i="7"/>
  <c r="Q176" i="7"/>
  <c r="L177" i="7"/>
  <c r="M177" i="7"/>
  <c r="N177" i="7"/>
  <c r="O177" i="7"/>
  <c r="P177" i="7"/>
  <c r="Q177" i="7"/>
  <c r="L178" i="7"/>
  <c r="M178" i="7"/>
  <c r="N178" i="7"/>
  <c r="O178" i="7"/>
  <c r="P178" i="7"/>
  <c r="Q178" i="7"/>
  <c r="L179" i="7"/>
  <c r="M179" i="7"/>
  <c r="N179" i="7"/>
  <c r="O179" i="7"/>
  <c r="P179" i="7"/>
  <c r="Q179" i="7"/>
  <c r="L180" i="7"/>
  <c r="M180" i="7"/>
  <c r="N180" i="7"/>
  <c r="O180" i="7"/>
  <c r="P180" i="7"/>
  <c r="Q180" i="7"/>
  <c r="L181" i="7"/>
  <c r="M181" i="7"/>
  <c r="N181" i="7"/>
  <c r="O181" i="7"/>
  <c r="P181" i="7"/>
  <c r="Q181" i="7"/>
  <c r="L182" i="7"/>
  <c r="M182" i="7"/>
  <c r="N182" i="7"/>
  <c r="O182" i="7"/>
  <c r="P182" i="7"/>
  <c r="Q182" i="7"/>
  <c r="L183" i="7"/>
  <c r="M183" i="7"/>
  <c r="N183" i="7"/>
  <c r="O183" i="7"/>
  <c r="P183" i="7"/>
  <c r="Q183" i="7"/>
  <c r="L184" i="7"/>
  <c r="M184" i="7"/>
  <c r="N184" i="7"/>
  <c r="O184" i="7"/>
  <c r="P184" i="7"/>
  <c r="Q184" i="7"/>
  <c r="L185" i="7"/>
  <c r="M185" i="7"/>
  <c r="N185" i="7"/>
  <c r="O185" i="7"/>
  <c r="P185" i="7"/>
  <c r="Q185" i="7"/>
  <c r="L186" i="7"/>
  <c r="M186" i="7"/>
  <c r="N186" i="7"/>
  <c r="O186" i="7"/>
  <c r="P186" i="7"/>
  <c r="Q186" i="7"/>
  <c r="L187" i="7"/>
  <c r="M187" i="7"/>
  <c r="N187" i="7"/>
  <c r="O187" i="7"/>
  <c r="P187" i="7"/>
  <c r="Q187" i="7"/>
  <c r="L188" i="7"/>
  <c r="M188" i="7"/>
  <c r="N188" i="7"/>
  <c r="O188" i="7"/>
  <c r="P188" i="7"/>
  <c r="Q188" i="7"/>
  <c r="L189" i="7"/>
  <c r="M189" i="7"/>
  <c r="N189" i="7"/>
  <c r="O189" i="7"/>
  <c r="P189" i="7"/>
  <c r="Q189" i="7"/>
  <c r="L190" i="7"/>
  <c r="M190" i="7"/>
  <c r="N190" i="7"/>
  <c r="O190" i="7"/>
  <c r="P190" i="7"/>
  <c r="Q190" i="7"/>
  <c r="L191" i="7"/>
  <c r="M191" i="7"/>
  <c r="N191" i="7"/>
  <c r="O191" i="7"/>
  <c r="P191" i="7"/>
  <c r="Q191" i="7"/>
  <c r="L192" i="7"/>
  <c r="M192" i="7"/>
  <c r="N192" i="7"/>
  <c r="O192" i="7"/>
  <c r="P192" i="7"/>
  <c r="Q192" i="7"/>
  <c r="L193" i="7"/>
  <c r="M193" i="7"/>
  <c r="N193" i="7"/>
  <c r="O193" i="7"/>
  <c r="P193" i="7"/>
  <c r="Q193" i="7"/>
  <c r="L194" i="7"/>
  <c r="M194" i="7"/>
  <c r="N194" i="7"/>
  <c r="O194" i="7"/>
  <c r="P194" i="7"/>
  <c r="Q194" i="7"/>
  <c r="L195" i="7"/>
  <c r="M195" i="7"/>
  <c r="N195" i="7"/>
  <c r="O195" i="7"/>
  <c r="P195" i="7"/>
  <c r="Q195" i="7"/>
  <c r="L159" i="7"/>
  <c r="M159" i="7"/>
  <c r="N159" i="7"/>
  <c r="O159" i="7"/>
  <c r="P159" i="7"/>
  <c r="Q159" i="7"/>
  <c r="L160" i="7"/>
  <c r="M160" i="7"/>
  <c r="N160" i="7"/>
  <c r="O160" i="7"/>
  <c r="P160" i="7"/>
  <c r="Q160" i="7"/>
  <c r="L161" i="7"/>
  <c r="M161" i="7"/>
  <c r="N161" i="7"/>
  <c r="O161" i="7"/>
  <c r="P161" i="7"/>
  <c r="Q161" i="7"/>
  <c r="L162" i="7"/>
  <c r="M162" i="7"/>
  <c r="N162" i="7"/>
  <c r="O162" i="7"/>
  <c r="P162" i="7"/>
  <c r="Q162" i="7"/>
  <c r="L163" i="7"/>
  <c r="M163" i="7"/>
  <c r="N163" i="7"/>
  <c r="O163" i="7"/>
  <c r="P163" i="7"/>
  <c r="Q163" i="7"/>
  <c r="L137" i="7"/>
  <c r="M137" i="7"/>
  <c r="N137" i="7"/>
  <c r="O137" i="7"/>
  <c r="P137" i="7"/>
  <c r="Q137" i="7"/>
  <c r="L138" i="7"/>
  <c r="M138" i="7"/>
  <c r="N138" i="7"/>
  <c r="O138" i="7"/>
  <c r="P138" i="7"/>
  <c r="Q138" i="7"/>
  <c r="L139" i="7"/>
  <c r="M139" i="7"/>
  <c r="N139" i="7"/>
  <c r="O139" i="7"/>
  <c r="P139" i="7"/>
  <c r="Q139" i="7"/>
  <c r="L140" i="7"/>
  <c r="M140" i="7"/>
  <c r="N140" i="7"/>
  <c r="O140" i="7"/>
  <c r="P140" i="7"/>
  <c r="Q140" i="7"/>
  <c r="L141" i="7"/>
  <c r="M141" i="7"/>
  <c r="N141" i="7"/>
  <c r="O141" i="7"/>
  <c r="P141" i="7"/>
  <c r="Q141" i="7"/>
  <c r="L142" i="7"/>
  <c r="M142" i="7"/>
  <c r="N142" i="7"/>
  <c r="O142" i="7"/>
  <c r="P142" i="7"/>
  <c r="Q142" i="7"/>
  <c r="L143" i="7"/>
  <c r="M143" i="7"/>
  <c r="N143" i="7"/>
  <c r="O143" i="7"/>
  <c r="P143" i="7"/>
  <c r="Q143" i="7"/>
  <c r="L144" i="7"/>
  <c r="M144" i="7"/>
  <c r="N144" i="7"/>
  <c r="O144" i="7"/>
  <c r="P144" i="7"/>
  <c r="Q144" i="7"/>
  <c r="L145" i="7"/>
  <c r="M145" i="7"/>
  <c r="N145" i="7"/>
  <c r="O145" i="7"/>
  <c r="P145" i="7"/>
  <c r="Q145" i="7"/>
  <c r="L146" i="7"/>
  <c r="M146" i="7"/>
  <c r="N146" i="7"/>
  <c r="O146" i="7"/>
  <c r="P146" i="7"/>
  <c r="Q146" i="7"/>
  <c r="L147" i="7"/>
  <c r="M147" i="7"/>
  <c r="N147" i="7"/>
  <c r="O147" i="7"/>
  <c r="P147" i="7"/>
  <c r="Q147" i="7"/>
  <c r="L148" i="7"/>
  <c r="M148" i="7"/>
  <c r="N148" i="7"/>
  <c r="O148" i="7"/>
  <c r="P148" i="7"/>
  <c r="Q148" i="7"/>
  <c r="L149" i="7"/>
  <c r="M149" i="7"/>
  <c r="N149" i="7"/>
  <c r="O149" i="7"/>
  <c r="P149" i="7"/>
  <c r="Q149" i="7"/>
  <c r="L150" i="7"/>
  <c r="M150" i="7"/>
  <c r="N150" i="7"/>
  <c r="O150" i="7"/>
  <c r="P150" i="7"/>
  <c r="Q150" i="7"/>
  <c r="L151" i="7"/>
  <c r="M151" i="7"/>
  <c r="N151" i="7"/>
  <c r="O151" i="7"/>
  <c r="P151" i="7"/>
  <c r="Q151" i="7"/>
  <c r="L152" i="7"/>
  <c r="M152" i="7"/>
  <c r="N152" i="7"/>
  <c r="O152" i="7"/>
  <c r="P152" i="7"/>
  <c r="Q152" i="7"/>
  <c r="L153" i="7"/>
  <c r="M153" i="7"/>
  <c r="N153" i="7"/>
  <c r="O153" i="7"/>
  <c r="P153" i="7"/>
  <c r="Q153" i="7"/>
  <c r="L154" i="7"/>
  <c r="M154" i="7"/>
  <c r="N154" i="7"/>
  <c r="O154" i="7"/>
  <c r="P154" i="7"/>
  <c r="Q154" i="7"/>
  <c r="L118" i="7"/>
  <c r="M118" i="7"/>
  <c r="N118" i="7"/>
  <c r="O118" i="7"/>
  <c r="P118" i="7"/>
  <c r="Q118" i="7"/>
  <c r="L119" i="7"/>
  <c r="M119" i="7"/>
  <c r="N119" i="7"/>
  <c r="O119" i="7"/>
  <c r="P119" i="7"/>
  <c r="Q119" i="7"/>
  <c r="L120" i="7"/>
  <c r="M120" i="7"/>
  <c r="N120" i="7"/>
  <c r="O120" i="7"/>
  <c r="P120" i="7"/>
  <c r="Q120" i="7"/>
  <c r="L121" i="7"/>
  <c r="M121" i="7"/>
  <c r="N121" i="7"/>
  <c r="O121" i="7"/>
  <c r="P121" i="7"/>
  <c r="Q121" i="7"/>
  <c r="L122" i="7"/>
  <c r="M122" i="7"/>
  <c r="N122" i="7"/>
  <c r="O122" i="7"/>
  <c r="P122" i="7"/>
  <c r="Q122" i="7"/>
  <c r="L123" i="7"/>
  <c r="M123" i="7"/>
  <c r="N123" i="7"/>
  <c r="O123" i="7"/>
  <c r="P123" i="7"/>
  <c r="Q123" i="7"/>
  <c r="L124" i="7"/>
  <c r="M124" i="7"/>
  <c r="N124" i="7"/>
  <c r="O124" i="7"/>
  <c r="P124" i="7"/>
  <c r="Q124" i="7"/>
  <c r="L125" i="7"/>
  <c r="M125" i="7"/>
  <c r="N125" i="7"/>
  <c r="O125" i="7"/>
  <c r="P125" i="7"/>
  <c r="Q125" i="7"/>
  <c r="L126" i="7"/>
  <c r="M126" i="7"/>
  <c r="N126" i="7"/>
  <c r="O126" i="7"/>
  <c r="P126" i="7"/>
  <c r="Q126" i="7"/>
  <c r="L127" i="7"/>
  <c r="M127" i="7"/>
  <c r="N127" i="7"/>
  <c r="O127" i="7"/>
  <c r="P127" i="7"/>
  <c r="Q127" i="7"/>
  <c r="L128" i="7"/>
  <c r="M128" i="7"/>
  <c r="N128" i="7"/>
  <c r="O128" i="7"/>
  <c r="P128" i="7"/>
  <c r="Q128" i="7"/>
  <c r="L129" i="7"/>
  <c r="M129" i="7"/>
  <c r="N129" i="7"/>
  <c r="O129" i="7"/>
  <c r="P129" i="7"/>
  <c r="Q129" i="7"/>
  <c r="L130" i="7"/>
  <c r="M130" i="7"/>
  <c r="N130" i="7"/>
  <c r="O130" i="7"/>
  <c r="P130" i="7"/>
  <c r="Q130" i="7"/>
  <c r="L131" i="7"/>
  <c r="M131" i="7"/>
  <c r="N131" i="7"/>
  <c r="O131" i="7"/>
  <c r="P131" i="7"/>
  <c r="Q131" i="7"/>
  <c r="L132" i="7"/>
  <c r="M132" i="7"/>
  <c r="N132" i="7"/>
  <c r="O132" i="7"/>
  <c r="P132" i="7"/>
  <c r="Q132" i="7"/>
  <c r="L133" i="7"/>
  <c r="M133" i="7"/>
  <c r="N133" i="7"/>
  <c r="O133" i="7"/>
  <c r="P133" i="7"/>
  <c r="Q133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K137" i="7"/>
  <c r="K138" i="7"/>
  <c r="K139" i="7"/>
  <c r="K141" i="7"/>
  <c r="K142" i="7"/>
  <c r="K143" i="7"/>
  <c r="K144" i="7"/>
  <c r="K145" i="7"/>
  <c r="K146" i="7"/>
  <c r="K147" i="7"/>
  <c r="K148" i="7"/>
  <c r="K149" i="7"/>
  <c r="K151" i="7"/>
  <c r="K152" i="7"/>
  <c r="K153" i="7"/>
  <c r="K154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6" i="7"/>
  <c r="J227" i="7"/>
  <c r="J228" i="7"/>
  <c r="J234" i="7"/>
  <c r="J235" i="7"/>
  <c r="J236" i="7"/>
  <c r="J237" i="7"/>
  <c r="L75" i="7"/>
  <c r="M75" i="7"/>
  <c r="N75" i="7"/>
  <c r="O75" i="7"/>
  <c r="P75" i="7"/>
  <c r="Q75" i="7"/>
  <c r="L76" i="7"/>
  <c r="M76" i="7"/>
  <c r="N76" i="7"/>
  <c r="O76" i="7"/>
  <c r="P76" i="7"/>
  <c r="Q76" i="7"/>
  <c r="L77" i="7"/>
  <c r="M77" i="7"/>
  <c r="N77" i="7"/>
  <c r="O77" i="7"/>
  <c r="P77" i="7"/>
  <c r="Q77" i="7"/>
  <c r="L78" i="7"/>
  <c r="M78" i="7"/>
  <c r="N78" i="7"/>
  <c r="O78" i="7"/>
  <c r="P78" i="7"/>
  <c r="Q78" i="7"/>
  <c r="L79" i="7"/>
  <c r="M79" i="7"/>
  <c r="N79" i="7"/>
  <c r="O79" i="7"/>
  <c r="P79" i="7"/>
  <c r="Q79" i="7"/>
  <c r="L80" i="7"/>
  <c r="M80" i="7"/>
  <c r="N80" i="7"/>
  <c r="O80" i="7"/>
  <c r="P80" i="7"/>
  <c r="Q80" i="7"/>
  <c r="L81" i="7"/>
  <c r="M81" i="7"/>
  <c r="N81" i="7"/>
  <c r="O81" i="7"/>
  <c r="P81" i="7"/>
  <c r="Q81" i="7"/>
  <c r="L82" i="7"/>
  <c r="M82" i="7"/>
  <c r="N82" i="7"/>
  <c r="O82" i="7"/>
  <c r="P82" i="7"/>
  <c r="Q82" i="7"/>
  <c r="L83" i="7"/>
  <c r="M83" i="7"/>
  <c r="N83" i="7"/>
  <c r="O83" i="7"/>
  <c r="P83" i="7"/>
  <c r="Q83" i="7"/>
  <c r="L84" i="7"/>
  <c r="M84" i="7"/>
  <c r="N84" i="7"/>
  <c r="O84" i="7"/>
  <c r="P84" i="7"/>
  <c r="Q84" i="7"/>
  <c r="L85" i="7"/>
  <c r="M85" i="7"/>
  <c r="N85" i="7"/>
  <c r="O85" i="7"/>
  <c r="P85" i="7"/>
  <c r="Q85" i="7"/>
  <c r="L86" i="7"/>
  <c r="M86" i="7"/>
  <c r="N86" i="7"/>
  <c r="O86" i="7"/>
  <c r="P86" i="7"/>
  <c r="Q86" i="7"/>
  <c r="L87" i="7"/>
  <c r="M87" i="7"/>
  <c r="N87" i="7"/>
  <c r="O87" i="7"/>
  <c r="P87" i="7"/>
  <c r="Q87" i="7"/>
  <c r="L88" i="7"/>
  <c r="M88" i="7"/>
  <c r="N88" i="7"/>
  <c r="O88" i="7"/>
  <c r="P88" i="7"/>
  <c r="Q88" i="7"/>
  <c r="L89" i="7"/>
  <c r="M89" i="7"/>
  <c r="N89" i="7"/>
  <c r="O89" i="7"/>
  <c r="P89" i="7"/>
  <c r="Q89" i="7"/>
  <c r="L90" i="7"/>
  <c r="M90" i="7"/>
  <c r="N90" i="7"/>
  <c r="O90" i="7"/>
  <c r="P90" i="7"/>
  <c r="Q90" i="7"/>
  <c r="L91" i="7"/>
  <c r="M91" i="7"/>
  <c r="N91" i="7"/>
  <c r="O91" i="7"/>
  <c r="P91" i="7"/>
  <c r="Q91" i="7"/>
  <c r="L92" i="7"/>
  <c r="M92" i="7"/>
  <c r="N92" i="7"/>
  <c r="O92" i="7"/>
  <c r="P92" i="7"/>
  <c r="Q92" i="7"/>
  <c r="L93" i="7"/>
  <c r="M93" i="7"/>
  <c r="N93" i="7"/>
  <c r="O93" i="7"/>
  <c r="P93" i="7"/>
  <c r="Q93" i="7"/>
  <c r="L94" i="7"/>
  <c r="M94" i="7"/>
  <c r="N94" i="7"/>
  <c r="O94" i="7"/>
  <c r="P94" i="7"/>
  <c r="Q94" i="7"/>
  <c r="L95" i="7"/>
  <c r="M95" i="7"/>
  <c r="N95" i="7"/>
  <c r="O95" i="7"/>
  <c r="P95" i="7"/>
  <c r="Q95" i="7"/>
  <c r="L96" i="7"/>
  <c r="M96" i="7"/>
  <c r="N96" i="7"/>
  <c r="O96" i="7"/>
  <c r="P96" i="7"/>
  <c r="Q96" i="7"/>
  <c r="L97" i="7"/>
  <c r="M97" i="7"/>
  <c r="N97" i="7"/>
  <c r="O97" i="7"/>
  <c r="P97" i="7"/>
  <c r="Q97" i="7"/>
  <c r="L98" i="7"/>
  <c r="M98" i="7"/>
  <c r="N98" i="7"/>
  <c r="O98" i="7"/>
  <c r="P98" i="7"/>
  <c r="Q98" i="7"/>
  <c r="L99" i="7"/>
  <c r="M99" i="7"/>
  <c r="N99" i="7"/>
  <c r="O99" i="7"/>
  <c r="P99" i="7"/>
  <c r="Q99" i="7"/>
  <c r="L100" i="7"/>
  <c r="M100" i="7"/>
  <c r="N100" i="7"/>
  <c r="O100" i="7"/>
  <c r="P100" i="7"/>
  <c r="Q100" i="7"/>
  <c r="L101" i="7"/>
  <c r="M101" i="7"/>
  <c r="N101" i="7"/>
  <c r="O101" i="7"/>
  <c r="P101" i="7"/>
  <c r="Q101" i="7"/>
  <c r="L102" i="7"/>
  <c r="M102" i="7"/>
  <c r="N102" i="7"/>
  <c r="O102" i="7"/>
  <c r="P102" i="7"/>
  <c r="Q102" i="7"/>
  <c r="L103" i="7"/>
  <c r="M103" i="7"/>
  <c r="N103" i="7"/>
  <c r="O103" i="7"/>
  <c r="P103" i="7"/>
  <c r="Q103" i="7"/>
  <c r="L104" i="7"/>
  <c r="M104" i="7"/>
  <c r="N104" i="7"/>
  <c r="O104" i="7"/>
  <c r="P104" i="7"/>
  <c r="Q104" i="7"/>
  <c r="L105" i="7"/>
  <c r="M105" i="7"/>
  <c r="N105" i="7"/>
  <c r="O105" i="7"/>
  <c r="P105" i="7"/>
  <c r="Q105" i="7"/>
  <c r="L106" i="7"/>
  <c r="M106" i="7"/>
  <c r="N106" i="7"/>
  <c r="O106" i="7"/>
  <c r="P106" i="7"/>
  <c r="Q106" i="7"/>
  <c r="L107" i="7"/>
  <c r="M107" i="7"/>
  <c r="N107" i="7"/>
  <c r="O107" i="7"/>
  <c r="P107" i="7"/>
  <c r="Q107" i="7"/>
  <c r="L108" i="7"/>
  <c r="M108" i="7"/>
  <c r="N108" i="7"/>
  <c r="O108" i="7"/>
  <c r="P108" i="7"/>
  <c r="Q108" i="7"/>
  <c r="L109" i="7"/>
  <c r="M109" i="7"/>
  <c r="N109" i="7"/>
  <c r="O109" i="7"/>
  <c r="P109" i="7"/>
  <c r="Q109" i="7"/>
  <c r="L110" i="7"/>
  <c r="M110" i="7"/>
  <c r="N110" i="7"/>
  <c r="O110" i="7"/>
  <c r="P110" i="7"/>
  <c r="Q110" i="7"/>
  <c r="L111" i="7"/>
  <c r="M111" i="7"/>
  <c r="N111" i="7"/>
  <c r="O111" i="7"/>
  <c r="P111" i="7"/>
  <c r="Q111" i="7"/>
  <c r="L112" i="7"/>
  <c r="M112" i="7"/>
  <c r="N112" i="7"/>
  <c r="O112" i="7"/>
  <c r="P112" i="7"/>
  <c r="Q112" i="7"/>
  <c r="L29" i="7"/>
  <c r="M29" i="7"/>
  <c r="N29" i="7"/>
  <c r="O29" i="7"/>
  <c r="P29" i="7"/>
  <c r="Q29" i="7"/>
  <c r="L30" i="7"/>
  <c r="M30" i="7"/>
  <c r="N30" i="7"/>
  <c r="O30" i="7"/>
  <c r="P30" i="7"/>
  <c r="Q30" i="7"/>
  <c r="L31" i="7"/>
  <c r="M31" i="7"/>
  <c r="N31" i="7"/>
  <c r="O31" i="7"/>
  <c r="P31" i="7"/>
  <c r="Q31" i="7"/>
  <c r="L32" i="7"/>
  <c r="M32" i="7"/>
  <c r="N32" i="7"/>
  <c r="O32" i="7"/>
  <c r="P32" i="7"/>
  <c r="Q32" i="7"/>
  <c r="L33" i="7"/>
  <c r="M33" i="7"/>
  <c r="N33" i="7"/>
  <c r="O33" i="7"/>
  <c r="P33" i="7"/>
  <c r="Q33" i="7"/>
  <c r="L34" i="7"/>
  <c r="M34" i="7"/>
  <c r="N34" i="7"/>
  <c r="O34" i="7"/>
  <c r="P34" i="7"/>
  <c r="Q34" i="7"/>
  <c r="L35" i="7"/>
  <c r="M35" i="7"/>
  <c r="N35" i="7"/>
  <c r="O35" i="7"/>
  <c r="P35" i="7"/>
  <c r="Q35" i="7"/>
  <c r="L36" i="7"/>
  <c r="M36" i="7"/>
  <c r="N36" i="7"/>
  <c r="O36" i="7"/>
  <c r="P36" i="7"/>
  <c r="Q36" i="7"/>
  <c r="L37" i="7"/>
  <c r="M37" i="7"/>
  <c r="N37" i="7"/>
  <c r="O37" i="7"/>
  <c r="P37" i="7"/>
  <c r="Q37" i="7"/>
  <c r="L38" i="7"/>
  <c r="M38" i="7"/>
  <c r="N38" i="7"/>
  <c r="O38" i="7"/>
  <c r="P38" i="7"/>
  <c r="Q38" i="7"/>
  <c r="L39" i="7"/>
  <c r="M39" i="7"/>
  <c r="N39" i="7"/>
  <c r="O39" i="7"/>
  <c r="P39" i="7"/>
  <c r="Q39" i="7"/>
  <c r="L40" i="7"/>
  <c r="M40" i="7"/>
  <c r="N40" i="7"/>
  <c r="O40" i="7"/>
  <c r="P40" i="7"/>
  <c r="Q40" i="7"/>
  <c r="L41" i="7"/>
  <c r="M41" i="7"/>
  <c r="N41" i="7"/>
  <c r="O41" i="7"/>
  <c r="P41" i="7"/>
  <c r="Q41" i="7"/>
  <c r="L42" i="7"/>
  <c r="M42" i="7"/>
  <c r="N42" i="7"/>
  <c r="O42" i="7"/>
  <c r="P42" i="7"/>
  <c r="Q42" i="7"/>
  <c r="L43" i="7"/>
  <c r="M43" i="7"/>
  <c r="N43" i="7"/>
  <c r="O43" i="7"/>
  <c r="P43" i="7"/>
  <c r="Q43" i="7"/>
  <c r="L44" i="7"/>
  <c r="M44" i="7"/>
  <c r="N44" i="7"/>
  <c r="O44" i="7"/>
  <c r="P44" i="7"/>
  <c r="Q44" i="7"/>
  <c r="L45" i="7"/>
  <c r="M45" i="7"/>
  <c r="N45" i="7"/>
  <c r="O45" i="7"/>
  <c r="P45" i="7"/>
  <c r="Q45" i="7"/>
  <c r="L46" i="7"/>
  <c r="M46" i="7"/>
  <c r="N46" i="7"/>
  <c r="O46" i="7"/>
  <c r="P46" i="7"/>
  <c r="Q46" i="7"/>
  <c r="L47" i="7"/>
  <c r="M47" i="7"/>
  <c r="N47" i="7"/>
  <c r="O47" i="7"/>
  <c r="P47" i="7"/>
  <c r="Q47" i="7"/>
  <c r="L48" i="7"/>
  <c r="M48" i="7"/>
  <c r="N48" i="7"/>
  <c r="O48" i="7"/>
  <c r="P48" i="7"/>
  <c r="Q48" i="7"/>
  <c r="L49" i="7"/>
  <c r="M49" i="7"/>
  <c r="N49" i="7"/>
  <c r="O49" i="7"/>
  <c r="P49" i="7"/>
  <c r="Q49" i="7"/>
  <c r="L50" i="7"/>
  <c r="M50" i="7"/>
  <c r="N50" i="7"/>
  <c r="O50" i="7"/>
  <c r="P50" i="7"/>
  <c r="Q50" i="7"/>
  <c r="L51" i="7"/>
  <c r="M51" i="7"/>
  <c r="N51" i="7"/>
  <c r="O51" i="7"/>
  <c r="P51" i="7"/>
  <c r="Q51" i="7"/>
  <c r="L52" i="7"/>
  <c r="M52" i="7"/>
  <c r="N52" i="7"/>
  <c r="O52" i="7"/>
  <c r="P52" i="7"/>
  <c r="Q52" i="7"/>
  <c r="L53" i="7"/>
  <c r="M53" i="7"/>
  <c r="N53" i="7"/>
  <c r="O53" i="7"/>
  <c r="P53" i="7"/>
  <c r="Q53" i="7"/>
  <c r="L54" i="7"/>
  <c r="M54" i="7"/>
  <c r="N54" i="7"/>
  <c r="O54" i="7"/>
  <c r="P54" i="7"/>
  <c r="Q54" i="7"/>
  <c r="L55" i="7"/>
  <c r="M55" i="7"/>
  <c r="N55" i="7"/>
  <c r="O55" i="7"/>
  <c r="P55" i="7"/>
  <c r="Q55" i="7"/>
  <c r="L56" i="7"/>
  <c r="M56" i="7"/>
  <c r="N56" i="7"/>
  <c r="O56" i="7"/>
  <c r="P56" i="7"/>
  <c r="Q56" i="7"/>
  <c r="L57" i="7"/>
  <c r="M57" i="7"/>
  <c r="N57" i="7"/>
  <c r="O57" i="7"/>
  <c r="P57" i="7"/>
  <c r="Q57" i="7"/>
  <c r="L58" i="7"/>
  <c r="M58" i="7"/>
  <c r="N58" i="7"/>
  <c r="O58" i="7"/>
  <c r="P58" i="7"/>
  <c r="Q58" i="7"/>
  <c r="L59" i="7"/>
  <c r="M59" i="7"/>
  <c r="N59" i="7"/>
  <c r="O59" i="7"/>
  <c r="P59" i="7"/>
  <c r="Q59" i="7"/>
  <c r="L60" i="7"/>
  <c r="M60" i="7"/>
  <c r="N60" i="7"/>
  <c r="O60" i="7"/>
  <c r="P60" i="7"/>
  <c r="Q60" i="7"/>
  <c r="L61" i="7"/>
  <c r="M61" i="7"/>
  <c r="N61" i="7"/>
  <c r="O61" i="7"/>
  <c r="P61" i="7"/>
  <c r="Q61" i="7"/>
  <c r="L62" i="7"/>
  <c r="M62" i="7"/>
  <c r="N62" i="7"/>
  <c r="O62" i="7"/>
  <c r="P62" i="7"/>
  <c r="Q62" i="7"/>
  <c r="L63" i="7"/>
  <c r="M63" i="7"/>
  <c r="N63" i="7"/>
  <c r="O63" i="7"/>
  <c r="P63" i="7"/>
  <c r="Q63" i="7"/>
  <c r="L64" i="7"/>
  <c r="M64" i="7"/>
  <c r="N64" i="7"/>
  <c r="O64" i="7"/>
  <c r="P64" i="7"/>
  <c r="Q64" i="7"/>
  <c r="L65" i="7"/>
  <c r="M65" i="7"/>
  <c r="N65" i="7"/>
  <c r="O65" i="7"/>
  <c r="P65" i="7"/>
  <c r="Q65" i="7"/>
  <c r="L66" i="7"/>
  <c r="M66" i="7"/>
  <c r="N66" i="7"/>
  <c r="O66" i="7"/>
  <c r="P66" i="7"/>
  <c r="Q66" i="7"/>
  <c r="L67" i="7"/>
  <c r="M67" i="7"/>
  <c r="N67" i="7"/>
  <c r="O67" i="7"/>
  <c r="P67" i="7"/>
  <c r="Q67" i="7"/>
  <c r="L68" i="7"/>
  <c r="M68" i="7"/>
  <c r="N68" i="7"/>
  <c r="O68" i="7"/>
  <c r="P68" i="7"/>
  <c r="Q68" i="7"/>
  <c r="L69" i="7"/>
  <c r="M69" i="7"/>
  <c r="N69" i="7"/>
  <c r="O69" i="7"/>
  <c r="P69" i="7"/>
  <c r="Q69" i="7"/>
  <c r="L70" i="7"/>
  <c r="M70" i="7"/>
  <c r="N70" i="7"/>
  <c r="O70" i="7"/>
  <c r="P70" i="7"/>
  <c r="Q70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L6" i="7"/>
  <c r="M6" i="7"/>
  <c r="N6" i="7"/>
  <c r="O6" i="7"/>
  <c r="P6" i="7"/>
  <c r="Q6" i="7"/>
  <c r="L7" i="7"/>
  <c r="M7" i="7"/>
  <c r="N7" i="7"/>
  <c r="O7" i="7"/>
  <c r="P7" i="7"/>
  <c r="Q7" i="7"/>
  <c r="L8" i="7"/>
  <c r="M8" i="7"/>
  <c r="N8" i="7"/>
  <c r="O8" i="7"/>
  <c r="P8" i="7"/>
  <c r="Q8" i="7"/>
  <c r="L9" i="7"/>
  <c r="M9" i="7"/>
  <c r="N9" i="7"/>
  <c r="O9" i="7"/>
  <c r="P9" i="7"/>
  <c r="Q9" i="7"/>
  <c r="L10" i="7"/>
  <c r="M10" i="7"/>
  <c r="N10" i="7"/>
  <c r="O10" i="7"/>
  <c r="P10" i="7"/>
  <c r="Q10" i="7"/>
  <c r="L11" i="7"/>
  <c r="M11" i="7"/>
  <c r="N11" i="7"/>
  <c r="O11" i="7"/>
  <c r="P11" i="7"/>
  <c r="Q11" i="7"/>
  <c r="L12" i="7"/>
  <c r="M12" i="7"/>
  <c r="N12" i="7"/>
  <c r="O12" i="7"/>
  <c r="P12" i="7"/>
  <c r="Q12" i="7"/>
  <c r="L13" i="7"/>
  <c r="M13" i="7"/>
  <c r="N13" i="7"/>
  <c r="O13" i="7"/>
  <c r="P13" i="7"/>
  <c r="Q13" i="7"/>
  <c r="L14" i="7"/>
  <c r="M14" i="7"/>
  <c r="N14" i="7"/>
  <c r="O14" i="7"/>
  <c r="P14" i="7"/>
  <c r="Q14" i="7"/>
  <c r="L15" i="7"/>
  <c r="M15" i="7"/>
  <c r="N15" i="7"/>
  <c r="O15" i="7"/>
  <c r="P15" i="7"/>
  <c r="Q15" i="7"/>
  <c r="L16" i="7"/>
  <c r="M16" i="7"/>
  <c r="N16" i="7"/>
  <c r="O16" i="7"/>
  <c r="P16" i="7"/>
  <c r="Q16" i="7"/>
  <c r="L17" i="7"/>
  <c r="M17" i="7"/>
  <c r="N17" i="7"/>
  <c r="O17" i="7"/>
  <c r="P17" i="7"/>
  <c r="Q17" i="7"/>
  <c r="L18" i="7"/>
  <c r="M18" i="7"/>
  <c r="N18" i="7"/>
  <c r="O18" i="7"/>
  <c r="P18" i="7"/>
  <c r="Q18" i="7"/>
  <c r="L19" i="7"/>
  <c r="M19" i="7"/>
  <c r="N19" i="7"/>
  <c r="O19" i="7"/>
  <c r="P19" i="7"/>
  <c r="Q19" i="7"/>
  <c r="L20" i="7"/>
  <c r="M20" i="7"/>
  <c r="N20" i="7"/>
  <c r="O20" i="7"/>
  <c r="P20" i="7"/>
  <c r="Q20" i="7"/>
  <c r="L21" i="7"/>
  <c r="M21" i="7"/>
  <c r="N21" i="7"/>
  <c r="O21" i="7"/>
  <c r="P21" i="7"/>
  <c r="Q21" i="7"/>
  <c r="L22" i="7"/>
  <c r="M22" i="7"/>
  <c r="N22" i="7"/>
  <c r="O22" i="7"/>
  <c r="P22" i="7"/>
  <c r="Q22" i="7"/>
  <c r="L23" i="7"/>
  <c r="M23" i="7"/>
  <c r="N23" i="7"/>
  <c r="O23" i="7"/>
  <c r="P23" i="7"/>
  <c r="Q23" i="7"/>
  <c r="L24" i="7"/>
  <c r="M24" i="7"/>
  <c r="N24" i="7"/>
  <c r="O24" i="7"/>
  <c r="P24" i="7"/>
  <c r="Q24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S140" i="7" l="1"/>
  <c r="R140" i="7"/>
  <c r="H47" i="7" l="1"/>
  <c r="H23" i="7"/>
  <c r="E23" i="7"/>
  <c r="G120" i="7" l="1"/>
  <c r="F120" i="7"/>
  <c r="E120" i="7"/>
  <c r="D120" i="7"/>
  <c r="R119" i="7"/>
  <c r="S117" i="7" l="1"/>
  <c r="R117" i="7"/>
  <c r="C13" i="2"/>
  <c r="C12" i="2"/>
  <c r="C11" i="2"/>
  <c r="C10" i="2"/>
  <c r="C9" i="2"/>
  <c r="C8" i="2"/>
  <c r="C7" i="2"/>
  <c r="C6" i="2"/>
  <c r="C5" i="2"/>
  <c r="S142" i="7" l="1"/>
  <c r="R142" i="7"/>
  <c r="G142" i="7"/>
  <c r="E142" i="7"/>
  <c r="H142" i="7" s="1"/>
  <c r="S129" i="7"/>
  <c r="R129" i="7"/>
  <c r="K129" i="7"/>
  <c r="G129" i="7"/>
  <c r="D129" i="7"/>
  <c r="S122" i="7"/>
  <c r="R122" i="7"/>
  <c r="K122" i="7"/>
  <c r="G122" i="7"/>
  <c r="E122" i="7"/>
  <c r="D122" i="7"/>
  <c r="S145" i="7" l="1"/>
  <c r="R145" i="7"/>
  <c r="G145" i="7"/>
  <c r="F145" i="7"/>
  <c r="E145" i="7"/>
  <c r="D145" i="7"/>
  <c r="K118" i="7"/>
  <c r="G118" i="7"/>
  <c r="E118" i="7"/>
  <c r="D118" i="7"/>
  <c r="S144" i="7"/>
  <c r="R144" i="7"/>
  <c r="G144" i="7"/>
  <c r="E144" i="7"/>
  <c r="D144" i="7"/>
  <c r="S152" i="7"/>
  <c r="R152" i="7"/>
  <c r="G152" i="7"/>
  <c r="E152" i="7"/>
  <c r="D152" i="7"/>
  <c r="S154" i="7"/>
  <c r="R154" i="7"/>
  <c r="G154" i="7"/>
  <c r="E154" i="7"/>
  <c r="D154" i="7"/>
  <c r="G153" i="7"/>
  <c r="R153" i="7"/>
  <c r="S153" i="7"/>
  <c r="G138" i="7"/>
  <c r="E138" i="7"/>
  <c r="D138" i="7"/>
  <c r="S141" i="7"/>
  <c r="R141" i="7"/>
  <c r="G141" i="7"/>
  <c r="E141" i="7"/>
  <c r="D141" i="7"/>
  <c r="S148" i="7"/>
  <c r="R148" i="7"/>
  <c r="E148" i="7"/>
  <c r="D148" i="7"/>
  <c r="S133" i="7" l="1"/>
  <c r="R133" i="7"/>
  <c r="K133" i="7"/>
  <c r="G133" i="7"/>
  <c r="E133" i="7"/>
  <c r="D133" i="7"/>
  <c r="H51" i="7"/>
  <c r="S149" i="7"/>
  <c r="R149" i="7"/>
  <c r="G149" i="7"/>
  <c r="E149" i="7"/>
  <c r="D149" i="7"/>
  <c r="H91" i="7"/>
  <c r="H179" i="7"/>
  <c r="S131" i="7"/>
  <c r="R131" i="7"/>
  <c r="K131" i="7"/>
  <c r="G131" i="7"/>
  <c r="E131" i="7"/>
  <c r="D131" i="7"/>
  <c r="S151" i="7"/>
  <c r="R151" i="7"/>
  <c r="G151" i="7"/>
  <c r="E151" i="7"/>
  <c r="D151" i="7"/>
  <c r="H56" i="7"/>
  <c r="S121" i="7"/>
  <c r="R121" i="7"/>
  <c r="K121" i="7"/>
  <c r="G121" i="7"/>
  <c r="E121" i="7"/>
  <c r="D121" i="7"/>
  <c r="D143" i="7"/>
  <c r="E143" i="7"/>
  <c r="G143" i="7"/>
  <c r="F153" i="7" l="1"/>
  <c r="E153" i="7"/>
  <c r="D153" i="7"/>
  <c r="S137" i="7"/>
  <c r="R137" i="7"/>
  <c r="G137" i="7"/>
  <c r="E137" i="7"/>
  <c r="D137" i="7"/>
  <c r="K128" i="7"/>
  <c r="G128" i="7"/>
  <c r="E128" i="7"/>
  <c r="D128" i="7"/>
  <c r="S120" i="7" l="1"/>
  <c r="R120" i="7"/>
  <c r="K120" i="7"/>
  <c r="S233" i="7"/>
  <c r="R233" i="7"/>
  <c r="K233" i="7"/>
  <c r="G233" i="7"/>
  <c r="F233" i="7"/>
  <c r="E233" i="7"/>
  <c r="D233" i="7"/>
  <c r="S119" i="7"/>
  <c r="K119" i="7"/>
  <c r="G119" i="7"/>
  <c r="F119" i="7"/>
  <c r="E119" i="7"/>
  <c r="D119" i="7"/>
  <c r="S147" i="7" l="1"/>
  <c r="R147" i="7"/>
  <c r="G147" i="7"/>
  <c r="F147" i="7"/>
  <c r="E147" i="7"/>
  <c r="D147" i="7"/>
  <c r="S146" i="7" l="1"/>
  <c r="R146" i="7"/>
  <c r="G146" i="7"/>
  <c r="F146" i="7"/>
  <c r="E146" i="7"/>
  <c r="D146" i="7"/>
  <c r="H218" i="7"/>
  <c r="H219" i="7"/>
  <c r="H168" i="7"/>
  <c r="H110" i="7" l="1"/>
  <c r="S125" i="7"/>
  <c r="R125" i="7"/>
  <c r="K125" i="7"/>
  <c r="G125" i="7"/>
  <c r="E125" i="7"/>
  <c r="D125" i="7"/>
  <c r="S130" i="7"/>
  <c r="R130" i="7"/>
  <c r="K130" i="7"/>
  <c r="G130" i="7"/>
  <c r="E130" i="7"/>
  <c r="D130" i="7"/>
  <c r="S127" i="7"/>
  <c r="R127" i="7"/>
  <c r="S126" i="7"/>
  <c r="R126" i="7"/>
  <c r="S235" i="7"/>
  <c r="R235" i="7"/>
  <c r="S124" i="7"/>
  <c r="R124" i="7"/>
  <c r="K124" i="7"/>
  <c r="G124" i="7"/>
  <c r="E124" i="7"/>
  <c r="D124" i="7"/>
  <c r="S123" i="7"/>
  <c r="R123" i="7"/>
  <c r="K123" i="7"/>
  <c r="G123" i="7"/>
  <c r="E123" i="7"/>
  <c r="D123" i="7"/>
  <c r="S136" i="7"/>
  <c r="R136" i="7"/>
  <c r="K136" i="7"/>
  <c r="G136" i="7"/>
  <c r="E136" i="7"/>
  <c r="D136" i="7"/>
  <c r="S139" i="7" l="1"/>
  <c r="R139" i="7"/>
  <c r="G139" i="7"/>
  <c r="E139" i="7"/>
  <c r="D139" i="7"/>
  <c r="H44" i="7" l="1"/>
  <c r="H54" i="7" l="1"/>
  <c r="H80" i="7" l="1"/>
  <c r="S138" i="7"/>
  <c r="R138" i="7"/>
  <c r="H138" i="7"/>
  <c r="H107" i="7"/>
  <c r="H188" i="7"/>
  <c r="H212" i="7"/>
  <c r="H153" i="7" l="1"/>
  <c r="H30" i="7" l="1"/>
  <c r="H74" i="7"/>
  <c r="H48" i="7"/>
  <c r="H40" i="7" l="1"/>
  <c r="H175" i="7"/>
  <c r="H176" i="7"/>
  <c r="H169" i="7"/>
  <c r="P225" i="7" l="1"/>
  <c r="N225" i="7"/>
  <c r="M225" i="7"/>
  <c r="H225" i="7"/>
  <c r="Q225" i="7" s="1"/>
  <c r="O225" i="7" l="1"/>
  <c r="H167" i="7" l="1"/>
  <c r="I238" i="7" l="1"/>
  <c r="H148" i="7"/>
  <c r="H60" i="7"/>
  <c r="J233" i="7" l="1"/>
  <c r="T229" i="7"/>
  <c r="K229" i="7"/>
  <c r="I229" i="7"/>
  <c r="J206" i="7" l="1"/>
  <c r="B4" i="3"/>
  <c r="D12" i="2"/>
  <c r="J225" i="7"/>
  <c r="L225" i="7"/>
  <c r="H190" i="7"/>
  <c r="H150" i="7"/>
  <c r="H64" i="7" l="1"/>
  <c r="T238" i="7"/>
  <c r="B14" i="6" s="1"/>
  <c r="B13" i="6"/>
  <c r="H10" i="7" l="1"/>
  <c r="H69" i="7" l="1"/>
  <c r="H111" i="7" l="1"/>
  <c r="H152" i="7" l="1"/>
  <c r="H117" i="7"/>
  <c r="H237" i="7" l="1"/>
  <c r="H236" i="7"/>
  <c r="H235" i="7"/>
  <c r="H234" i="7"/>
  <c r="H159" i="7" l="1"/>
  <c r="K238" i="7" l="1"/>
  <c r="P233" i="7"/>
  <c r="M233" i="7"/>
  <c r="N233" i="7"/>
  <c r="H233" i="7"/>
  <c r="B3" i="3" l="1"/>
  <c r="D13" i="2"/>
  <c r="L233" i="7"/>
  <c r="Q233" i="7"/>
  <c r="O233" i="7"/>
  <c r="H5" i="7"/>
  <c r="H46" i="7" l="1"/>
  <c r="S128" i="7"/>
  <c r="R128" i="7"/>
  <c r="H128" i="7" l="1"/>
  <c r="H18" i="7"/>
  <c r="H171" i="7" l="1"/>
  <c r="H228" i="7" l="1"/>
  <c r="H226" i="7"/>
  <c r="H227" i="7"/>
  <c r="H222" i="7"/>
  <c r="H20" i="7" l="1"/>
  <c r="H139" i="7" l="1"/>
  <c r="H124" i="7"/>
  <c r="S118" i="7"/>
  <c r="R118" i="7"/>
  <c r="S143" i="7"/>
  <c r="R143" i="7"/>
  <c r="M199" i="7" l="1"/>
  <c r="N199" i="7"/>
  <c r="P199" i="7"/>
  <c r="H210" i="7" l="1"/>
  <c r="H120" i="7"/>
  <c r="H34" i="7" l="1"/>
  <c r="H32" i="7" l="1"/>
  <c r="H143" i="7" l="1"/>
  <c r="H45" i="7" l="1"/>
  <c r="H158" i="7" l="1"/>
  <c r="H100" i="7" l="1"/>
  <c r="H109" i="7" l="1"/>
  <c r="T164" i="7" l="1"/>
  <c r="B10" i="6" s="1"/>
  <c r="K164" i="7"/>
  <c r="P209" i="7"/>
  <c r="N209" i="7"/>
  <c r="M209" i="7"/>
  <c r="I164" i="7"/>
  <c r="J159" i="7" l="1"/>
  <c r="J161" i="7"/>
  <c r="J163" i="7"/>
  <c r="J160" i="7"/>
  <c r="J162" i="7"/>
  <c r="D9" i="2"/>
  <c r="B8" i="3"/>
  <c r="M164" i="7"/>
  <c r="H214" i="7"/>
  <c r="H15" i="7" l="1"/>
  <c r="H140" i="7" l="1"/>
  <c r="H85" i="7"/>
  <c r="H183" i="7"/>
  <c r="H22" i="7"/>
  <c r="H170" i="7" l="1"/>
  <c r="H172" i="7"/>
  <c r="H173" i="7"/>
  <c r="H174" i="7"/>
  <c r="H177" i="7"/>
  <c r="H180" i="7"/>
  <c r="H182" i="7"/>
  <c r="H181" i="7"/>
  <c r="H184" i="7"/>
  <c r="H185" i="7"/>
  <c r="H186" i="7"/>
  <c r="H187" i="7"/>
  <c r="H189" i="7"/>
  <c r="H191" i="7"/>
  <c r="H192" i="7"/>
  <c r="H193" i="7"/>
  <c r="H194" i="7"/>
  <c r="H195" i="7"/>
  <c r="P158" i="7" l="1"/>
  <c r="N158" i="7"/>
  <c r="M158" i="7"/>
  <c r="H211" i="7" l="1"/>
  <c r="H213" i="7"/>
  <c r="H215" i="7"/>
  <c r="H216" i="7"/>
  <c r="H217" i="7"/>
  <c r="H220" i="7"/>
  <c r="H221" i="7"/>
  <c r="H209" i="7" l="1"/>
  <c r="H206" i="7"/>
  <c r="H205" i="7"/>
  <c r="H199" i="7"/>
  <c r="H200" i="7"/>
  <c r="H160" i="7"/>
  <c r="H161" i="7"/>
  <c r="H162" i="7"/>
  <c r="H163" i="7"/>
  <c r="H137" i="7"/>
  <c r="H141" i="7"/>
  <c r="H144" i="7"/>
  <c r="H145" i="7"/>
  <c r="H146" i="7"/>
  <c r="H147" i="7"/>
  <c r="H149" i="7"/>
  <c r="H151" i="7"/>
  <c r="H154" i="7"/>
  <c r="H136" i="7"/>
  <c r="H118" i="7"/>
  <c r="H119" i="7"/>
  <c r="H121" i="7"/>
  <c r="H122" i="7"/>
  <c r="H123" i="7"/>
  <c r="H125" i="7"/>
  <c r="H126" i="7"/>
  <c r="H127" i="7"/>
  <c r="H129" i="7"/>
  <c r="H130" i="7"/>
  <c r="H131" i="7"/>
  <c r="H132" i="7"/>
  <c r="H133" i="7"/>
  <c r="O199" i="7" l="1"/>
  <c r="Q199" i="7"/>
  <c r="Q209" i="7"/>
  <c r="O209" i="7"/>
  <c r="Q158" i="7"/>
  <c r="O158" i="7"/>
  <c r="H75" i="7"/>
  <c r="H76" i="7"/>
  <c r="H77" i="7"/>
  <c r="H78" i="7"/>
  <c r="H79" i="7"/>
  <c r="H81" i="7"/>
  <c r="H82" i="7"/>
  <c r="H83" i="7"/>
  <c r="H84" i="7"/>
  <c r="H86" i="7"/>
  <c r="H87" i="7"/>
  <c r="H88" i="7"/>
  <c r="H89" i="7"/>
  <c r="H90" i="7"/>
  <c r="H92" i="7"/>
  <c r="H93" i="7"/>
  <c r="H94" i="7"/>
  <c r="H95" i="7"/>
  <c r="H96" i="7"/>
  <c r="H97" i="7"/>
  <c r="H98" i="7"/>
  <c r="H99" i="7"/>
  <c r="H101" i="7"/>
  <c r="H102" i="7"/>
  <c r="H103" i="7"/>
  <c r="H104" i="7"/>
  <c r="H105" i="7"/>
  <c r="H106" i="7"/>
  <c r="H108" i="7"/>
  <c r="H112" i="7"/>
  <c r="H8" i="7"/>
  <c r="H9" i="7"/>
  <c r="H11" i="7"/>
  <c r="H12" i="7"/>
  <c r="H13" i="7"/>
  <c r="H14" i="7"/>
  <c r="H16" i="7"/>
  <c r="H17" i="7"/>
  <c r="H19" i="7"/>
  <c r="H21" i="7"/>
  <c r="H24" i="7"/>
  <c r="H6" i="7"/>
  <c r="H7" i="7"/>
  <c r="H29" i="7" l="1"/>
  <c r="H31" i="7"/>
  <c r="H33" i="7"/>
  <c r="H35" i="7"/>
  <c r="H36" i="7"/>
  <c r="H37" i="7"/>
  <c r="H38" i="7"/>
  <c r="H39" i="7"/>
  <c r="H41" i="7"/>
  <c r="H42" i="7"/>
  <c r="H43" i="7"/>
  <c r="H49" i="7"/>
  <c r="H50" i="7"/>
  <c r="H52" i="7"/>
  <c r="H53" i="7"/>
  <c r="H55" i="7"/>
  <c r="H57" i="7"/>
  <c r="H58" i="7"/>
  <c r="H59" i="7"/>
  <c r="H61" i="7"/>
  <c r="H62" i="7"/>
  <c r="H63" i="7"/>
  <c r="H65" i="7"/>
  <c r="H66" i="7"/>
  <c r="H67" i="7"/>
  <c r="H68" i="7"/>
  <c r="H70" i="7"/>
  <c r="Q205" i="7" l="1"/>
  <c r="P205" i="7"/>
  <c r="O205" i="7"/>
  <c r="N205" i="7"/>
  <c r="M205" i="7"/>
  <c r="T201" i="7"/>
  <c r="B12" i="6" s="1"/>
  <c r="K201" i="7"/>
  <c r="I201" i="7"/>
  <c r="J200" i="7" s="1"/>
  <c r="K196" i="7"/>
  <c r="I196" i="7"/>
  <c r="T196" i="7"/>
  <c r="B11" i="6" s="1"/>
  <c r="P167" i="7"/>
  <c r="N167" i="7"/>
  <c r="M167" i="7"/>
  <c r="Q167" i="7"/>
  <c r="L158" i="7"/>
  <c r="T155" i="7"/>
  <c r="B9" i="6" s="1"/>
  <c r="P117" i="7"/>
  <c r="N117" i="7"/>
  <c r="M117" i="7"/>
  <c r="Q117" i="7"/>
  <c r="T113" i="7"/>
  <c r="B8" i="6" s="1"/>
  <c r="K113" i="7"/>
  <c r="I113" i="7"/>
  <c r="P74" i="7"/>
  <c r="N74" i="7"/>
  <c r="M74" i="7"/>
  <c r="T71" i="7"/>
  <c r="B7" i="6" s="1"/>
  <c r="K71" i="7"/>
  <c r="I71" i="7"/>
  <c r="P28" i="7"/>
  <c r="N28" i="7"/>
  <c r="M28" i="7"/>
  <c r="H28" i="7"/>
  <c r="Q28" i="7" s="1"/>
  <c r="T25" i="7"/>
  <c r="B6" i="6" s="1"/>
  <c r="K25" i="7"/>
  <c r="I25" i="7"/>
  <c r="P5" i="7"/>
  <c r="N5" i="7"/>
  <c r="M5" i="7"/>
  <c r="Q5" i="7"/>
  <c r="J76" i="7" l="1"/>
  <c r="J78" i="7"/>
  <c r="J80" i="7"/>
  <c r="J82" i="7"/>
  <c r="J84" i="7"/>
  <c r="J86" i="7"/>
  <c r="J88" i="7"/>
  <c r="J90" i="7"/>
  <c r="J92" i="7"/>
  <c r="J94" i="7"/>
  <c r="J96" i="7"/>
  <c r="J98" i="7"/>
  <c r="J100" i="7"/>
  <c r="J102" i="7"/>
  <c r="J104" i="7"/>
  <c r="J106" i="7"/>
  <c r="J108" i="7"/>
  <c r="J110" i="7"/>
  <c r="J112" i="7"/>
  <c r="J75" i="7"/>
  <c r="J77" i="7"/>
  <c r="J79" i="7"/>
  <c r="J81" i="7"/>
  <c r="J83" i="7"/>
  <c r="J85" i="7"/>
  <c r="J87" i="7"/>
  <c r="J89" i="7"/>
  <c r="J91" i="7"/>
  <c r="J93" i="7"/>
  <c r="J95" i="7"/>
  <c r="J97" i="7"/>
  <c r="J99" i="7"/>
  <c r="J101" i="7"/>
  <c r="J103" i="7"/>
  <c r="J105" i="7"/>
  <c r="J107" i="7"/>
  <c r="J109" i="7"/>
  <c r="J111" i="7"/>
  <c r="D11" i="2"/>
  <c r="D10" i="2"/>
  <c r="D7" i="2"/>
  <c r="D6" i="2"/>
  <c r="B5" i="3"/>
  <c r="D5" i="2"/>
  <c r="B2" i="3"/>
  <c r="B7" i="3"/>
  <c r="B10" i="3"/>
  <c r="L199" i="7"/>
  <c r="J199" i="7"/>
  <c r="B6" i="3"/>
  <c r="M201" i="7"/>
  <c r="L209" i="7"/>
  <c r="J209" i="7"/>
  <c r="M25" i="7"/>
  <c r="M71" i="7"/>
  <c r="M113" i="7"/>
  <c r="M196" i="7"/>
  <c r="J158" i="7"/>
  <c r="Q136" i="7"/>
  <c r="N136" i="7"/>
  <c r="J74" i="7"/>
  <c r="L205" i="7"/>
  <c r="O117" i="7"/>
  <c r="J167" i="7"/>
  <c r="L28" i="7"/>
  <c r="J205" i="7"/>
  <c r="M229" i="7"/>
  <c r="T230" i="7"/>
  <c r="T239" i="7" s="1"/>
  <c r="L74" i="7"/>
  <c r="M136" i="7"/>
  <c r="P136" i="7"/>
  <c r="O167" i="7"/>
  <c r="L5" i="7"/>
  <c r="Q74" i="7"/>
  <c r="O74" i="7"/>
  <c r="K155" i="7"/>
  <c r="J5" i="7"/>
  <c r="O5" i="7"/>
  <c r="J28" i="7"/>
  <c r="O28" i="7"/>
  <c r="I155" i="7"/>
  <c r="L167" i="7"/>
  <c r="J138" i="7" l="1"/>
  <c r="J140" i="7"/>
  <c r="J142" i="7"/>
  <c r="J144" i="7"/>
  <c r="J146" i="7"/>
  <c r="J148" i="7"/>
  <c r="J150" i="7"/>
  <c r="J152" i="7"/>
  <c r="J154" i="7"/>
  <c r="J137" i="7"/>
  <c r="J139" i="7"/>
  <c r="J141" i="7"/>
  <c r="J143" i="7"/>
  <c r="J145" i="7"/>
  <c r="J147" i="7"/>
  <c r="J149" i="7"/>
  <c r="J151" i="7"/>
  <c r="J153" i="7"/>
  <c r="D8" i="2"/>
  <c r="B9" i="3"/>
  <c r="J136" i="7"/>
  <c r="M155" i="7"/>
  <c r="O136" i="7"/>
  <c r="K230" i="7"/>
  <c r="J117" i="7"/>
  <c r="L117" i="7"/>
  <c r="L136" i="7"/>
  <c r="I230" i="7"/>
  <c r="I239" i="7" l="1"/>
  <c r="K239" i="7"/>
  <c r="J238" i="7" l="1"/>
  <c r="J201" i="7"/>
  <c r="J164" i="7"/>
  <c r="J113" i="7"/>
  <c r="J25" i="7"/>
  <c r="J229" i="7"/>
  <c r="J155" i="7"/>
  <c r="J71" i="7"/>
  <c r="J196" i="7"/>
  <c r="L229" i="7"/>
  <c r="L201" i="7"/>
  <c r="L25" i="7"/>
  <c r="L196" i="7"/>
  <c r="L164" i="7"/>
  <c r="L113" i="7"/>
  <c r="L71" i="7"/>
  <c r="L238" i="7"/>
  <c r="L155" i="7"/>
</calcChain>
</file>

<file path=xl/sharedStrings.xml><?xml version="1.0" encoding="utf-8"?>
<sst xmlns="http://schemas.openxmlformats.org/spreadsheetml/2006/main" count="487" uniqueCount="329">
  <si>
    <t>S/N</t>
  </si>
  <si>
    <t>FUND</t>
  </si>
  <si>
    <t>FUND MANAGER</t>
  </si>
  <si>
    <t>TOTAL VALUE OF INVESTMENT (N)</t>
  </si>
  <si>
    <t>TOTAL INCOME (N)</t>
  </si>
  <si>
    <t>UNREALIZED CAPITAL GAIN/LOSS (N)</t>
  </si>
  <si>
    <t>TOTAL EXPENSES (N)</t>
  </si>
  <si>
    <t>NET INCOME/LOSS (N)</t>
  </si>
  <si>
    <t>% ON TOTAL</t>
  </si>
  <si>
    <t xml:space="preserve">NET ASSET VALUE (N) </t>
  </si>
  <si>
    <t>% CHANGE IN NAV</t>
  </si>
  <si>
    <t>EXPENSE RATIO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</si>
  <si>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</si>
  <si>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</si>
  <si>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</si>
  <si>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</si>
  <si>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</si>
  <si>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</si>
  <si>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OPENING NUMBER OF UNITS</t>
  </si>
  <si>
    <t>CLOSING NUMBER OF UNITS</t>
  </si>
  <si>
    <t>EQUITY BASED FUNDS</t>
  </si>
  <si>
    <t>Afrinvest Equity Fund</t>
  </si>
  <si>
    <t>Afrinvest Asset Management Ltd.</t>
  </si>
  <si>
    <t>Anchoria Equity Fund</t>
  </si>
  <si>
    <t>Anchoria Asset Management Limited</t>
  </si>
  <si>
    <t>ARM Aggressive Growth Fund</t>
  </si>
  <si>
    <t xml:space="preserve">ARM Investment Managers Limited </t>
  </si>
  <si>
    <t>AXA Mansard Equity Income Fund</t>
  </si>
  <si>
    <t>AXA Mansard Investments Limited</t>
  </si>
  <si>
    <t>FBN Nigeria Smart Beta Equity Fund</t>
  </si>
  <si>
    <t>FBN Capital Asset Mgt</t>
  </si>
  <si>
    <t>Frontier Fund</t>
  </si>
  <si>
    <t>SCM Capital Limited</t>
  </si>
  <si>
    <t>Futureview Equity Fund</t>
  </si>
  <si>
    <t xml:space="preserve">Futureview Asset Management Limited </t>
  </si>
  <si>
    <t>Guaranty Trust Equity Income Fund</t>
  </si>
  <si>
    <t>Guaranty Trust Fund Managers Limited</t>
  </si>
  <si>
    <t>Legacy Equity Fund</t>
  </si>
  <si>
    <t>First City Asset Management Plc</t>
  </si>
  <si>
    <t>Meristem Equity Market Fund</t>
  </si>
  <si>
    <t>Meristem Wealth Management Limited</t>
  </si>
  <si>
    <t>Pacam Equity Fund</t>
  </si>
  <si>
    <t>PAC Asset Management Ltd.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</si>
  <si>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</si>
  <si>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</si>
  <si>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</si>
  <si>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</si>
  <si>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</si>
  <si>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Cowry Treasurers Limited</t>
  </si>
  <si>
    <t>United Capital Equity Fund</t>
  </si>
  <si>
    <t>United Capital Asset Mgt. Ltd</t>
  </si>
  <si>
    <t>Sub 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</si>
  <si>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</si>
  <si>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</si>
  <si>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</si>
  <si>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</si>
  <si>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</si>
  <si>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</si>
  <si>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ARM Investment Managers Limited</t>
  </si>
  <si>
    <t>AXA Mansard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</si>
  <si>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</si>
  <si>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</si>
  <si>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</si>
  <si>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</si>
  <si>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</si>
  <si>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EDC Money Market Class A</t>
  </si>
  <si>
    <t>EDC Fund Management</t>
  </si>
  <si>
    <t>EDC Money Market Class B</t>
  </si>
  <si>
    <t>Emerging Africa Money Market Fund</t>
  </si>
  <si>
    <t>Emerging Africa Asset Management Limited</t>
  </si>
  <si>
    <t>FAAM Money Market Fund</t>
  </si>
  <si>
    <t>First Ally Asset Management Limited</t>
  </si>
  <si>
    <t>FBN Money Market Fund</t>
  </si>
  <si>
    <t>FBN Capital Asset Mgt. Limited</t>
  </si>
  <si>
    <t>GDL Money Market Fund</t>
  </si>
  <si>
    <t xml:space="preserve">Growth and Development Asset Management Limited </t>
  </si>
  <si>
    <t>Greenwich Plus Money Market</t>
  </si>
  <si>
    <t xml:space="preserve">Greenwich Asst Management Ltd </t>
  </si>
  <si>
    <t>Guaranty Trust Money Market Fund</t>
  </si>
  <si>
    <t>Legacy Money Market Fund</t>
  </si>
  <si>
    <t>Meristem Money Market Fund</t>
  </si>
  <si>
    <t>Norrenberger Money Market Fund</t>
  </si>
  <si>
    <t>NOVA Prime Money Market Fund</t>
  </si>
  <si>
    <t>NOVAMBL Asset Management Limited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</si>
  <si>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</si>
  <si>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</si>
  <si>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</si>
  <si>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</si>
  <si>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</si>
  <si>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</si>
  <si>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</si>
  <si>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</si>
  <si>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</si>
  <si>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</si>
  <si>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</si>
  <si>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</si>
  <si>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</si>
  <si>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</si>
  <si>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Term-Bond Fund</t>
  </si>
  <si>
    <t>ARM Investment Managers</t>
  </si>
  <si>
    <t>AVA GAM Fixed Income Naira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</si>
  <si>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</si>
  <si>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</si>
  <si>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</si>
  <si>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</si>
  <si>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Assset &amp; Trust Limited</t>
  </si>
  <si>
    <t>Coral Income Fund</t>
  </si>
  <si>
    <t>Cordros Fixed Income Fund</t>
  </si>
  <si>
    <t>Coronation Fixed Income Fund</t>
  </si>
  <si>
    <t>DLM Fixed Income Fund</t>
  </si>
  <si>
    <t>DLM Asset Management Limited</t>
  </si>
  <si>
    <t>EDC Nigeria Fixed Income Fund</t>
  </si>
  <si>
    <t>Emerging Africa Bond Fund</t>
  </si>
  <si>
    <t>GDL Income Fund</t>
  </si>
  <si>
    <t xml:space="preserve">Lead Fixed Income Fund </t>
  </si>
  <si>
    <t>Lead Asset Mgt Ltd</t>
  </si>
  <si>
    <t>Legacy Debt Fund</t>
  </si>
  <si>
    <t>Lotus Halal Fixed Income Fund</t>
  </si>
  <si>
    <t>Lotus Capital Limited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</si>
  <si>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</si>
  <si>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</si>
  <si>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</si>
  <si>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</si>
  <si>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</si>
  <si>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</si>
  <si>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</si>
  <si>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</si>
  <si>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</si>
  <si>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</si>
  <si>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</si>
  <si>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</t>
  </si>
  <si>
    <t>EUROBONDS</t>
  </si>
  <si>
    <t>Afrinvest Dollar Fund</t>
  </si>
  <si>
    <t>ARM Eurobond Fund</t>
  </si>
  <si>
    <t>Emerging Africa Eurobond Fund</t>
  </si>
  <si>
    <t>FBNQuest Asset Management Limited</t>
  </si>
  <si>
    <t>FBN Specialized Dollar Fund</t>
  </si>
  <si>
    <t>Futureview Dollar Fund</t>
  </si>
  <si>
    <t>Futureview Asset Management Limited</t>
  </si>
  <si>
    <t>Legacy USD Bond Fund</t>
  </si>
  <si>
    <t>First City Asset Management Ltd.</t>
  </si>
  <si>
    <t>Nigerian Eurobond Fund</t>
  </si>
  <si>
    <t>Norrenberger Dollar Fund</t>
  </si>
  <si>
    <t>Norrenberger Investment &amp; Capital Management Limited</t>
  </si>
  <si>
    <t>Pacam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</si>
  <si>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</si>
  <si>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</si>
  <si>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</si>
  <si>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</si>
  <si>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</si>
  <si>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</si>
  <si>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</si>
  <si>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</si>
  <si>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 xml:space="preserve">United Capital Global Fixed Income Fund </t>
  </si>
  <si>
    <t>REAL ESTATE FUNDS</t>
  </si>
  <si>
    <t>Nigeria Real Estate Investment Trust</t>
  </si>
  <si>
    <t>SFS Real Estate Investment Trust Fund</t>
  </si>
  <si>
    <t>Union Homes REITS</t>
  </si>
  <si>
    <t>UPDC Real Estate Investment Fund</t>
  </si>
  <si>
    <t>Stanbic IBTC Asset Management Limited</t>
  </si>
  <si>
    <t>BALANCED FUNDS</t>
  </si>
  <si>
    <t>AIICO Balanced Fund</t>
  </si>
  <si>
    <t>ARM Discovery Balanced Fund</t>
  </si>
  <si>
    <t>Capital Express Balanced Fund</t>
  </si>
  <si>
    <t>Coral Balanced Fund</t>
  </si>
  <si>
    <t>Cordros Milestone Fund</t>
  </si>
  <si>
    <t>Coronation Balanced Fund</t>
  </si>
  <si>
    <t>EDC Balanced Fund</t>
  </si>
  <si>
    <t>EDC Fund Management Limited</t>
  </si>
  <si>
    <t>Emerging Africa Balanced-Diversity Fund</t>
  </si>
  <si>
    <t>FBN Balanced Fund</t>
  </si>
  <si>
    <t>GDL Canary Balanced Fund</t>
  </si>
  <si>
    <t>Greenwich Balanced Fund</t>
  </si>
  <si>
    <t>Guaranty Trust Balanced Fund</t>
  </si>
  <si>
    <t xml:space="preserve">Lead Balanced Fund 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</si>
  <si>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</si>
  <si>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</si>
  <si>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</si>
  <si>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</si>
  <si>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</si>
  <si>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ValuAlliance Value Fund</t>
  </si>
  <si>
    <t>Wealth For Women Fund</t>
  </si>
  <si>
    <t>Zenith Balanced Strategy Fund</t>
  </si>
  <si>
    <t>ETHICAL FUNDS</t>
  </si>
  <si>
    <t>Stanbic IBTC Ethical Fund</t>
  </si>
  <si>
    <t>Zenith ESG Impact Fund</t>
  </si>
  <si>
    <t>SHARI'AH COMPLIANT FUNDS</t>
  </si>
  <si>
    <t>EQUITIES</t>
  </si>
  <si>
    <t>Lotus Halal Investment  Fund</t>
  </si>
  <si>
    <t>Stanbic IBTC Imaan Fund</t>
  </si>
  <si>
    <t>Capital Trust Halal Fixed Income Fund</t>
  </si>
  <si>
    <t>Capital Trust Investments &amp; Asset Mgt. Ltd</t>
  </si>
  <si>
    <t>Cordros Halal Fixed Income Fund</t>
  </si>
  <si>
    <t>EDC Halal Fund</t>
  </si>
  <si>
    <t>FBN Halal Fund</t>
  </si>
  <si>
    <t>Norrenberger Islamic Fund</t>
  </si>
  <si>
    <t>Stanbic IBTC Shariah Fixed Income Fund</t>
  </si>
  <si>
    <t>United Capital Sukuk Fund</t>
  </si>
  <si>
    <t>Grand Total</t>
  </si>
  <si>
    <t>Note:</t>
  </si>
  <si>
    <t>FUNDS</t>
  </si>
  <si>
    <t>BONDS/FIXED INCOME FUNDS</t>
  </si>
  <si>
    <t>DOLLAR FUNDS</t>
  </si>
  <si>
    <t>REAL ESTATE INVESTMENT TRUST</t>
  </si>
  <si>
    <t>SHARI'AH COMPLAINT FUNDS</t>
  </si>
  <si>
    <t>UNIT HOLDERS</t>
  </si>
  <si>
    <t>Cowry Equity Fund</t>
  </si>
  <si>
    <t>CardinalStone Equity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</si>
  <si>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</si>
  <si>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</si>
  <si>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</si>
  <si>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</si>
  <si>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</si>
  <si>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Comercio Partners Money Market Fund</t>
  </si>
  <si>
    <t>Comercio Partners Asset Management Limited</t>
  </si>
  <si>
    <t>BALANCED</t>
  </si>
  <si>
    <t>Lotus Waqf (Endowment) Fund</t>
  </si>
  <si>
    <t>Marble Halal Commodities Fund</t>
  </si>
  <si>
    <t xml:space="preserve">Marble Capital Limited </t>
  </si>
  <si>
    <t>Marble Halal Fixed Income Fund</t>
  </si>
  <si>
    <t>FSDH Halal Fund</t>
  </si>
  <si>
    <t>Alpha Morgan Balanced Fund</t>
  </si>
  <si>
    <t>Alpha Morgan Capital Managers Limited</t>
  </si>
  <si>
    <t>Cowry Balanced Fund</t>
  </si>
  <si>
    <t>The Nigeria Football Fund</t>
  </si>
  <si>
    <t>GTI Asset Management &amp; Trust Limited</t>
  </si>
  <si>
    <t>GTI Balanced Fund</t>
  </si>
  <si>
    <t>Housing Solution Fund</t>
  </si>
  <si>
    <t>FUNDCO Capital Managers Limited</t>
  </si>
  <si>
    <t>Coral Money Market Fund</t>
  </si>
  <si>
    <t>AIICO Eurobond Fund</t>
  </si>
  <si>
    <t>RMBN Dollar Fixed Income Fund</t>
  </si>
  <si>
    <t>Lead Dollar Fixed Income Fund</t>
  </si>
  <si>
    <t>Lead Asset Management Limited</t>
  </si>
  <si>
    <t>Meristem Dollar Fund</t>
  </si>
  <si>
    <t>CardinalStone Dollar Fund</t>
  </si>
  <si>
    <t>Comercio Partners Dollar Fund</t>
  </si>
  <si>
    <t>Cowry Eurobond Fund</t>
  </si>
  <si>
    <t>EDC Dollar Fund</t>
  </si>
  <si>
    <t>Cowry Fixed Income Fund</t>
  </si>
  <si>
    <t>Guaranty Trust Fixed Income Fund</t>
  </si>
  <si>
    <t>Utica Custodian Assured Fixed Income Fund</t>
  </si>
  <si>
    <t>Utica Capital Limited</t>
  </si>
  <si>
    <t>Nigeria Bond Fund</t>
  </si>
  <si>
    <t>Meristem Fixed Income Fund</t>
  </si>
  <si>
    <t>Comercio Partners Fixed Income Fund</t>
  </si>
  <si>
    <t>FBN Bond Fund</t>
  </si>
  <si>
    <t>Norrenberger Turbo Fixed Income Fund</t>
  </si>
  <si>
    <t>Norrenberger Investment &amp; Capital Mgt. Ltd.</t>
  </si>
  <si>
    <t>GTI  Money Market Fund</t>
  </si>
  <si>
    <t>Growth and Development Asset Management Limited</t>
  </si>
  <si>
    <t>Halo Equity Fund</t>
  </si>
  <si>
    <t>Zrosk Magna Equity Fund</t>
  </si>
  <si>
    <t>Zrosk Investment Management Limited</t>
  </si>
  <si>
    <t>Hillcrest Balanced Fund</t>
  </si>
  <si>
    <t>Hillcrest Capital Management Limited</t>
  </si>
  <si>
    <t>Coronation Dollar Fund</t>
  </si>
  <si>
    <t>Coronation Premium Fixed Income Fund</t>
  </si>
  <si>
    <t>Emerging Africa Halal Fund</t>
  </si>
  <si>
    <t>Chapel Hill Denham Money Market Fund</t>
  </si>
  <si>
    <t>Norrenberger Investment and Capital Mgt Limited</t>
  </si>
  <si>
    <t>United Capital Stable Fixed Income Fund</t>
  </si>
  <si>
    <t>Radix Horizon Fund</t>
  </si>
  <si>
    <t>Radix Capital Partners Limited</t>
  </si>
  <si>
    <t>CardinalStone Money Market Fund</t>
  </si>
  <si>
    <t>FSL Money Market Fund</t>
  </si>
  <si>
    <t>FSL  Asset Management Limited</t>
  </si>
  <si>
    <t>Guaranty Trust Investment Fund 724</t>
  </si>
  <si>
    <t>Guaranty Trust Dollar Fund</t>
  </si>
  <si>
    <t>AVA GAM Money Market Fund</t>
  </si>
  <si>
    <t>ARM Short-Term Eurobond Fund</t>
  </si>
  <si>
    <t>ARM Sharia Compliant Fixed Income Fund</t>
  </si>
  <si>
    <t>FSL Eurobond Fund</t>
  </si>
  <si>
    <t>FSL Asset Management Limited</t>
  </si>
  <si>
    <t>Halo Nigeria Capital Management Limited</t>
  </si>
  <si>
    <t>Mango Naira Money Maket Fund</t>
  </si>
  <si>
    <t>Mango Asset Management Limited</t>
  </si>
  <si>
    <t>CardinalStone Balanced Fund</t>
  </si>
  <si>
    <t>One17 Halal Fund</t>
  </si>
  <si>
    <t>One17 Capital Limited</t>
  </si>
  <si>
    <t>ARM Halal Balanced Fund</t>
  </si>
  <si>
    <t>MOFI Real Estate Investment Fund</t>
  </si>
  <si>
    <t>SPECIALISED FUNDS</t>
  </si>
  <si>
    <t>ARM Specialized Dollar Fund</t>
  </si>
  <si>
    <t>Clean Energy Fund</t>
  </si>
  <si>
    <t>Fundco Capital Managers Limited</t>
  </si>
  <si>
    <t>FBN Blended Dollar Fund</t>
  </si>
  <si>
    <t>FCMB-TLG Private Debt Fund</t>
  </si>
  <si>
    <t>FCMB Asset Management Limited</t>
  </si>
  <si>
    <t>United Capital Children Investment Fund</t>
  </si>
  <si>
    <t>Zedcrest Dollar Fund</t>
  </si>
  <si>
    <t>Zedcrest Investment Managers Limited</t>
  </si>
  <si>
    <t>Zedcrest Fixed Income Fund</t>
  </si>
  <si>
    <t>Zedcrest Money Market Fund</t>
  </si>
  <si>
    <t>Mutual Fund Total</t>
  </si>
  <si>
    <t>Parthian Money Market Fund</t>
  </si>
  <si>
    <t>Parthian Capital Ltd.</t>
  </si>
  <si>
    <t>STL Money Market Fund</t>
  </si>
  <si>
    <t>STL Asset Mgt. Limited</t>
  </si>
  <si>
    <t>STL Dollar Fund</t>
  </si>
  <si>
    <t>STL Balanced Fund</t>
  </si>
  <si>
    <t>Parthian Dollar Fixed Income Fund</t>
  </si>
  <si>
    <t>BALANCED FUND</t>
  </si>
  <si>
    <t>Afrinvest Halal Fund</t>
  </si>
  <si>
    <t>Afrinvest Asset Mgt Ltd.</t>
  </si>
  <si>
    <t>DLM Money Market Fund</t>
  </si>
  <si>
    <t>Samtl Mixed Income Fud</t>
  </si>
  <si>
    <t>Samtl Fund Managers Limited</t>
  </si>
  <si>
    <t>CFG AM Fixed Income Naira Fund</t>
  </si>
  <si>
    <t>CFG Assset Management Limited</t>
  </si>
  <si>
    <t>Trustbanc Fixed Income Fund</t>
  </si>
  <si>
    <t>Trustbanc Aset Management Limited</t>
  </si>
  <si>
    <t>CFG AM Fixed Income Dollar Fund</t>
  </si>
  <si>
    <t>Greenwich Fixed Income Dollar Fund</t>
  </si>
  <si>
    <t>Vetiva USD Fixed Income Fund</t>
  </si>
  <si>
    <t>D'Namaz Halal Fixed Income Fund</t>
  </si>
  <si>
    <t>D'Namaz Capital Limited</t>
  </si>
  <si>
    <t>FBN Dollar Fund</t>
  </si>
  <si>
    <t xml:space="preserve"> </t>
  </si>
  <si>
    <t>MONTHLY UPDATE ON REGISTERED MUTUAL FUNDS AS AT 31ST DECEMBER, 2025</t>
  </si>
  <si>
    <r>
      <t>US$/NG</t>
    </r>
    <r>
      <rPr>
        <strike/>
        <sz val="8"/>
        <color theme="0"/>
        <rFont val="Times New Roman"/>
        <family val="1"/>
      </rPr>
      <t>N</t>
    </r>
    <r>
      <rPr>
        <sz val="8"/>
        <color theme="0"/>
        <rFont val="Times New Roman"/>
        <family val="1"/>
      </rPr>
      <t xml:space="preserve"> I&amp;E as at 31st December, 2025 = N1435.7571</t>
    </r>
  </si>
  <si>
    <t>-</t>
  </si>
  <si>
    <t>NET ASSET VALUE (N) PREVIOUS - NOVEMBER</t>
  </si>
  <si>
    <t>Dec 2025</t>
  </si>
  <si>
    <t>Oct 2025</t>
  </si>
  <si>
    <t>Nov 2025</t>
  </si>
  <si>
    <t>Zedcrest Equity Fund</t>
  </si>
  <si>
    <t>Fundvine Money Market Fund</t>
  </si>
  <si>
    <t>Fundvine Berkshire Asset Management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</si>
</sst>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5" formatCode="&quot;$&quot;#,##0_);\(&quot;$&quot;#,##0\)"/>
    <numFmt numFmtId="43" formatCode="_(* #,##0.00_);_(* \(#,##0.00\);_(* &quot;-&quot;??_);_(@_)"/>
    <numFmt numFmtId="164" formatCode="_-* #,##0.00_-;\-* #,##0.00_-;_-* &quot;-&quot;??_-;_-@_-"/>
    <numFmt numFmtId="165" formatCode="0;[Red]0"/>
    <numFmt numFmtId="166" formatCode="mmm\-yyyy"/>
    <numFmt numFmtId="167" formatCode="dd/mm/yy;@"/>
    <numFmt numFmtId="168" formatCode="[$-409]d\-mmm\-yy;@"/>
    <numFmt numFmtId="169" formatCode="&quot;Yes&quot;;&quot;Yes&quot;;&quot;No&quot;"/>
    <numFmt numFmtId="170" formatCode="0.00_)"/>
    <numFmt numFmtId="171" formatCode="_(* #,##0_);_(* \(#,##0\);_(* &quot;-&quot;??_);_(@_)"/>
    <numFmt numFmtId="172" formatCode="&quot; &quot;* #,##0.00&quot; &quot;;&quot;-&quot;* #,##0.00&quot; &quot;;&quot; &quot;* &quot;-&quot;??&quot; &quot;"/>
    <numFmt numFmtId="173" formatCode="&quot; &quot;* #,##0&quot; &quot;;&quot;-&quot;* #,##0&quot; &quot;;&quot; &quot;* &quot;-&quot;??&quot; &quot;"/>
    <numFmt numFmtId="174" formatCode="_-* #,##0_-;\-* #,##0_-;_-* &quot;-&quot;??_-;_-@_-"/>
    <numFmt numFmtId="175" formatCode="&quot; &quot;* #,##0.00&quot; &quot;;&quot; &quot;* \(#,##0.00\);&quot; &quot;* &quot;-&quot;??&quot; &quot;"/>
  </numFmts>
  <fonts count="4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entury Gothic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rgb="FF9C5700"/>
      <name val="Calibri"/>
      <family val="2"/>
      <scheme val="minor"/>
    </font>
    <font>
      <b/>
      <i/>
      <sz val="16"/>
      <name val="Helv"/>
      <charset val="134"/>
    </font>
    <font>
      <sz val="10"/>
      <color theme="1"/>
      <name val="Futura Bk BT"/>
      <family val="2"/>
    </font>
    <font>
      <sz val="18"/>
      <color theme="3"/>
      <name val="Calibri Light"/>
      <family val="2"/>
      <scheme val="major"/>
    </font>
    <font>
      <b/>
      <sz val="18"/>
      <color theme="3"/>
      <name val="Calibri Light"/>
      <family val="2"/>
      <scheme val="major"/>
    </font>
    <font>
      <sz val="8"/>
      <name val="Century Gothic"/>
      <family val="2"/>
    </font>
    <font>
      <b/>
      <sz val="8"/>
      <name val="Century Gothic"/>
      <family val="2"/>
    </font>
    <font>
      <b/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sz val="8"/>
      <color theme="0"/>
      <name val="Times New Roman"/>
      <family val="1"/>
    </font>
    <font>
      <strike/>
      <sz val="8"/>
      <color theme="0"/>
      <name val="Times New Roman"/>
      <family val="1"/>
    </font>
    <font>
      <b/>
      <sz val="11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b/>
      <sz val="28"/>
      <color theme="0"/>
      <name val="Segoe UI Black"/>
      <family val="2"/>
    </font>
    <font>
      <sz val="10"/>
      <color theme="0"/>
      <name val="Arial Narrow"/>
      <family val="2"/>
    </font>
    <font>
      <b/>
      <sz val="10"/>
      <name val="Calibri"/>
      <family val="2"/>
    </font>
    <font>
      <b/>
      <sz val="8"/>
      <name val="Times New Roman"/>
      <family val="1"/>
    </font>
    <font>
      <sz val="11"/>
      <color theme="1"/>
      <name val="Calibri"/>
      <family val="2"/>
      <scheme val="minor"/>
    </font>
    <font>
      <b/>
      <sz val="9"/>
      <name val="Century Gothic"/>
      <family val="2"/>
    </font>
    <font>
      <sz val="11"/>
      <name val="Calibri"/>
      <family val="2"/>
      <scheme val="minor"/>
    </font>
    <font>
      <sz val="10"/>
      <name val="Arial Narrow"/>
      <family val="2"/>
    </font>
    <font>
      <b/>
      <sz val="12"/>
      <name val="Arial Narrow"/>
      <family val="2"/>
    </font>
    <font>
      <sz val="10"/>
      <name val="Century Gothic"/>
      <family val="2"/>
    </font>
    <font>
      <sz val="8"/>
      <color rgb="FF424242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b/>
      <sz val="10"/>
      <color theme="0"/>
      <name val="Arial Narrow"/>
      <family val="2"/>
    </font>
    <font>
      <sz val="8"/>
      <color theme="0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7997985778374584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/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</borders>
  <cellStyleXfs count="465">
    <xf numFmtId="0" fontId="0" fillId="0" borderId="0"/>
    <xf numFmtId="164" fontId="11" fillId="0" borderId="0" applyFont="0" applyFill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165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3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5" fontId="13" fillId="0" borderId="0" applyFont="0" applyFill="0" applyBorder="0" applyAlignment="0" applyProtection="0"/>
    <xf numFmtId="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4" fillId="27" borderId="0" applyNumberFormat="0" applyBorder="0" applyAlignment="0" applyProtection="0"/>
    <xf numFmtId="17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49" fontId="7" fillId="0" borderId="0"/>
    <xf numFmtId="49" fontId="7" fillId="0" borderId="0"/>
    <xf numFmtId="49" fontId="7" fillId="0" borderId="0"/>
    <xf numFmtId="49" fontId="7" fillId="0" borderId="0"/>
    <xf numFmtId="0" fontId="7" fillId="0" borderId="0"/>
    <xf numFmtId="37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0"/>
    <xf numFmtId="9" fontId="32" fillId="0" borderId="0" applyFont="0" applyFill="0" applyBorder="0" applyAlignment="0" applyProtection="0"/>
  </cellStyleXfs>
  <cellXfs count="166">
    <xf numFmtId="0" fontId="0" fillId="0" borderId="0" xfId="0"/>
    <xf numFmtId="0" fontId="3" fillId="2" borderId="0" xfId="0" applyFont="1" applyFill="1" applyAlignment="1">
      <alignment wrapText="1"/>
    </xf>
    <xf numFmtId="0" fontId="5" fillId="0" borderId="0" xfId="0" applyFont="1"/>
    <xf numFmtId="0" fontId="6" fillId="3" borderId="0" xfId="0" applyFont="1" applyFill="1"/>
    <xf numFmtId="0" fontId="6" fillId="0" borderId="0" xfId="0" applyFont="1"/>
    <xf numFmtId="0" fontId="10" fillId="0" borderId="0" xfId="0" applyFont="1"/>
    <xf numFmtId="0" fontId="6" fillId="2" borderId="0" xfId="0" applyFont="1" applyFill="1"/>
    <xf numFmtId="164" fontId="6" fillId="2" borderId="0" xfId="1" applyFont="1" applyFill="1" applyBorder="1" applyAlignment="1"/>
    <xf numFmtId="172" fontId="9" fillId="2" borderId="0" xfId="0" applyNumberFormat="1" applyFont="1" applyFill="1"/>
    <xf numFmtId="175" fontId="9" fillId="2" borderId="0" xfId="0" applyNumberFormat="1" applyFont="1" applyFill="1"/>
    <xf numFmtId="164" fontId="19" fillId="2" borderId="2" xfId="1" applyFont="1" applyFill="1" applyBorder="1"/>
    <xf numFmtId="172" fontId="19" fillId="2" borderId="2" xfId="0" applyNumberFormat="1" applyFont="1" applyFill="1" applyBorder="1" applyAlignment="1">
      <alignment horizontal="right"/>
    </xf>
    <xf numFmtId="164" fontId="19" fillId="2" borderId="2" xfId="1" applyFont="1" applyFill="1" applyBorder="1" applyAlignment="1"/>
    <xf numFmtId="10" fontId="19" fillId="2" borderId="2" xfId="0" applyNumberFormat="1" applyFont="1" applyFill="1" applyBorder="1" applyAlignment="1">
      <alignment horizontal="center"/>
    </xf>
    <xf numFmtId="0" fontId="21" fillId="2" borderId="0" xfId="0" applyFont="1" applyFill="1"/>
    <xf numFmtId="0" fontId="22" fillId="0" borderId="0" xfId="0" applyFont="1"/>
    <xf numFmtId="164" fontId="19" fillId="2" borderId="2" xfId="1" applyFont="1" applyFill="1" applyBorder="1" applyAlignment="1">
      <alignment horizontal="right"/>
    </xf>
    <xf numFmtId="164" fontId="19" fillId="0" borderId="2" xfId="1" applyFont="1" applyBorder="1"/>
    <xf numFmtId="164" fontId="19" fillId="0" borderId="2" xfId="1" applyFont="1" applyFill="1" applyBorder="1"/>
    <xf numFmtId="49" fontId="19" fillId="2" borderId="2" xfId="0" applyNumberFormat="1" applyFont="1" applyFill="1" applyBorder="1" applyAlignment="1">
      <alignment wrapText="1"/>
    </xf>
    <xf numFmtId="10" fontId="20" fillId="6" borderId="2" xfId="0" applyNumberFormat="1" applyFont="1" applyFill="1" applyBorder="1" applyAlignment="1">
      <alignment horizontal="center" vertical="center"/>
    </xf>
    <xf numFmtId="10" fontId="19" fillId="6" borderId="2" xfId="0" applyNumberFormat="1" applyFont="1" applyFill="1" applyBorder="1" applyAlignment="1">
      <alignment horizontal="center" vertical="center"/>
    </xf>
    <xf numFmtId="172" fontId="19" fillId="6" borderId="2" xfId="0" applyNumberFormat="1" applyFont="1" applyFill="1" applyBorder="1" applyAlignment="1">
      <alignment horizontal="right" vertical="center"/>
    </xf>
    <xf numFmtId="172" fontId="19" fillId="2" borderId="2" xfId="0" applyNumberFormat="1" applyFont="1" applyFill="1" applyBorder="1"/>
    <xf numFmtId="172" fontId="19" fillId="6" borderId="2" xfId="0" applyNumberFormat="1" applyFont="1" applyFill="1" applyBorder="1" applyAlignment="1">
      <alignment horizontal="center" vertical="center"/>
    </xf>
    <xf numFmtId="164" fontId="19" fillId="2" borderId="2" xfId="1" applyFont="1" applyFill="1" applyBorder="1" applyAlignment="1">
      <alignment wrapText="1"/>
    </xf>
    <xf numFmtId="172" fontId="20" fillId="2" borderId="2" xfId="0" applyNumberFormat="1" applyFont="1" applyFill="1" applyBorder="1"/>
    <xf numFmtId="164" fontId="19" fillId="2" borderId="2" xfId="1" applyFont="1" applyFill="1" applyBorder="1" applyAlignment="1">
      <alignment horizontal="right" vertical="top" wrapText="1"/>
    </xf>
    <xf numFmtId="164" fontId="19" fillId="2" borderId="2" xfId="1" applyFont="1" applyFill="1" applyBorder="1" applyAlignment="1">
      <alignment horizontal="center" vertical="top" wrapText="1"/>
    </xf>
    <xf numFmtId="164" fontId="19" fillId="2" borderId="2" xfId="1" applyFont="1" applyFill="1" applyBorder="1" applyAlignment="1">
      <alignment horizontal="left"/>
    </xf>
    <xf numFmtId="49" fontId="8" fillId="5" borderId="2" xfId="0" applyNumberFormat="1" applyFont="1" applyFill="1" applyBorder="1" applyAlignment="1">
      <alignment horizontal="center" vertical="top" wrapText="1"/>
    </xf>
    <xf numFmtId="171" fontId="19" fillId="0" borderId="2" xfId="0" applyNumberFormat="1" applyFont="1" applyBorder="1"/>
    <xf numFmtId="174" fontId="19" fillId="0" borderId="2" xfId="0" applyNumberFormat="1" applyFont="1" applyBorder="1"/>
    <xf numFmtId="164" fontId="8" fillId="5" borderId="2" xfId="1" applyFont="1" applyFill="1" applyBorder="1" applyAlignment="1">
      <alignment horizontal="center" vertical="top" wrapText="1"/>
    </xf>
    <xf numFmtId="172" fontId="20" fillId="2" borderId="2" xfId="0" applyNumberFormat="1" applyFont="1" applyFill="1" applyBorder="1" applyAlignment="1">
      <alignment horizontal="left"/>
    </xf>
    <xf numFmtId="10" fontId="20" fillId="2" borderId="2" xfId="0" applyNumberFormat="1" applyFont="1" applyFill="1" applyBorder="1" applyAlignment="1">
      <alignment horizontal="center"/>
    </xf>
    <xf numFmtId="172" fontId="20" fillId="6" borderId="2" xfId="0" applyNumberFormat="1" applyFont="1" applyFill="1" applyBorder="1" applyAlignment="1">
      <alignment horizontal="right" vertical="center"/>
    </xf>
    <xf numFmtId="164" fontId="20" fillId="2" borderId="2" xfId="1" applyFont="1" applyFill="1" applyBorder="1"/>
    <xf numFmtId="172" fontId="20" fillId="6" borderId="2" xfId="0" applyNumberFormat="1" applyFont="1" applyFill="1" applyBorder="1" applyAlignment="1">
      <alignment horizontal="center" vertical="center"/>
    </xf>
    <xf numFmtId="164" fontId="20" fillId="2" borderId="2" xfId="1" applyFont="1" applyFill="1" applyBorder="1" applyAlignment="1"/>
    <xf numFmtId="164" fontId="20" fillId="2" borderId="2" xfId="1" applyFont="1" applyFill="1" applyBorder="1" applyAlignment="1">
      <alignment wrapText="1"/>
    </xf>
    <xf numFmtId="10" fontId="20" fillId="6" borderId="2" xfId="0" applyNumberFormat="1" applyFont="1" applyFill="1" applyBorder="1" applyAlignment="1">
      <alignment horizontal="right" vertical="center"/>
    </xf>
    <xf numFmtId="173" fontId="19" fillId="2" borderId="2" xfId="0" applyNumberFormat="1" applyFont="1" applyFill="1" applyBorder="1"/>
    <xf numFmtId="0" fontId="23" fillId="9" borderId="0" xfId="0" applyFont="1" applyFill="1" applyAlignment="1">
      <alignment horizontal="left"/>
    </xf>
    <xf numFmtId="164" fontId="19" fillId="0" borderId="2" xfId="1" applyFont="1" applyBorder="1" applyAlignment="1"/>
    <xf numFmtId="164" fontId="19" fillId="7" borderId="2" xfId="1" applyFont="1" applyFill="1" applyBorder="1"/>
    <xf numFmtId="164" fontId="19" fillId="0" borderId="2" xfId="1" applyFont="1" applyFill="1" applyBorder="1" applyAlignment="1">
      <alignment horizontal="right"/>
    </xf>
    <xf numFmtId="164" fontId="26" fillId="2" borderId="0" xfId="1" applyFont="1" applyFill="1" applyBorder="1"/>
    <xf numFmtId="4" fontId="27" fillId="2" borderId="0" xfId="0" applyNumberFormat="1" applyFont="1" applyFill="1"/>
    <xf numFmtId="4" fontId="27" fillId="2" borderId="0" xfId="0" applyNumberFormat="1" applyFont="1" applyFill="1" applyAlignment="1">
      <alignment horizontal="right"/>
    </xf>
    <xf numFmtId="4" fontId="26" fillId="2" borderId="0" xfId="0" applyNumberFormat="1" applyFont="1" applyFill="1" applyAlignment="1">
      <alignment horizontal="right"/>
    </xf>
    <xf numFmtId="0" fontId="25" fillId="0" borderId="0" xfId="0" applyFont="1" applyAlignment="1">
      <alignment horizontal="right"/>
    </xf>
    <xf numFmtId="4" fontId="26" fillId="2" borderId="0" xfId="0" applyNumberFormat="1" applyFont="1" applyFill="1"/>
    <xf numFmtId="164" fontId="27" fillId="2" borderId="0" xfId="1" applyFont="1" applyFill="1" applyBorder="1" applyAlignment="1">
      <alignment horizontal="right" vertical="top" wrapText="1"/>
    </xf>
    <xf numFmtId="164" fontId="26" fillId="2" borderId="0" xfId="1" applyFont="1" applyFill="1" applyBorder="1" applyAlignment="1">
      <alignment horizontal="right" vertical="top" wrapText="1"/>
    </xf>
    <xf numFmtId="164" fontId="20" fillId="2" borderId="2" xfId="1" applyFont="1" applyFill="1" applyBorder="1" applyAlignment="1">
      <alignment horizontal="left"/>
    </xf>
    <xf numFmtId="164" fontId="19" fillId="0" borderId="2" xfId="1" applyFont="1" applyFill="1" applyBorder="1" applyAlignment="1" applyProtection="1"/>
    <xf numFmtId="0" fontId="30" fillId="2" borderId="0" xfId="0" applyFont="1" applyFill="1"/>
    <xf numFmtId="0" fontId="31" fillId="9" borderId="0" xfId="0" applyFont="1" applyFill="1" applyAlignment="1">
      <alignment horizontal="right" vertical="center"/>
    </xf>
    <xf numFmtId="164" fontId="19" fillId="2" borderId="2" xfId="1" applyFont="1" applyFill="1" applyBorder="1" applyAlignment="1">
      <alignment horizontal="center" wrapText="1"/>
    </xf>
    <xf numFmtId="10" fontId="19" fillId="2" borderId="2" xfId="464" applyNumberFormat="1" applyFont="1" applyFill="1" applyBorder="1" applyAlignment="1">
      <alignment horizontal="center" wrapText="1"/>
    </xf>
    <xf numFmtId="0" fontId="29" fillId="2" borderId="0" xfId="0" applyFont="1" applyFill="1" applyAlignment="1">
      <alignment horizontal="left"/>
    </xf>
    <xf numFmtId="10" fontId="20" fillId="2" borderId="2" xfId="0" applyNumberFormat="1" applyFont="1" applyFill="1" applyBorder="1"/>
    <xf numFmtId="10" fontId="20" fillId="2" borderId="2" xfId="0" applyNumberFormat="1" applyFont="1" applyFill="1" applyBorder="1" applyAlignment="1">
      <alignment horizontal="right" vertical="center"/>
    </xf>
    <xf numFmtId="172" fontId="20" fillId="2" borderId="2" xfId="0" applyNumberFormat="1" applyFont="1" applyFill="1" applyBorder="1" applyAlignment="1">
      <alignment horizontal="right" vertical="center"/>
    </xf>
    <xf numFmtId="164" fontId="20" fillId="2" borderId="2" xfId="1" applyFont="1" applyFill="1" applyBorder="1" applyAlignment="1">
      <alignment horizontal="right"/>
    </xf>
    <xf numFmtId="0" fontId="34" fillId="0" borderId="0" xfId="0" applyFont="1"/>
    <xf numFmtId="164" fontId="19" fillId="2" borderId="6" xfId="1" applyFont="1" applyFill="1" applyBorder="1" applyAlignment="1">
      <alignment horizontal="right"/>
    </xf>
    <xf numFmtId="49" fontId="20" fillId="2" borderId="2" xfId="0" applyNumberFormat="1" applyFont="1" applyFill="1" applyBorder="1" applyAlignment="1">
      <alignment horizontal="right"/>
    </xf>
    <xf numFmtId="173" fontId="19" fillId="2" borderId="2" xfId="0" applyNumberFormat="1" applyFont="1" applyFill="1" applyBorder="1" applyAlignment="1">
      <alignment horizontal="center" wrapText="1"/>
    </xf>
    <xf numFmtId="0" fontId="35" fillId="0" borderId="0" xfId="0" applyFont="1"/>
    <xf numFmtId="164" fontId="35" fillId="0" borderId="0" xfId="1" applyFont="1" applyBorder="1"/>
    <xf numFmtId="4" fontId="35" fillId="2" borderId="0" xfId="0" applyNumberFormat="1" applyFont="1" applyFill="1"/>
    <xf numFmtId="172" fontId="35" fillId="2" borderId="0" xfId="0" applyNumberFormat="1" applyFont="1" applyFill="1"/>
    <xf numFmtId="0" fontId="36" fillId="0" borderId="0" xfId="0" applyFont="1" applyAlignment="1">
      <alignment horizontal="right"/>
    </xf>
    <xf numFmtId="43" fontId="5" fillId="0" borderId="0" xfId="200" applyFont="1"/>
    <xf numFmtId="4" fontId="26" fillId="2" borderId="2" xfId="0" applyNumberFormat="1" applyFont="1" applyFill="1" applyBorder="1"/>
    <xf numFmtId="4" fontId="26" fillId="2" borderId="2" xfId="0" applyNumberFormat="1" applyFont="1" applyFill="1" applyBorder="1" applyAlignment="1">
      <alignment horizontal="right"/>
    </xf>
    <xf numFmtId="0" fontId="27" fillId="0" borderId="0" xfId="0" applyFont="1" applyAlignment="1">
      <alignment horizontal="right"/>
    </xf>
    <xf numFmtId="4" fontId="27" fillId="2" borderId="1" xfId="0" applyNumberFormat="1" applyFont="1" applyFill="1" applyBorder="1" applyAlignment="1">
      <alignment horizontal="right"/>
    </xf>
    <xf numFmtId="0" fontId="37" fillId="29" borderId="0" xfId="0" applyFont="1" applyFill="1"/>
    <xf numFmtId="164" fontId="8" fillId="29" borderId="0" xfId="1" applyFont="1" applyFill="1"/>
    <xf numFmtId="164" fontId="37" fillId="29" borderId="0" xfId="1" applyFont="1" applyFill="1"/>
    <xf numFmtId="164" fontId="33" fillId="5" borderId="2" xfId="1" applyFont="1" applyFill="1" applyBorder="1"/>
    <xf numFmtId="10" fontId="33" fillId="5" borderId="2" xfId="0" applyNumberFormat="1" applyFont="1" applyFill="1" applyBorder="1"/>
    <xf numFmtId="10" fontId="33" fillId="5" borderId="2" xfId="0" applyNumberFormat="1" applyFont="1" applyFill="1" applyBorder="1" applyAlignment="1">
      <alignment horizontal="right" vertical="center"/>
    </xf>
    <xf numFmtId="172" fontId="33" fillId="5" borderId="2" xfId="0" applyNumberFormat="1" applyFont="1" applyFill="1" applyBorder="1" applyAlignment="1">
      <alignment horizontal="right" vertical="center"/>
    </xf>
    <xf numFmtId="164" fontId="19" fillId="2" borderId="2" xfId="1" applyFont="1" applyFill="1" applyBorder="1" applyAlignment="1">
      <alignment horizontal="right" wrapText="1"/>
    </xf>
    <xf numFmtId="164" fontId="33" fillId="2" borderId="2" xfId="1" applyFont="1" applyFill="1" applyBorder="1"/>
    <xf numFmtId="10" fontId="33" fillId="2" borderId="2" xfId="0" applyNumberFormat="1" applyFont="1" applyFill="1" applyBorder="1" applyAlignment="1">
      <alignment horizontal="center"/>
    </xf>
    <xf numFmtId="0" fontId="38" fillId="0" borderId="0" xfId="0" applyFont="1"/>
    <xf numFmtId="4" fontId="19" fillId="2" borderId="2" xfId="0" applyNumberFormat="1" applyFont="1" applyFill="1" applyBorder="1" applyAlignment="1">
      <alignment wrapText="1"/>
    </xf>
    <xf numFmtId="0" fontId="19" fillId="2" borderId="2" xfId="0" applyFont="1" applyFill="1" applyBorder="1" applyAlignment="1">
      <alignment wrapText="1"/>
    </xf>
    <xf numFmtId="164" fontId="19" fillId="2" borderId="0" xfId="1" applyFont="1" applyFill="1" applyBorder="1" applyAlignment="1">
      <alignment wrapText="1"/>
    </xf>
    <xf numFmtId="2" fontId="19" fillId="2" borderId="2" xfId="0" applyNumberFormat="1" applyFont="1" applyFill="1" applyBorder="1"/>
    <xf numFmtId="2" fontId="19" fillId="2" borderId="2" xfId="0" applyNumberFormat="1" applyFont="1" applyFill="1" applyBorder="1" applyAlignment="1">
      <alignment wrapText="1"/>
    </xf>
    <xf numFmtId="49" fontId="19" fillId="2" borderId="2" xfId="0" applyNumberFormat="1" applyFont="1" applyFill="1" applyBorder="1"/>
    <xf numFmtId="2" fontId="19" fillId="2" borderId="2" xfId="463" applyNumberFormat="1" applyFont="1" applyFill="1" applyBorder="1" applyAlignment="1">
      <alignment wrapText="1"/>
    </xf>
    <xf numFmtId="164" fontId="19" fillId="2" borderId="8" xfId="1" applyFont="1" applyFill="1" applyBorder="1" applyAlignment="1">
      <alignment wrapText="1"/>
    </xf>
    <xf numFmtId="164" fontId="19" fillId="2" borderId="2" xfId="1" applyFont="1" applyFill="1" applyBorder="1" applyAlignment="1">
      <alignment horizontal="left" vertical="top" wrapText="1"/>
    </xf>
    <xf numFmtId="49" fontId="19" fillId="2" borderId="2" xfId="0" applyNumberFormat="1" applyFont="1" applyFill="1" applyBorder="1" applyAlignment="1">
      <alignment vertical="center" wrapText="1"/>
    </xf>
    <xf numFmtId="173" fontId="19" fillId="2" borderId="2" xfId="0" applyNumberFormat="1" applyFont="1" applyFill="1" applyBorder="1" applyAlignment="1">
      <alignment horizontal="center" wrapText="1"/>
    </xf>
    <xf numFmtId="173" fontId="19" fillId="2" borderId="2" xfId="0" applyNumberFormat="1" applyFont="1" applyFill="1" applyBorder="1" applyAlignment="1">
      <alignment horizontal="center" wrapText="1"/>
    </xf>
    <xf numFmtId="174" fontId="19" fillId="2" borderId="2" xfId="1" applyNumberFormat="1" applyFont="1" applyFill="1" applyBorder="1" applyAlignment="1">
      <alignment horizontal="center" wrapText="1"/>
    </xf>
    <xf numFmtId="174" fontId="19" fillId="2" borderId="4" xfId="1" applyNumberFormat="1" applyFont="1" applyFill="1" applyBorder="1" applyAlignment="1">
      <alignment horizontal="right" wrapText="1"/>
    </xf>
    <xf numFmtId="0" fontId="19" fillId="2" borderId="2" xfId="0" applyFont="1" applyFill="1" applyBorder="1" applyAlignment="1">
      <alignment horizontal="right" wrapText="1"/>
    </xf>
    <xf numFmtId="174" fontId="19" fillId="2" borderId="2" xfId="1" applyNumberFormat="1" applyFont="1" applyFill="1" applyBorder="1" applyAlignment="1">
      <alignment horizontal="right" vertical="center" wrapText="1"/>
    </xf>
    <xf numFmtId="174" fontId="19" fillId="2" borderId="2" xfId="1" applyNumberFormat="1" applyFont="1" applyFill="1" applyBorder="1" applyAlignment="1">
      <alignment horizontal="right"/>
    </xf>
    <xf numFmtId="173" fontId="19" fillId="2" borderId="2" xfId="0" applyNumberFormat="1" applyFont="1" applyFill="1" applyBorder="1" applyAlignment="1">
      <alignment horizontal="center" wrapText="1"/>
    </xf>
    <xf numFmtId="173" fontId="19" fillId="2" borderId="2" xfId="0" applyNumberFormat="1" applyFont="1" applyFill="1" applyBorder="1" applyAlignment="1">
      <alignment horizontal="center" wrapText="1"/>
    </xf>
    <xf numFmtId="173" fontId="19" fillId="2" borderId="2" xfId="0" applyNumberFormat="1" applyFont="1" applyFill="1" applyBorder="1" applyAlignment="1">
      <alignment horizontal="center" wrapText="1"/>
    </xf>
    <xf numFmtId="174" fontId="19" fillId="2" borderId="2" xfId="1" applyNumberFormat="1" applyFont="1" applyFill="1" applyBorder="1" applyAlignment="1">
      <alignment horizontal="right" wrapText="1"/>
    </xf>
    <xf numFmtId="164" fontId="19" fillId="2" borderId="8" xfId="1" applyFont="1" applyFill="1" applyBorder="1"/>
    <xf numFmtId="164" fontId="19" fillId="2" borderId="2" xfId="1" applyFont="1" applyFill="1" applyBorder="1" applyAlignment="1">
      <alignment vertical="top" wrapText="1"/>
    </xf>
    <xf numFmtId="173" fontId="19" fillId="2" borderId="2" xfId="0" applyNumberFormat="1" applyFont="1" applyFill="1" applyBorder="1" applyAlignment="1">
      <alignment horizontal="center" wrapText="1"/>
    </xf>
    <xf numFmtId="49" fontId="19" fillId="2" borderId="2" xfId="0" applyNumberFormat="1" applyFont="1" applyFill="1" applyBorder="1" applyAlignment="1">
      <alignment vertical="top" wrapText="1"/>
    </xf>
    <xf numFmtId="164" fontId="19" fillId="0" borderId="2" xfId="1" applyFont="1" applyFill="1" applyBorder="1" applyAlignment="1" applyProtection="1">
      <alignment wrapText="1"/>
    </xf>
    <xf numFmtId="173" fontId="19" fillId="2" borderId="2" xfId="0" applyNumberFormat="1" applyFont="1" applyFill="1" applyBorder="1" applyAlignment="1">
      <alignment horizontal="center" wrapText="1"/>
    </xf>
    <xf numFmtId="173" fontId="19" fillId="2" borderId="2" xfId="0" applyNumberFormat="1" applyFont="1" applyFill="1" applyBorder="1" applyAlignment="1">
      <alignment horizontal="center" wrapText="1"/>
    </xf>
    <xf numFmtId="0" fontId="39" fillId="0" borderId="0" xfId="0" applyFont="1"/>
    <xf numFmtId="0" fontId="41" fillId="0" borderId="0" xfId="0" applyFont="1"/>
    <xf numFmtId="0" fontId="42" fillId="0" borderId="1" xfId="0" applyFont="1" applyBorder="1" applyAlignment="1">
      <alignment horizontal="right"/>
    </xf>
    <xf numFmtId="0" fontId="40" fillId="0" borderId="0" xfId="0" applyFont="1" applyAlignment="1">
      <alignment horizontal="right"/>
    </xf>
    <xf numFmtId="0" fontId="43" fillId="0" borderId="1" xfId="0" applyFont="1" applyBorder="1" applyAlignment="1">
      <alignment horizontal="right"/>
    </xf>
    <xf numFmtId="171" fontId="41" fillId="0" borderId="0" xfId="200" applyNumberFormat="1" applyFont="1"/>
    <xf numFmtId="0" fontId="43" fillId="0" borderId="0" xfId="0" applyFont="1" applyAlignment="1">
      <alignment horizontal="right"/>
    </xf>
    <xf numFmtId="174" fontId="41" fillId="0" borderId="0" xfId="1" applyNumberFormat="1" applyFont="1"/>
    <xf numFmtId="0" fontId="44" fillId="0" borderId="2" xfId="0" applyFont="1" applyBorder="1" applyAlignment="1">
      <alignment horizontal="right"/>
    </xf>
    <xf numFmtId="16" fontId="44" fillId="2" borderId="2" xfId="0" quotePrefix="1" applyNumberFormat="1" applyFont="1" applyFill="1" applyBorder="1" applyAlignment="1">
      <alignment horizontal="right"/>
    </xf>
    <xf numFmtId="164" fontId="29" fillId="2" borderId="2" xfId="1" applyFont="1" applyFill="1" applyBorder="1" applyAlignment="1">
      <alignment horizontal="right" vertical="top" wrapText="1"/>
    </xf>
    <xf numFmtId="164" fontId="29" fillId="2" borderId="2" xfId="1" applyFont="1" applyFill="1" applyBorder="1"/>
    <xf numFmtId="4" fontId="29" fillId="2" borderId="2" xfId="0" applyNumberFormat="1" applyFont="1" applyFill="1" applyBorder="1"/>
    <xf numFmtId="4" fontId="29" fillId="2" borderId="2" xfId="0" applyNumberFormat="1" applyFont="1" applyFill="1" applyBorder="1" applyAlignment="1">
      <alignment horizontal="right"/>
    </xf>
    <xf numFmtId="164" fontId="45" fillId="2" borderId="2" xfId="1" applyFont="1" applyFill="1" applyBorder="1"/>
    <xf numFmtId="43" fontId="41" fillId="0" borderId="0" xfId="200" applyFont="1"/>
    <xf numFmtId="0" fontId="44" fillId="2" borderId="0" xfId="0" applyFont="1" applyFill="1" applyAlignment="1">
      <alignment horizontal="right"/>
    </xf>
    <xf numFmtId="16" fontId="44" fillId="2" borderId="0" xfId="0" quotePrefix="1" applyNumberFormat="1" applyFont="1" applyFill="1" applyAlignment="1">
      <alignment horizontal="right" wrapText="1"/>
    </xf>
    <xf numFmtId="0" fontId="44" fillId="2" borderId="0" xfId="0" applyFont="1" applyFill="1" applyAlignment="1">
      <alignment horizontal="right" wrapText="1"/>
    </xf>
    <xf numFmtId="2" fontId="29" fillId="0" borderId="0" xfId="0" applyNumberFormat="1" applyFont="1"/>
    <xf numFmtId="43" fontId="29" fillId="0" borderId="0" xfId="200" applyFont="1" applyBorder="1"/>
    <xf numFmtId="164" fontId="29" fillId="0" borderId="0" xfId="1" applyFont="1"/>
    <xf numFmtId="0" fontId="44" fillId="0" borderId="0" xfId="0" applyFont="1" applyAlignment="1">
      <alignment horizontal="right"/>
    </xf>
    <xf numFmtId="0" fontId="29" fillId="0" borderId="0" xfId="0" applyFont="1"/>
    <xf numFmtId="16" fontId="44" fillId="2" borderId="0" xfId="0" applyNumberFormat="1" applyFont="1" applyFill="1"/>
    <xf numFmtId="164" fontId="1" fillId="0" borderId="0" xfId="1" applyFont="1"/>
    <xf numFmtId="173" fontId="19" fillId="2" borderId="2" xfId="0" applyNumberFormat="1" applyFont="1" applyFill="1" applyBorder="1" applyAlignment="1">
      <alignment horizontal="right" wrapText="1"/>
    </xf>
    <xf numFmtId="49" fontId="8" fillId="2" borderId="2" xfId="0" applyNumberFormat="1" applyFont="1" applyFill="1" applyBorder="1" applyAlignment="1">
      <alignment horizontal="center" vertical="top" wrapText="1"/>
    </xf>
    <xf numFmtId="164" fontId="20" fillId="2" borderId="2" xfId="1" applyFont="1" applyFill="1" applyBorder="1" applyAlignment="1">
      <alignment horizontal="right"/>
    </xf>
    <xf numFmtId="49" fontId="33" fillId="5" borderId="2" xfId="0" applyNumberFormat="1" applyFont="1" applyFill="1" applyBorder="1" applyAlignment="1">
      <alignment horizontal="right"/>
    </xf>
    <xf numFmtId="173" fontId="19" fillId="2" borderId="2" xfId="0" applyNumberFormat="1" applyFont="1" applyFill="1" applyBorder="1" applyAlignment="1">
      <alignment horizontal="center" wrapText="1"/>
    </xf>
    <xf numFmtId="0" fontId="33" fillId="2" borderId="2" xfId="0" applyFont="1" applyFill="1" applyBorder="1" applyAlignment="1">
      <alignment horizontal="center" wrapText="1"/>
    </xf>
    <xf numFmtId="2" fontId="33" fillId="2" borderId="2" xfId="0" applyNumberFormat="1" applyFont="1" applyFill="1" applyBorder="1" applyAlignment="1">
      <alignment horizontal="center" wrapText="1"/>
    </xf>
    <xf numFmtId="0" fontId="33" fillId="2" borderId="7" xfId="0" applyFont="1" applyFill="1" applyBorder="1" applyAlignment="1">
      <alignment horizontal="center" wrapText="1"/>
    </xf>
    <xf numFmtId="173" fontId="20" fillId="2" borderId="2" xfId="0" applyNumberFormat="1" applyFont="1" applyFill="1" applyBorder="1" applyAlignment="1">
      <alignment horizontal="center" wrapText="1"/>
    </xf>
    <xf numFmtId="49" fontId="8" fillId="2" borderId="4" xfId="0" applyNumberFormat="1" applyFont="1" applyFill="1" applyBorder="1" applyAlignment="1">
      <alignment horizontal="center" vertical="top" wrapText="1"/>
    </xf>
    <xf numFmtId="49" fontId="8" fillId="2" borderId="5" xfId="0" applyNumberFormat="1" applyFont="1" applyFill="1" applyBorder="1" applyAlignment="1">
      <alignment horizontal="center" vertical="top" wrapText="1"/>
    </xf>
    <xf numFmtId="49" fontId="8" fillId="2" borderId="6" xfId="0" applyNumberFormat="1" applyFont="1" applyFill="1" applyBorder="1" applyAlignment="1">
      <alignment horizontal="center" vertical="top" wrapText="1"/>
    </xf>
    <xf numFmtId="172" fontId="33" fillId="2" borderId="2" xfId="0" applyNumberFormat="1" applyFont="1" applyFill="1" applyBorder="1" applyAlignment="1">
      <alignment horizontal="center" wrapText="1"/>
    </xf>
    <xf numFmtId="164" fontId="33" fillId="2" borderId="2" xfId="1" applyFont="1" applyFill="1" applyBorder="1" applyAlignment="1">
      <alignment horizontal="right"/>
    </xf>
    <xf numFmtId="164" fontId="8" fillId="29" borderId="2" xfId="1" applyFont="1" applyFill="1" applyBorder="1" applyAlignment="1">
      <alignment horizontal="right"/>
    </xf>
    <xf numFmtId="49" fontId="8" fillId="2" borderId="2" xfId="0" applyNumberFormat="1" applyFont="1" applyFill="1" applyBorder="1" applyAlignment="1">
      <alignment horizontal="center"/>
    </xf>
    <xf numFmtId="49" fontId="28" fillId="4" borderId="2" xfId="0" applyNumberFormat="1" applyFont="1" applyFill="1" applyBorder="1" applyAlignment="1">
      <alignment horizontal="center"/>
    </xf>
    <xf numFmtId="0" fontId="28" fillId="4" borderId="2" xfId="0" applyFont="1" applyFill="1" applyBorder="1" applyAlignment="1">
      <alignment horizontal="center"/>
    </xf>
    <xf numFmtId="173" fontId="20" fillId="2" borderId="2" xfId="0" applyNumberFormat="1" applyFont="1" applyFill="1" applyBorder="1" applyAlignment="1">
      <alignment horizontal="center"/>
    </xf>
    <xf numFmtId="49" fontId="20" fillId="2" borderId="2" xfId="0" applyNumberFormat="1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</cellXfs>
  <cellStyles count="465">
    <cellStyle name="20% - Accent1 2" xfId="2"/>
    <cellStyle name="20% - Accent1 2 2" xfId="3"/>
    <cellStyle name="20% - Accent1 2 3" xfId="4"/>
    <cellStyle name="20% - Accent1 3" xfId="5"/>
    <cellStyle name="20% - Accent1 3 2" xfId="6"/>
    <cellStyle name="20% - Accent1 3 3" xfId="7"/>
    <cellStyle name="20% - Accent1 4" xfId="8"/>
    <cellStyle name="20% - Accent1 4 2" xfId="9"/>
    <cellStyle name="20% - Accent1 5" xfId="10"/>
    <cellStyle name="20% - Accent1 6" xfId="11"/>
    <cellStyle name="20% - Accent2 2" xfId="12"/>
    <cellStyle name="20% - Accent2 2 2" xfId="13"/>
    <cellStyle name="20% - Accent2 2 3" xfId="14"/>
    <cellStyle name="20% - Accent2 3" xfId="15"/>
    <cellStyle name="20% - Accent2 3 2" xfId="16"/>
    <cellStyle name="20% - Accent2 3 3" xfId="17"/>
    <cellStyle name="20% - Accent2 4" xfId="18"/>
    <cellStyle name="20% - Accent2 4 2" xfId="19"/>
    <cellStyle name="20% - Accent2 5" xfId="20"/>
    <cellStyle name="20% - Accent2 6" xfId="21"/>
    <cellStyle name="20% - Accent3 2" xfId="22"/>
    <cellStyle name="20% - Accent3 2 2" xfId="23"/>
    <cellStyle name="20% - Accent3 2 3" xfId="24"/>
    <cellStyle name="20% - Accent3 3" xfId="25"/>
    <cellStyle name="20% - Accent3 3 2" xfId="26"/>
    <cellStyle name="20% - Accent3 3 3" xfId="27"/>
    <cellStyle name="20% - Accent3 4" xfId="28"/>
    <cellStyle name="20% - Accent3 4 2" xfId="29"/>
    <cellStyle name="20% - Accent3 5" xfId="30"/>
    <cellStyle name="20% - Accent3 6" xfId="31"/>
    <cellStyle name="20% - Accent4 2" xfId="32"/>
    <cellStyle name="20% - Accent4 2 2" xfId="33"/>
    <cellStyle name="20% - Accent4 2 3" xfId="34"/>
    <cellStyle name="20% - Accent4 3" xfId="35"/>
    <cellStyle name="20% - Accent4 3 2" xfId="36"/>
    <cellStyle name="20% - Accent4 3 3" xfId="37"/>
    <cellStyle name="20% - Accent4 4" xfId="38"/>
    <cellStyle name="20% - Accent4 4 2" xfId="39"/>
    <cellStyle name="20% - Accent4 5" xfId="40"/>
    <cellStyle name="20% - Accent4 6" xfId="41"/>
    <cellStyle name="20% - Accent5 2" xfId="42"/>
    <cellStyle name="20% - Accent5 2 2" xfId="43"/>
    <cellStyle name="20% - Accent5 2 3" xfId="44"/>
    <cellStyle name="20% - Accent5 3" xfId="45"/>
    <cellStyle name="20% - Accent5 3 2" xfId="46"/>
    <cellStyle name="20% - Accent5 3 3" xfId="47"/>
    <cellStyle name="20% - Accent5 4" xfId="48"/>
    <cellStyle name="20% - Accent5 4 2" xfId="49"/>
    <cellStyle name="20% - Accent5 5" xfId="50"/>
    <cellStyle name="20% - Accent5 6" xfId="51"/>
    <cellStyle name="20% - Accent6 2" xfId="52"/>
    <cellStyle name="20% - Accent6 2 2" xfId="53"/>
    <cellStyle name="20% - Accent6 2 3" xfId="54"/>
    <cellStyle name="20% - Accent6 3" xfId="55"/>
    <cellStyle name="20% - Accent6 3 2" xfId="56"/>
    <cellStyle name="20% - Accent6 3 3" xfId="57"/>
    <cellStyle name="20% - Accent6 4" xfId="58"/>
    <cellStyle name="20% - Accent6 4 2" xfId="59"/>
    <cellStyle name="20% - Accent6 5" xfId="60"/>
    <cellStyle name="20% - Accent6 6" xfId="61"/>
    <cellStyle name="40% - Accent1 2" xfId="62"/>
    <cellStyle name="40% - Accent1 2 2" xfId="63"/>
    <cellStyle name="40% - Accent1 2 3" xfId="64"/>
    <cellStyle name="40% - Accent1 3" xfId="65"/>
    <cellStyle name="40% - Accent1 3 2" xfId="66"/>
    <cellStyle name="40% - Accent1 3 3" xfId="67"/>
    <cellStyle name="40% - Accent1 4" xfId="68"/>
    <cellStyle name="40% - Accent1 4 2" xfId="69"/>
    <cellStyle name="40% - Accent1 5" xfId="70"/>
    <cellStyle name="40% - Accent1 6" xfId="71"/>
    <cellStyle name="40% - Accent2 2" xfId="72"/>
    <cellStyle name="40% - Accent2 2 2" xfId="73"/>
    <cellStyle name="40% - Accent2 2 3" xfId="74"/>
    <cellStyle name="40% - Accent2 3" xfId="75"/>
    <cellStyle name="40% - Accent2 3 2" xfId="76"/>
    <cellStyle name="40% - Accent2 3 3" xfId="77"/>
    <cellStyle name="40% - Accent2 4" xfId="78"/>
    <cellStyle name="40% - Accent2 4 2" xfId="79"/>
    <cellStyle name="40% - Accent2 5" xfId="80"/>
    <cellStyle name="40% - Accent2 6" xfId="81"/>
    <cellStyle name="40% - Accent3 2" xfId="82"/>
    <cellStyle name="40% - Accent3 2 2" xfId="83"/>
    <cellStyle name="40% - Accent3 2 3" xfId="84"/>
    <cellStyle name="40% - Accent3 3" xfId="85"/>
    <cellStyle name="40% - Accent3 3 2" xfId="86"/>
    <cellStyle name="40% - Accent3 3 3" xfId="87"/>
    <cellStyle name="40% - Accent3 4" xfId="88"/>
    <cellStyle name="40% - Accent3 4 2" xfId="89"/>
    <cellStyle name="40% - Accent3 5" xfId="90"/>
    <cellStyle name="40% - Accent3 6" xfId="91"/>
    <cellStyle name="40% - Accent4 2" xfId="92"/>
    <cellStyle name="40% - Accent4 2 2" xfId="93"/>
    <cellStyle name="40% - Accent4 2 3" xfId="94"/>
    <cellStyle name="40% - Accent4 3" xfId="95"/>
    <cellStyle name="40% - Accent4 3 2" xfId="96"/>
    <cellStyle name="40% - Accent4 3 3" xfId="97"/>
    <cellStyle name="40% - Accent4 4" xfId="98"/>
    <cellStyle name="40% - Accent4 4 2" xfId="99"/>
    <cellStyle name="40% - Accent4 5" xfId="100"/>
    <cellStyle name="40% - Accent4 6" xfId="101"/>
    <cellStyle name="40% - Accent5 2" xfId="102"/>
    <cellStyle name="40% - Accent5 2 2" xfId="103"/>
    <cellStyle name="40% - Accent5 2 3" xfId="104"/>
    <cellStyle name="40% - Accent5 3" xfId="105"/>
    <cellStyle name="40% - Accent5 3 2" xfId="106"/>
    <cellStyle name="40% - Accent5 3 3" xfId="107"/>
    <cellStyle name="40% - Accent5 4" xfId="108"/>
    <cellStyle name="40% - Accent5 4 2" xfId="109"/>
    <cellStyle name="40% - Accent5 5" xfId="110"/>
    <cellStyle name="40% - Accent5 6" xfId="111"/>
    <cellStyle name="40% - Accent6 2" xfId="112"/>
    <cellStyle name="40% - Accent6 2 2" xfId="113"/>
    <cellStyle name="40% - Accent6 2 3" xfId="114"/>
    <cellStyle name="40% - Accent6 3" xfId="115"/>
    <cellStyle name="40% - Accent6 3 2" xfId="116"/>
    <cellStyle name="40% - Accent6 3 3" xfId="117"/>
    <cellStyle name="40% - Accent6 4" xfId="118"/>
    <cellStyle name="40% - Accent6 4 2" xfId="119"/>
    <cellStyle name="40% - Accent6 5" xfId="120"/>
    <cellStyle name="40% - Accent6 6" xfId="121"/>
    <cellStyle name="60% - Accent1 2" xfId="122"/>
    <cellStyle name="60% - Accent1 2 2" xfId="123"/>
    <cellStyle name="60% - Accent1 2 3" xfId="124"/>
    <cellStyle name="60% - Accent1 3" xfId="125"/>
    <cellStyle name="60% - Accent1 3 2" xfId="126"/>
    <cellStyle name="60% - Accent1 3 3" xfId="127"/>
    <cellStyle name="60% - Accent1 4" xfId="128"/>
    <cellStyle name="60% - Accent1 4 2" xfId="129"/>
    <cellStyle name="60% - Accent1 5" xfId="130"/>
    <cellStyle name="60% - Accent1 6" xfId="131"/>
    <cellStyle name="60% - Accent2 2" xfId="132"/>
    <cellStyle name="60% - Accent2 2 2" xfId="133"/>
    <cellStyle name="60% - Accent2 2 3" xfId="134"/>
    <cellStyle name="60% - Accent2 3" xfId="135"/>
    <cellStyle name="60% - Accent2 3 2" xfId="136"/>
    <cellStyle name="60% - Accent2 3 3" xfId="137"/>
    <cellStyle name="60% - Accent2 4" xfId="138"/>
    <cellStyle name="60% - Accent2 4 2" xfId="139"/>
    <cellStyle name="60% - Accent2 5" xfId="140"/>
    <cellStyle name="60% - Accent2 6" xfId="141"/>
    <cellStyle name="60% - Accent3 2" xfId="142"/>
    <cellStyle name="60% - Accent3 2 2" xfId="143"/>
    <cellStyle name="60% - Accent3 2 3" xfId="144"/>
    <cellStyle name="60% - Accent3 3" xfId="145"/>
    <cellStyle name="60% - Accent3 3 2" xfId="146"/>
    <cellStyle name="60% - Accent3 3 3" xfId="147"/>
    <cellStyle name="60% - Accent3 4" xfId="148"/>
    <cellStyle name="60% - Accent3 4 2" xfId="149"/>
    <cellStyle name="60% - Accent3 5" xfId="150"/>
    <cellStyle name="60% - Accent3 6" xfId="151"/>
    <cellStyle name="60% - Accent4 2" xfId="152"/>
    <cellStyle name="60% - Accent4 2 2" xfId="153"/>
    <cellStyle name="60% - Accent4 2 3" xfId="154"/>
    <cellStyle name="60% - Accent4 3" xfId="155"/>
    <cellStyle name="60% - Accent4 3 2" xfId="156"/>
    <cellStyle name="60% - Accent4 3 3" xfId="157"/>
    <cellStyle name="60% - Accent4 4" xfId="158"/>
    <cellStyle name="60% - Accent4 4 2" xfId="159"/>
    <cellStyle name="60% - Accent4 5" xfId="160"/>
    <cellStyle name="60% - Accent4 6" xfId="161"/>
    <cellStyle name="60% - Accent5 2" xfId="162"/>
    <cellStyle name="60% - Accent5 2 2" xfId="163"/>
    <cellStyle name="60% - Accent5 2 3" xfId="164"/>
    <cellStyle name="60% - Accent5 3" xfId="165"/>
    <cellStyle name="60% - Accent5 3 2" xfId="166"/>
    <cellStyle name="60% - Accent5 3 3" xfId="167"/>
    <cellStyle name="60% - Accent5 4" xfId="168"/>
    <cellStyle name="60% - Accent5 4 2" xfId="169"/>
    <cellStyle name="60% - Accent5 5" xfId="170"/>
    <cellStyle name="60% - Accent5 6" xfId="171"/>
    <cellStyle name="60% - Accent6 2" xfId="172"/>
    <cellStyle name="60% - Accent6 2 2" xfId="173"/>
    <cellStyle name="60% - Accent6 2 3" xfId="174"/>
    <cellStyle name="60% - Accent6 3" xfId="175"/>
    <cellStyle name="60% - Accent6 3 2" xfId="176"/>
    <cellStyle name="60% - Accent6 3 3" xfId="177"/>
    <cellStyle name="60% - Accent6 4" xfId="178"/>
    <cellStyle name="60% - Accent6 4 2" xfId="179"/>
    <cellStyle name="60% - Accent6 5" xfId="180"/>
    <cellStyle name="60% - Accent6 6" xfId="181"/>
    <cellStyle name="Comma" xfId="1" builtinId="3"/>
    <cellStyle name="Comma 10" xfId="182"/>
    <cellStyle name="Comma 10 13" xfId="183"/>
    <cellStyle name="Comma 11" xfId="184"/>
    <cellStyle name="Comma 12" xfId="185"/>
    <cellStyle name="Comma 12 2" xfId="186"/>
    <cellStyle name="Comma 12 3" xfId="187"/>
    <cellStyle name="Comma 13" xfId="188"/>
    <cellStyle name="Comma 13 2" xfId="189"/>
    <cellStyle name="Comma 13 3" xfId="190"/>
    <cellStyle name="Comma 14" xfId="191"/>
    <cellStyle name="Comma 15" xfId="192"/>
    <cellStyle name="Comma 15 2" xfId="193"/>
    <cellStyle name="Comma 15 3" xfId="194"/>
    <cellStyle name="Comma 16" xfId="195"/>
    <cellStyle name="Comma 16 2" xfId="196"/>
    <cellStyle name="Comma 16 3" xfId="197"/>
    <cellStyle name="Comma 17" xfId="198"/>
    <cellStyle name="Comma 18" xfId="199"/>
    <cellStyle name="Comma 2" xfId="200"/>
    <cellStyle name="Comma 2 10" xfId="201"/>
    <cellStyle name="Comma 2 10 2" xfId="202"/>
    <cellStyle name="Comma 2 11" xfId="203"/>
    <cellStyle name="Comma 2 11 2" xfId="204"/>
    <cellStyle name="Comma 2 12" xfId="205"/>
    <cellStyle name="Comma 2 13" xfId="206"/>
    <cellStyle name="Comma 2 2" xfId="207"/>
    <cellStyle name="Comma 2 2 2" xfId="208"/>
    <cellStyle name="Comma 2 2 2 2" xfId="209"/>
    <cellStyle name="Comma 2 2 2 2 2" xfId="210"/>
    <cellStyle name="Comma 2 2 2 2 3" xfId="211"/>
    <cellStyle name="Comma 2 2 2 3" xfId="212"/>
    <cellStyle name="Comma 2 3" xfId="213"/>
    <cellStyle name="Comma 2 3 2" xfId="214"/>
    <cellStyle name="Comma 2 4" xfId="215"/>
    <cellStyle name="Comma 2 4 2" xfId="216"/>
    <cellStyle name="Comma 2 5" xfId="217"/>
    <cellStyle name="Comma 2 5 2" xfId="218"/>
    <cellStyle name="Comma 2 6" xfId="219"/>
    <cellStyle name="Comma 2 6 2" xfId="220"/>
    <cellStyle name="Comma 2 7" xfId="221"/>
    <cellStyle name="Comma 2 7 2" xfId="222"/>
    <cellStyle name="Comma 2 8" xfId="223"/>
    <cellStyle name="Comma 2 8 2" xfId="224"/>
    <cellStyle name="Comma 2 9" xfId="225"/>
    <cellStyle name="Comma 2 9 2" xfId="226"/>
    <cellStyle name="Comma 3" xfId="227"/>
    <cellStyle name="Comma 3 2" xfId="228"/>
    <cellStyle name="Comma 3 2 2" xfId="229"/>
    <cellStyle name="Comma 3 3" xfId="230"/>
    <cellStyle name="Comma 3 4" xfId="231"/>
    <cellStyle name="Comma 3 4 3" xfId="232"/>
    <cellStyle name="Comma 3 4 4" xfId="233"/>
    <cellStyle name="Comma 4" xfId="234"/>
    <cellStyle name="Comma 4 2" xfId="235"/>
    <cellStyle name="Comma 4 3" xfId="236"/>
    <cellStyle name="Comma 5" xfId="237"/>
    <cellStyle name="Comma 6" xfId="238"/>
    <cellStyle name="Comma 7" xfId="239"/>
    <cellStyle name="Comma 8" xfId="240"/>
    <cellStyle name="Comma 8 2" xfId="241"/>
    <cellStyle name="Comma 9" xfId="242"/>
    <cellStyle name="Neutral 2" xfId="243"/>
    <cellStyle name="Normal" xfId="0" builtinId="0"/>
    <cellStyle name="Normal - Style1" xfId="244"/>
    <cellStyle name="Normal 10" xfId="245"/>
    <cellStyle name="Normal 10 2" xfId="246"/>
    <cellStyle name="Normal 10 3" xfId="247"/>
    <cellStyle name="Normal 11" xfId="248"/>
    <cellStyle name="Normal 11 2" xfId="249"/>
    <cellStyle name="Normal 11 3" xfId="250"/>
    <cellStyle name="Normal 12" xfId="251"/>
    <cellStyle name="Normal 12 2" xfId="252"/>
    <cellStyle name="Normal 12 2 2" xfId="253"/>
    <cellStyle name="Normal 12 2 3" xfId="254"/>
    <cellStyle name="Normal 12 3" xfId="255"/>
    <cellStyle name="Normal 12 4" xfId="256"/>
    <cellStyle name="Normal 13" xfId="257"/>
    <cellStyle name="Normal 13 2" xfId="258"/>
    <cellStyle name="Normal 13 3" xfId="259"/>
    <cellStyle name="Normal 14" xfId="260"/>
    <cellStyle name="Normal 14 2" xfId="261"/>
    <cellStyle name="Normal 15" xfId="262"/>
    <cellStyle name="Normal 15 2" xfId="263"/>
    <cellStyle name="Normal 15 3" xfId="264"/>
    <cellStyle name="Normal 16" xfId="265"/>
    <cellStyle name="Normal 16 2" xfId="266"/>
    <cellStyle name="Normal 16 3" xfId="267"/>
    <cellStyle name="Normal 17" xfId="268"/>
    <cellStyle name="Normal 17 2" xfId="269"/>
    <cellStyle name="Normal 17 3" xfId="270"/>
    <cellStyle name="Normal 18" xfId="271"/>
    <cellStyle name="Normal 18 2" xfId="272"/>
    <cellStyle name="Normal 18 3" xfId="273"/>
    <cellStyle name="Normal 19" xfId="274"/>
    <cellStyle name="Normal 19 2" xfId="275"/>
    <cellStyle name="Normal 19 3" xfId="276"/>
    <cellStyle name="Normal 2" xfId="277"/>
    <cellStyle name="Normal 2 2" xfId="278"/>
    <cellStyle name="Normal 2 2 2" xfId="279"/>
    <cellStyle name="Normal 2 3" xfId="280"/>
    <cellStyle name="Normal 2 4" xfId="281"/>
    <cellStyle name="Normal 2 5" xfId="282"/>
    <cellStyle name="Normal 2 6" xfId="283"/>
    <cellStyle name="Normal 20" xfId="284"/>
    <cellStyle name="Normal 20 2" xfId="285"/>
    <cellStyle name="Normal 20 3" xfId="286"/>
    <cellStyle name="Normal 21" xfId="287"/>
    <cellStyle name="Normal 21 2" xfId="288"/>
    <cellStyle name="Normal 21 3" xfId="289"/>
    <cellStyle name="Normal 22" xfId="290"/>
    <cellStyle name="Normal 22 2" xfId="291"/>
    <cellStyle name="Normal 22 3" xfId="292"/>
    <cellStyle name="Normal 23" xfId="293"/>
    <cellStyle name="Normal 23 2" xfId="294"/>
    <cellStyle name="Normal 23 3" xfId="295"/>
    <cellStyle name="Normal 24" xfId="296"/>
    <cellStyle name="Normal 24 2" xfId="297"/>
    <cellStyle name="Normal 24 3" xfId="298"/>
    <cellStyle name="Normal 25" xfId="299"/>
    <cellStyle name="Normal 25 2" xfId="300"/>
    <cellStyle name="Normal 25 3" xfId="301"/>
    <cellStyle name="Normal 26" xfId="302"/>
    <cellStyle name="Normal 26 2" xfId="303"/>
    <cellStyle name="Normal 26 3" xfId="304"/>
    <cellStyle name="Normal 27" xfId="305"/>
    <cellStyle name="Normal 27 2" xfId="306"/>
    <cellStyle name="Normal 27 2 2" xfId="307"/>
    <cellStyle name="Normal 27 3" xfId="308"/>
    <cellStyle name="Normal 28" xfId="309"/>
    <cellStyle name="Normal 28 2" xfId="310"/>
    <cellStyle name="Normal 29" xfId="311"/>
    <cellStyle name="Normal 29 2" xfId="312"/>
    <cellStyle name="Normal 3" xfId="313"/>
    <cellStyle name="Normal 3 2" xfId="314"/>
    <cellStyle name="Normal 3 2 2" xfId="315"/>
    <cellStyle name="Normal 3 2 3" xfId="316"/>
    <cellStyle name="Normal 3 3" xfId="317"/>
    <cellStyle name="Normal 3 4" xfId="318"/>
    <cellStyle name="Normal 30" xfId="319"/>
    <cellStyle name="Normal 30 2" xfId="320"/>
    <cellStyle name="Normal 31" xfId="321"/>
    <cellStyle name="Normal 31 2" xfId="322"/>
    <cellStyle name="Normal 32" xfId="323"/>
    <cellStyle name="Normal 32 2" xfId="324"/>
    <cellStyle name="Normal 33" xfId="325"/>
    <cellStyle name="Normal 33 2" xfId="326"/>
    <cellStyle name="Normal 34" xfId="327"/>
    <cellStyle name="Normal 34 2" xfId="328"/>
    <cellStyle name="Normal 35" xfId="329"/>
    <cellStyle name="Normal 35 2" xfId="330"/>
    <cellStyle name="Normal 36" xfId="331"/>
    <cellStyle name="Normal 36 2" xfId="332"/>
    <cellStyle name="Normal 37" xfId="333"/>
    <cellStyle name="Normal 37 2" xfId="334"/>
    <cellStyle name="Normal 38" xfId="335"/>
    <cellStyle name="Normal 38 2" xfId="336"/>
    <cellStyle name="Normal 39" xfId="337"/>
    <cellStyle name="Normal 39 2" xfId="338"/>
    <cellStyle name="Normal 4" xfId="339"/>
    <cellStyle name="Normal 4 2" xfId="340"/>
    <cellStyle name="Normal 40" xfId="341"/>
    <cellStyle name="Normal 40 2" xfId="342"/>
    <cellStyle name="Normal 41" xfId="343"/>
    <cellStyle name="Normal 41 2" xfId="344"/>
    <cellStyle name="Normal 42" xfId="345"/>
    <cellStyle name="Normal 42 2" xfId="346"/>
    <cellStyle name="Normal 43" xfId="347"/>
    <cellStyle name="Normal 43 2" xfId="348"/>
    <cellStyle name="Normal 44" xfId="349"/>
    <cellStyle name="Normal 44 2" xfId="350"/>
    <cellStyle name="Normal 45" xfId="351"/>
    <cellStyle name="Normal 45 2" xfId="352"/>
    <cellStyle name="Normal 46" xfId="353"/>
    <cellStyle name="Normal 46 2" xfId="354"/>
    <cellStyle name="Normal 47" xfId="355"/>
    <cellStyle name="Normal 47 2" xfId="356"/>
    <cellStyle name="Normal 48" xfId="357"/>
    <cellStyle name="Normal 48 2" xfId="358"/>
    <cellStyle name="Normal 49" xfId="359"/>
    <cellStyle name="Normal 49 2" xfId="360"/>
    <cellStyle name="Normal 5" xfId="361"/>
    <cellStyle name="Normal 50" xfId="362"/>
    <cellStyle name="Normal 50 2" xfId="363"/>
    <cellStyle name="Normal 51" xfId="364"/>
    <cellStyle name="Normal 51 2" xfId="365"/>
    <cellStyle name="Normal 52" xfId="366"/>
    <cellStyle name="Normal 52 2" xfId="367"/>
    <cellStyle name="Normal 53" xfId="368"/>
    <cellStyle name="Normal 53 2" xfId="369"/>
    <cellStyle name="Normal 54" xfId="370"/>
    <cellStyle name="Normal 54 2" xfId="371"/>
    <cellStyle name="Normal 55" xfId="372"/>
    <cellStyle name="Normal 55 2" xfId="373"/>
    <cellStyle name="Normal 56" xfId="374"/>
    <cellStyle name="Normal 56 2" xfId="375"/>
    <cellStyle name="Normal 57" xfId="376"/>
    <cellStyle name="Normal 57 2" xfId="377"/>
    <cellStyle name="Normal 58" xfId="378"/>
    <cellStyle name="Normal 58 2" xfId="379"/>
    <cellStyle name="Normal 59" xfId="380"/>
    <cellStyle name="Normal 59 2" xfId="381"/>
    <cellStyle name="Normal 6" xfId="382"/>
    <cellStyle name="Normal 6 2" xfId="383"/>
    <cellStyle name="Normal 6 3" xfId="384"/>
    <cellStyle name="Normal 60" xfId="385"/>
    <cellStyle name="Normal 60 2" xfId="386"/>
    <cellStyle name="Normal 61" xfId="387"/>
    <cellStyle name="Normal 61 2" xfId="388"/>
    <cellStyle name="Normal 62" xfId="389"/>
    <cellStyle name="Normal 62 2" xfId="390"/>
    <cellStyle name="Normal 63" xfId="391"/>
    <cellStyle name="Normal 63 2" xfId="392"/>
    <cellStyle name="Normal 64" xfId="393"/>
    <cellStyle name="Normal 64 2" xfId="394"/>
    <cellStyle name="Normal 65" xfId="395"/>
    <cellStyle name="Normal 65 2" xfId="396"/>
    <cellStyle name="Normal 66" xfId="397"/>
    <cellStyle name="Normal 66 2" xfId="398"/>
    <cellStyle name="Normal 67" xfId="399"/>
    <cellStyle name="Normal 67 2" xfId="400"/>
    <cellStyle name="Normal 68" xfId="401"/>
    <cellStyle name="Normal 68 2" xfId="402"/>
    <cellStyle name="Normal 69" xfId="403"/>
    <cellStyle name="Normal 69 2" xfId="404"/>
    <cellStyle name="Normal 7" xfId="405"/>
    <cellStyle name="Normal 7 2" xfId="406"/>
    <cellStyle name="Normal 7 3" xfId="407"/>
    <cellStyle name="Normal 70" xfId="408"/>
    <cellStyle name="Normal 71" xfId="409"/>
    <cellStyle name="Normal 72" xfId="410"/>
    <cellStyle name="Normal 73" xfId="411"/>
    <cellStyle name="Normal 74" xfId="412"/>
    <cellStyle name="Normal 75" xfId="463"/>
    <cellStyle name="Normal 8" xfId="413"/>
    <cellStyle name="Normal 8 2" xfId="414"/>
    <cellStyle name="Normal 8 3" xfId="415"/>
    <cellStyle name="Normal 9" xfId="416"/>
    <cellStyle name="Normal 9 2" xfId="417"/>
    <cellStyle name="Normal 9 3" xfId="418"/>
    <cellStyle name="Note 10" xfId="419"/>
    <cellStyle name="Note 10 2" xfId="420"/>
    <cellStyle name="Note 10 3" xfId="421"/>
    <cellStyle name="Note 11" xfId="422"/>
    <cellStyle name="Note 11 2" xfId="423"/>
    <cellStyle name="Note 11 3" xfId="424"/>
    <cellStyle name="Note 12" xfId="425"/>
    <cellStyle name="Note 12 2" xfId="426"/>
    <cellStyle name="Note 12 3" xfId="427"/>
    <cellStyle name="Note 13" xfId="428"/>
    <cellStyle name="Note 13 2" xfId="429"/>
    <cellStyle name="Note 14" xfId="430"/>
    <cellStyle name="Note 14 2" xfId="431"/>
    <cellStyle name="Note 2" xfId="432"/>
    <cellStyle name="Note 2 2" xfId="433"/>
    <cellStyle name="Note 2 3" xfId="434"/>
    <cellStyle name="Note 3" xfId="435"/>
    <cellStyle name="Note 3 2" xfId="436"/>
    <cellStyle name="Note 3 3" xfId="437"/>
    <cellStyle name="Note 4" xfId="438"/>
    <cellStyle name="Note 4 2" xfId="439"/>
    <cellStyle name="Note 4 3" xfId="440"/>
    <cellStyle name="Note 5" xfId="441"/>
    <cellStyle name="Note 5 2" xfId="442"/>
    <cellStyle name="Note 5 3" xfId="443"/>
    <cellStyle name="Note 6" xfId="444"/>
    <cellStyle name="Note 6 2" xfId="445"/>
    <cellStyle name="Note 6 3" xfId="446"/>
    <cellStyle name="Note 7" xfId="447"/>
    <cellStyle name="Note 7 2" xfId="448"/>
    <cellStyle name="Note 7 3" xfId="449"/>
    <cellStyle name="Note 8" xfId="450"/>
    <cellStyle name="Note 8 2" xfId="451"/>
    <cellStyle name="Note 8 3" xfId="452"/>
    <cellStyle name="Note 9" xfId="453"/>
    <cellStyle name="Note 9 2" xfId="454"/>
    <cellStyle name="Note 9 3" xfId="455"/>
    <cellStyle name="Percent" xfId="464" builtinId="5"/>
    <cellStyle name="Percent 2" xfId="456"/>
    <cellStyle name="Percent 2 2" xfId="457"/>
    <cellStyle name="Percent 2 2 2" xfId="458"/>
    <cellStyle name="Percent 3" xfId="459"/>
    <cellStyle name="Percent 4" xfId="460"/>
    <cellStyle name="Title 2" xfId="461"/>
    <cellStyle name="Title 3" xfId="462"/>
  </cellStyles>
  <dxfs count="0"/>
  <tableStyles count="0" defaultTableStyle="TableStyleMedium2" defaultPivotStyle="PivotStyleLight16"/>
  <colors>
    <mruColors>
      <color rgb="FF66CCFF"/>
      <color rgb="FF0C68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3659116963828E-2"/>
          <c:y val="0.127049928301395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Oct 2025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Comparison'!$A$5:$A$13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Comparison'!$B$5:$B$13</c:f>
              <c:numCache>
                <c:formatCode>_-* #,##0.00_-;\-* #,##0.00_-;_-* "-"??_-;_-@_-</c:formatCode>
                <c:ptCount val="9"/>
                <c:pt idx="0" formatCode="0.00">
                  <c:v>80.026944757741362</c:v>
                </c:pt>
                <c:pt idx="1">
                  <c:v>4358.4102246460734</c:v>
                </c:pt>
                <c:pt idx="2" formatCode="0.00">
                  <c:v>241.31955482041843</c:v>
                </c:pt>
                <c:pt idx="3">
                  <c:v>1893.5907993101837</c:v>
                </c:pt>
                <c:pt idx="4" formatCode="0.00">
                  <c:v>478.51150703533</c:v>
                </c:pt>
                <c:pt idx="5" formatCode="0.00">
                  <c:v>81.002610176752384</c:v>
                </c:pt>
                <c:pt idx="6" formatCode="0.00">
                  <c:v>8.5904539153500004</c:v>
                </c:pt>
                <c:pt idx="7" formatCode="0.00">
                  <c:v>71.698683684129989</c:v>
                </c:pt>
                <c:pt idx="8" formatCode="0.00">
                  <c:v>18.55231161645878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6-46ED-89A2-2B50ABB45C22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Nov 2025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Comparison'!$A$5:$A$13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Comparison'!$C$5:$C$13</c:f>
              <c:numCache>
                <c:formatCode>_(* #,##0.00_);_(* \(#,##0.00\);_(* "-"??_);_(@_)</c:formatCode>
                <c:ptCount val="9"/>
                <c:pt idx="0">
                  <c:v>76.687557108239986</c:v>
                </c:pt>
                <c:pt idx="1">
                  <c:v>4485.8453789347277</c:v>
                </c:pt>
                <c:pt idx="2">
                  <c:v>241.37287576415</c:v>
                </c:pt>
                <c:pt idx="3">
                  <c:v>1903.5428744500064</c:v>
                </c:pt>
                <c:pt idx="4">
                  <c:v>483.18103508065002</c:v>
                </c:pt>
                <c:pt idx="5">
                  <c:v>80.407918513799999</c:v>
                </c:pt>
                <c:pt idx="6">
                  <c:v>8.1305151032299996</c:v>
                </c:pt>
                <c:pt idx="7">
                  <c:v>74.418607204430003</c:v>
                </c:pt>
                <c:pt idx="8" formatCode="0.00">
                  <c:v>18.6196708478613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86-46ED-89A2-2B50ABB45C22}"/>
            </c:ext>
          </c:extLst>
        </c:ser>
        <c:ser>
          <c:idx val="2"/>
          <c:order val="2"/>
          <c:tx>
            <c:strRef>
              <c:f>'NAV Comparison'!$D$4</c:f>
              <c:strCache>
                <c:ptCount val="1"/>
                <c:pt idx="0">
                  <c:v>Dec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Comparison'!$A$5:$A$13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Comparison'!$D$5:$D$13</c:f>
              <c:numCache>
                <c:formatCode>0.00</c:formatCode>
                <c:ptCount val="9"/>
                <c:pt idx="0">
                  <c:v>81.121163345469995</c:v>
                </c:pt>
                <c:pt idx="1">
                  <c:v>4828.827306317361</c:v>
                </c:pt>
                <c:pt idx="2">
                  <c:v>239.33317488923998</c:v>
                </c:pt>
                <c:pt idx="3">
                  <c:v>1959.0930950213278</c:v>
                </c:pt>
                <c:pt idx="4">
                  <c:v>501.24389179748999</c:v>
                </c:pt>
                <c:pt idx="5">
                  <c:v>83.888360938220004</c:v>
                </c:pt>
                <c:pt idx="6">
                  <c:v>8.3509394831599995</c:v>
                </c:pt>
                <c:pt idx="7">
                  <c:v>79.277107617550001</c:v>
                </c:pt>
                <c:pt idx="8">
                  <c:v>18.6650269552939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29-4376-982D-C0EACFCCD7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51400592"/>
        <c:axId val="148111208"/>
      </c:barChart>
      <c:catAx>
        <c:axId val="25140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48111208"/>
        <c:crosses val="autoZero"/>
        <c:auto val="1"/>
        <c:lblAlgn val="ctr"/>
        <c:lblOffset val="100"/>
        <c:noMultiLvlLbl val="0"/>
      </c:catAx>
      <c:valAx>
        <c:axId val="148111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51400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</c:rich>
      </c:tx>
      <c:layout>
        <c:manualLayout>
          <c:xMode val="edge"/>
          <c:yMode val="edge"/>
          <c:x val="0.231843809708693"/>
          <c:y val="9.3377148481089307E-3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430612036398778"/>
          <c:y val="0.16516634114243717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Dec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C18-4D5B-93F2-F392B61358B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C18-4D5B-93F2-F392B61358B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C18-4D5B-93F2-F392B61358BF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C18-4D5B-93F2-F392B61358BF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C18-4D5B-93F2-F392B61358BF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9C18-4D5B-93F2-F392B61358BF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9C18-4D5B-93F2-F392B61358BF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9C18-4D5B-93F2-F392B61358BF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C18-4D5B-93F2-F392B61358BF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tx>
                <c:rich>
                  <a:bodyPr/>
                  <a:lstStyle/>
                  <a:p>
                    <a:fld id="{C408D737-951C-48F8-832A-49C708663CFF}" type="CATEGORYNAME">
                      <a:rPr lang="en-US" sz="900"/>
                      <a:pPr/>
                      <a:t>[CATEGORY NAME]</a:t>
                    </a:fld>
                    <a:r>
                      <a:rPr lang="en-US" sz="900" baseline="0"/>
                      <a:t>
</a:t>
                    </a:r>
                    <a:fld id="{7AE21D75-0041-4968-B529-F0A085E1161C}" type="PERCENTAGE">
                      <a:rPr lang="en-US" sz="900" baseline="0"/>
                      <a:pPr/>
                      <a:t>[PERCENTAGE]</a:t>
                    </a:fld>
                    <a:endParaRPr lang="en-US" sz="900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C18-4D5B-93F2-F392B61358BF}"/>
                </c:ext>
              </c:extLst>
            </c:dLbl>
            <c:dLbl>
              <c:idx val="2"/>
              <c:layout>
                <c:manualLayout>
                  <c:x val="-6.39089047435073E-2"/>
                  <c:y val="-1.4322104158500831E-3"/>
                </c:manualLayout>
              </c:layout>
              <c:tx>
                <c:rich>
                  <a:bodyPr/>
                  <a:lstStyle/>
                  <a:p>
                    <a:fld id="{45011A9D-ECDA-415F-B2A6-D9FBD8F99AD2}" type="CATEGORYNAME">
                      <a:rPr lang="en-US" sz="900"/>
                      <a:pPr/>
                      <a:t>[CATEGORY NAME]</a:t>
                    </a:fld>
                    <a:r>
                      <a:rPr lang="en-US" sz="900" baseline="0"/>
                      <a:t>
</a:t>
                    </a:r>
                    <a:fld id="{C9D3B996-1935-4167-8A80-688DE99E4661}" type="PERCENTAGE">
                      <a:rPr lang="en-US" sz="900" baseline="0"/>
                      <a:pPr/>
                      <a:t>[PERCENTAGE]</a:t>
                    </a:fld>
                    <a:endParaRPr lang="en-US" sz="900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9C18-4D5B-93F2-F392B61358BF}"/>
                </c:ext>
              </c:extLst>
            </c:dLbl>
            <c:dLbl>
              <c:idx val="3"/>
              <c:layout>
                <c:manualLayout>
                  <c:x val="-2.6526955148730099E-2"/>
                  <c:y val="-6.3523020190142804E-2"/>
                </c:manualLayout>
              </c:layout>
              <c:tx>
                <c:rich>
                  <a:bodyPr/>
                  <a:lstStyle/>
                  <a:p>
                    <a:fld id="{36AD4456-AD36-4C03-A521-84E2F3BF8F9D}" type="CATEGORYNAME">
                      <a:rPr lang="en-US" sz="900"/>
                      <a:pPr/>
                      <a:t>[CATEGORY NAME]</a:t>
                    </a:fld>
                    <a:r>
                      <a:rPr lang="en-US" sz="900" baseline="0"/>
                      <a:t>
</a:t>
                    </a:r>
                    <a:fld id="{B8CE5521-826D-47E8-86EF-B4972E285FD0}" type="PERCENTAGE">
                      <a:rPr lang="en-US" sz="900" baseline="0"/>
                      <a:pPr/>
                      <a:t>[PERCENTAGE]</a:t>
                    </a:fld>
                    <a:endParaRPr lang="en-US" sz="900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9C18-4D5B-93F2-F392B61358BF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tx>
                <c:rich>
                  <a:bodyPr/>
                  <a:lstStyle/>
                  <a:p>
                    <a:fld id="{CB4AC732-EA24-4AD3-B3A6-B51078398EFB}" type="CATEGORYNAME">
                      <a:rPr lang="en-US" sz="900"/>
                      <a:pPr/>
                      <a:t>[CATEGORY NAME]</a:t>
                    </a:fld>
                    <a:r>
                      <a:rPr lang="en-US" sz="900" baseline="0"/>
                      <a:t>
</a:t>
                    </a:r>
                    <a:fld id="{23984648-4740-4CD8-9E9F-882E15AC8545}" type="PERCENTAGE">
                      <a:rPr lang="en-US" sz="900" baseline="0"/>
                      <a:pPr/>
                      <a:t>[PERCENTAGE]</a:t>
                    </a:fld>
                    <a:endParaRPr lang="en-US" sz="900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9C18-4D5B-93F2-F392B61358BF}"/>
                </c:ext>
              </c:extLst>
            </c:dLbl>
            <c:dLbl>
              <c:idx val="5"/>
              <c:layout>
                <c:manualLayout>
                  <c:x val="2.964929024123427E-2"/>
                  <c:y val="-0.15207084136351062"/>
                </c:manualLayout>
              </c:layout>
              <c:tx>
                <c:rich>
                  <a:bodyPr/>
                  <a:lstStyle/>
                  <a:p>
                    <a:fld id="{8D3615A1-51A0-45EA-92E3-4641038F4477}" type="CATEGORYNAME">
                      <a:rPr lang="en-US" sz="900"/>
                      <a:pPr/>
                      <a:t>[CATEGORY NAME]</a:t>
                    </a:fld>
                    <a:r>
                      <a:rPr lang="en-US" sz="900" baseline="0"/>
                      <a:t>
</a:t>
                    </a:r>
                    <a:fld id="{33094793-36A5-4429-8677-915F9F6EEF65}" type="PERCENTAGE">
                      <a:rPr lang="en-US" sz="900" baseline="0"/>
                      <a:pPr/>
                      <a:t>[PERCENTAGE]</a:t>
                    </a:fld>
                    <a:endParaRPr lang="en-US" sz="900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9C18-4D5B-93F2-F392B61358BF}"/>
                </c:ext>
              </c:extLst>
            </c:dLbl>
            <c:dLbl>
              <c:idx val="6"/>
              <c:layout>
                <c:manualLayout>
                  <c:x val="0.19056243204754122"/>
                  <c:y val="-0.136436839646577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lang="en-US" sz="1100" b="0" i="0" u="none" strike="noStrike" kern="1200" baseline="0">
                        <a:solidFill>
                          <a:schemeClr val="lt1"/>
                        </a:solidFill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defRPr>
                    </a:pPr>
                    <a:fld id="{568AC7CB-189C-4EB7-A6D4-E61584A531C2}" type="CATEGORYNAME">
                      <a:rPr lang="en-US" sz="800"/>
                      <a:pPr>
                        <a:defRPr lang="en-US" sz="1100" b="0" i="0" u="none" strike="noStrike" kern="1200" baseline="0">
                          <a:solidFill>
                            <a:schemeClr val="lt1"/>
                          </a:solidFill>
                          <a:latin typeface="Tahoma" panose="020B0604030504040204" pitchFamily="34" charset="0"/>
                          <a:ea typeface="Tahoma" panose="020B0604030504040204" pitchFamily="34" charset="0"/>
                          <a:cs typeface="Tahoma" panose="020B0604030504040204" pitchFamily="34" charset="0"/>
                        </a:defRPr>
                      </a:pPr>
                      <a:t>[CATEGORY NAME]</a:t>
                    </a:fld>
                    <a:r>
                      <a:rPr lang="en-US" sz="800" baseline="0"/>
                      <a:t>
</a:t>
                    </a:r>
                    <a:fld id="{45CECE31-EE9E-4AE3-8A36-1BCE7EECF656}" type="PERCENTAGE">
                      <a:rPr lang="en-US" sz="800" baseline="0"/>
                      <a:pPr>
                        <a:defRPr lang="en-US" sz="1100" b="0" i="0" u="none" strike="noStrike" kern="1200" baseline="0">
                          <a:solidFill>
                            <a:schemeClr val="lt1"/>
                          </a:solidFill>
                          <a:latin typeface="Tahoma" panose="020B0604030504040204" pitchFamily="34" charset="0"/>
                          <a:ea typeface="Tahoma" panose="020B0604030504040204" pitchFamily="34" charset="0"/>
                          <a:cs typeface="Tahoma" panose="020B0604030504040204" pitchFamily="34" charset="0"/>
                        </a:defRPr>
                      </a:pPr>
                      <a:t>[PERCENTAGE]</a:t>
                    </a:fld>
                    <a:endParaRPr lang="en-US" sz="800" baseline="0"/>
                  </a:p>
                </c:rich>
              </c:tx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6880695068201157"/>
                      <c:h val="6.065308579105881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9C18-4D5B-93F2-F392B61358BF}"/>
                </c:ext>
              </c:extLst>
            </c:dLbl>
            <c:dLbl>
              <c:idx val="7"/>
              <c:layout>
                <c:manualLayout>
                  <c:x val="0.13134416568849797"/>
                  <c:y val="0.10373272312991044"/>
                </c:manualLayout>
              </c:layout>
              <c:tx>
                <c:rich>
                  <a:bodyPr/>
                  <a:lstStyle/>
                  <a:p>
                    <a:fld id="{C014DA96-004C-466A-97DD-3AC63BEC79CD}" type="CATEGORYNAME">
                      <a:rPr lang="en-US" sz="900"/>
                      <a:pPr/>
                      <a:t>[CATEGORY NAME]</a:t>
                    </a:fld>
                    <a:r>
                      <a:rPr lang="en-US" sz="900" baseline="0"/>
                      <a:t>
</a:t>
                    </a:r>
                    <a:fld id="{A02731EB-3157-42BE-9245-34DBFDE59ED0}" type="PERCENTAGE">
                      <a:rPr lang="en-US" sz="900" baseline="0"/>
                      <a:pPr/>
                      <a:t>[PERCENTAGE]</a:t>
                    </a:fld>
                    <a:endParaRPr lang="en-US" sz="900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9C18-4D5B-93F2-F392B61358BF}"/>
                </c:ext>
              </c:extLst>
            </c:dLbl>
            <c:dLbl>
              <c:idx val="8"/>
              <c:layout>
                <c:manualLayout>
                  <c:x val="-0.28016418136044668"/>
                  <c:y val="-0.23530199007454078"/>
                </c:manualLayout>
              </c:layout>
              <c:tx>
                <c:rich>
                  <a:bodyPr/>
                  <a:lstStyle/>
                  <a:p>
                    <a:fld id="{C6B1F4F8-1B1B-4D66-90B6-E3271FB167C2}" type="CATEGORYNAME">
                      <a:rPr lang="en-US" sz="900"/>
                      <a:pPr/>
                      <a:t>[CATEGORY NAME]</a:t>
                    </a:fld>
                    <a:r>
                      <a:rPr lang="en-US" sz="900" baseline="0"/>
                      <a:t>
</a:t>
                    </a:r>
                    <a:fld id="{CFCB18A1-A1AB-41B0-B400-6D0AC312B41D}" type="PERCENTAGE">
                      <a:rPr lang="en-US" sz="900" baseline="0"/>
                      <a:pPr/>
                      <a:t>[PERCENTAGE]</a:t>
                    </a:fld>
                    <a:endParaRPr lang="en-US" sz="900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C612-485C-B4A4-AAD79CF83AD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SHARI'AH COMPLAINT FUNDS</c:v>
                </c:pt>
                <c:pt idx="3">
                  <c:v>EQUITY BASED FUNDS</c:v>
                </c:pt>
                <c:pt idx="4">
                  <c:v>BALANCED FUNDS</c:v>
                </c:pt>
                <c:pt idx="5">
                  <c:v>BONDS/FIXED INCOME FUNDS</c:v>
                </c:pt>
                <c:pt idx="6">
                  <c:v>REAL ESTATE INVESTMENT TRUST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_-* #,##0.00_-;\-* #,##0.00_-;_-* "-"??_-;_-@_-</c:formatCode>
                <c:ptCount val="9"/>
                <c:pt idx="0">
                  <c:v>8350939483.1599998</c:v>
                </c:pt>
                <c:pt idx="1">
                  <c:v>18665026955.2939</c:v>
                </c:pt>
                <c:pt idx="2">
                  <c:v>79277107617.550003</c:v>
                </c:pt>
                <c:pt idx="3" formatCode="#,##0.00">
                  <c:v>81121163345.470001</c:v>
                </c:pt>
                <c:pt idx="4" formatCode="#,##0.00">
                  <c:v>83888360938.220001</c:v>
                </c:pt>
                <c:pt idx="5" formatCode="#,##0.00">
                  <c:v>239333174889.23999</c:v>
                </c:pt>
                <c:pt idx="6" formatCode="#,##0.00">
                  <c:v>501243891797.48999</c:v>
                </c:pt>
                <c:pt idx="7" formatCode="#,##0.00">
                  <c:v>1959093095021.3279</c:v>
                </c:pt>
                <c:pt idx="8" formatCode="#,##0.00">
                  <c:v>4828827306317.3613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C18-4D5B-93F2-F392B61358BF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UNITHOLDERS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Unitholders!$B$5</c:f>
              <c:strCache>
                <c:ptCount val="1"/>
                <c:pt idx="0">
                  <c:v>UNIT HOLDERS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Unitholders!$A$6:$A$14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Unitholders!$B$6:$B$14</c:f>
              <c:numCache>
                <c:formatCode>_(* #,##0_);_(* \(#,##0\);_(* "-"??_);_(@_)</c:formatCode>
                <c:ptCount val="9"/>
                <c:pt idx="0">
                  <c:v>65164</c:v>
                </c:pt>
                <c:pt idx="1">
                  <c:v>553638</c:v>
                </c:pt>
                <c:pt idx="2">
                  <c:v>52751</c:v>
                </c:pt>
                <c:pt idx="3">
                  <c:v>25249</c:v>
                </c:pt>
                <c:pt idx="4">
                  <c:v>224116</c:v>
                </c:pt>
                <c:pt idx="5">
                  <c:v>76927</c:v>
                </c:pt>
                <c:pt idx="6">
                  <c:v>13317</c:v>
                </c:pt>
                <c:pt idx="7">
                  <c:v>39396</c:v>
                </c:pt>
                <c:pt idx="8" formatCode="_-* #,##0_-;\-* #,##0_-;_-* &quot;-&quot;??_-;_-@_-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9-4D7C-AC55-08D88FE24A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328697840"/>
        <c:axId val="251602304"/>
      </c:barChart>
      <c:catAx>
        <c:axId val="328697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CLASSES OF FUNDS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0.45444441097145799"/>
              <c:y val="0.936238322854479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900" b="0" i="0" u="none" strike="noStrike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602304"/>
        <c:crosses val="autoZero"/>
        <c:auto val="1"/>
        <c:lblAlgn val="ctr"/>
        <c:lblOffset val="100"/>
        <c:noMultiLvlLbl val="0"/>
      </c:catAx>
      <c:valAx>
        <c:axId val="25160230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0">
                    <a:schemeClr val="lt1">
                      <a:lumMod val="75000"/>
                      <a:alpha val="36000"/>
                    </a:schemeClr>
                  </a:gs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328697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>
                <a:lumMod val="75000"/>
                <a:alpha val="36000"/>
              </a:schemeClr>
            </a:gs>
            <a:gs pos="100000">
              <a:schemeClr val="dk1">
                <a:lumMod val="95000"/>
                <a:lumOff val="5000"/>
                <a:alpha val="42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0">
              <a:schemeClr val="lt1">
                <a:lumMod val="75000"/>
                <a:alpha val="36000"/>
                <a:lumOff val="10000"/>
              </a:schemeClr>
            </a:gs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563880</xdr:colOff>
      <xdr:row>22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590550</xdr:colOff>
      <xdr:row>30</xdr:row>
      <xdr:rowOff>171451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19050</xdr:colOff>
      <xdr:row>19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nthly%20Update%20on%20Registered%20Mutual%20Funds%20as%20at%20Novemb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"/>
      <sheetName val="NAV Comparison"/>
      <sheetName val="Market Share"/>
      <sheetName val="Unitholders"/>
    </sheetNames>
    <sheetDataSet>
      <sheetData sheetId="0">
        <row r="24">
          <cell r="K24">
            <v>76687557108.23999</v>
          </cell>
        </row>
        <row r="69">
          <cell r="K69">
            <v>4485845378934.7275</v>
          </cell>
        </row>
        <row r="111">
          <cell r="K111">
            <v>241372875764.14999</v>
          </cell>
        </row>
        <row r="153">
          <cell r="K153">
            <v>1903542874450.0063</v>
          </cell>
        </row>
        <row r="162">
          <cell r="K162">
            <v>483181035080.65002</v>
          </cell>
        </row>
        <row r="194">
          <cell r="K194">
            <v>80407918513.800003</v>
          </cell>
        </row>
        <row r="199">
          <cell r="K199">
            <v>8130515103.2299995</v>
          </cell>
        </row>
        <row r="227">
          <cell r="K227">
            <v>74418607204.430008</v>
          </cell>
        </row>
        <row r="236">
          <cell r="K236">
            <v>18619670847.861301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241"/>
  <sheetViews>
    <sheetView tabSelected="1" view="pageBreakPreview" zoomScaleNormal="70" zoomScaleSheetLayoutView="100" workbookViewId="0">
      <pane ySplit="2" topLeftCell="A3" activePane="bottomLeft" state="frozen"/>
      <selection pane="bottomLeft" activeCell="A3" sqref="A3:V3"/>
    </sheetView>
  </sheetViews>
  <sheetFormatPr defaultColWidth="9" defaultRowHeight="13.8"/>
  <cols>
    <col min="1" max="1" width="6.6640625" style="5" customWidth="1"/>
    <col min="2" max="2" width="44.6640625" style="15" customWidth="1"/>
    <col min="3" max="3" width="43.6640625" style="15" customWidth="1"/>
    <col min="4" max="4" width="21.5546875" style="4" customWidth="1"/>
    <col min="5" max="6" width="19.33203125" style="4" customWidth="1"/>
    <col min="7" max="7" width="19.6640625" style="4" customWidth="1"/>
    <col min="8" max="8" width="20" style="4" customWidth="1"/>
    <col min="9" max="9" width="22" style="4" customWidth="1"/>
    <col min="10" max="10" width="9" style="4"/>
    <col min="11" max="11" width="24.5546875" style="4" customWidth="1"/>
    <col min="12" max="12" width="9" style="4"/>
    <col min="13" max="13" width="11.5546875" style="4" customWidth="1"/>
    <col min="14" max="14" width="12.33203125" style="4" customWidth="1"/>
    <col min="15" max="15" width="12.5546875" style="4" customWidth="1"/>
    <col min="16" max="17" width="12.33203125" style="4" customWidth="1"/>
    <col min="18" max="18" width="14.44140625" style="4" customWidth="1"/>
    <col min="19" max="19" width="13.33203125" style="4" customWidth="1"/>
    <col min="20" max="20" width="16.44140625" style="4" customWidth="1"/>
    <col min="21" max="22" width="20.33203125" style="4" customWidth="1"/>
    <col min="23" max="16384" width="9" style="4"/>
  </cols>
  <sheetData>
    <row r="1" spans="1:23" ht="40.200000000000003" customHeight="1">
      <c r="A1" s="161" t="s">
        <v>319</v>
      </c>
      <c r="B1" s="161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5"/>
    </row>
    <row r="2" spans="1:23" ht="48" customHeight="1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G2" s="30" t="s">
        <v>6</v>
      </c>
      <c r="H2" s="33" t="s">
        <v>7</v>
      </c>
      <c r="I2" s="30" t="s">
        <v>322</v>
      </c>
      <c r="J2" s="30" t="s">
        <v>8</v>
      </c>
      <c r="K2" s="30" t="s">
        <v>9</v>
      </c>
      <c r="L2" s="30" t="s">
        <v>8</v>
      </c>
      <c r="M2" s="30" t="s">
        <v>10</v>
      </c>
      <c r="N2" s="30" t="s">
        <v>11</v>
      </c>
      <c r="O2" s="30" t="s">
        <v>12</v>
      </c>
      <c r="P2" s="30" t="s">
        <v>13</v>
      </c>
      <c r="Q2" s="30" t="s">
        <v>14</v>
      </c>
      <c r="R2" s="30" t="s">
        <v>15</v>
      </c>
      <c r="S2" s="30" t="s">
        <v>16</v>
      </c>
      <c r="T2" s="30" t="s">
        <v>17</v>
      </c>
      <c r="U2" s="30" t="s">
        <v>18</v>
      </c>
      <c r="V2" s="30" t="s">
        <v>19</v>
      </c>
    </row>
    <row r="3" spans="1:23" ht="6" customHeight="1">
      <c r="A3" s="146" t="s">
        <v>318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3" ht="16.5" customHeight="1">
      <c r="A4" s="146" t="s">
        <v>20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3" ht="15" customHeight="1">
      <c r="A5" s="101">
        <v>1</v>
      </c>
      <c r="B5" s="19" t="s">
        <v>21</v>
      </c>
      <c r="C5" s="19" t="s">
        <v>22</v>
      </c>
      <c r="D5" s="10">
        <v>4485965306.8000002</v>
      </c>
      <c r="E5" s="10">
        <v>14581120.82</v>
      </c>
      <c r="F5" s="10">
        <v>1298947682.5899999</v>
      </c>
      <c r="G5" s="10">
        <v>7703409.4199999999</v>
      </c>
      <c r="H5" s="12">
        <f>(E5+F5)-G5</f>
        <v>1305825393.9899998</v>
      </c>
      <c r="I5" s="29">
        <v>4022042139.1199999</v>
      </c>
      <c r="J5" s="13">
        <f t="shared" ref="J5:J24" si="0">(I5/$I$25)</f>
        <v>5.2447128201555872E-2</v>
      </c>
      <c r="K5" s="29">
        <v>4526083476.9300003</v>
      </c>
      <c r="L5" s="13">
        <f>(K5/$K$25)</f>
        <v>5.5794114510597036E-2</v>
      </c>
      <c r="M5" s="13">
        <f t="shared" ref="M5:M25" si="1">((K5-I5)/I5)</f>
        <v>0.12531975558075129</v>
      </c>
      <c r="N5" s="20">
        <f t="shared" ref="N5" si="2">(G5/K5)</f>
        <v>1.7020033897441834E-3</v>
      </c>
      <c r="O5" s="21">
        <f t="shared" ref="O5" si="3">H5/K5</f>
        <v>0.28851111576840133</v>
      </c>
      <c r="P5" s="22">
        <f t="shared" ref="P5" si="4">K5/V5</f>
        <v>619.48498667090269</v>
      </c>
      <c r="Q5" s="22">
        <f t="shared" ref="Q5" si="5">H5/V5</f>
        <v>178.72830470619536</v>
      </c>
      <c r="R5" s="10">
        <v>619.48</v>
      </c>
      <c r="S5" s="10">
        <v>625.54999999999995</v>
      </c>
      <c r="T5" s="10">
        <v>1696</v>
      </c>
      <c r="U5" s="10">
        <v>6925571.9199999999</v>
      </c>
      <c r="V5" s="10">
        <v>7306203.6600000001</v>
      </c>
    </row>
    <row r="6" spans="1:23">
      <c r="A6" s="101">
        <v>2</v>
      </c>
      <c r="B6" s="19" t="s">
        <v>23</v>
      </c>
      <c r="C6" s="19" t="s">
        <v>24</v>
      </c>
      <c r="D6" s="10">
        <v>924331619.25</v>
      </c>
      <c r="E6" s="10">
        <v>3119876.51</v>
      </c>
      <c r="F6" s="10">
        <v>0</v>
      </c>
      <c r="G6" s="10">
        <v>1398482.63</v>
      </c>
      <c r="H6" s="12">
        <f t="shared" ref="H6:H24" si="6">(E6+F6)-G6</f>
        <v>1721393.88</v>
      </c>
      <c r="I6" s="29">
        <v>1124323181.1800001</v>
      </c>
      <c r="J6" s="13">
        <f t="shared" si="0"/>
        <v>1.4661090059148498E-2</v>
      </c>
      <c r="K6" s="29">
        <v>934047104.32000005</v>
      </c>
      <c r="L6" s="13">
        <f t="shared" ref="L6:L24" si="7">(K6/$K$25)</f>
        <v>1.1514222254705367E-2</v>
      </c>
      <c r="M6" s="13">
        <f t="shared" ref="M6:M24" si="8">((K6-I6)/I6)</f>
        <v>-0.16923610581461229</v>
      </c>
      <c r="N6" s="20">
        <f t="shared" ref="N6:N24" si="9">(G6/K6)</f>
        <v>1.4972292334422639E-3</v>
      </c>
      <c r="O6" s="21">
        <f t="shared" ref="O6:O24" si="10">H6/K6</f>
        <v>1.8429411879106459E-3</v>
      </c>
      <c r="P6" s="22">
        <f t="shared" ref="P6:P24" si="11">K6/V6</f>
        <v>31.289435501502481</v>
      </c>
      <c r="Q6" s="22">
        <f t="shared" ref="Q6:Q24" si="12">H6/V6</f>
        <v>5.766458943219252E-2</v>
      </c>
      <c r="R6" s="10">
        <v>409.55</v>
      </c>
      <c r="S6" s="10">
        <v>414.49</v>
      </c>
      <c r="T6" s="10">
        <v>486</v>
      </c>
      <c r="U6" s="10">
        <v>29686250.789999999</v>
      </c>
      <c r="V6" s="10">
        <v>29851836.23</v>
      </c>
    </row>
    <row r="7" spans="1:23">
      <c r="A7" s="117">
        <v>3</v>
      </c>
      <c r="B7" s="19" t="s">
        <v>25</v>
      </c>
      <c r="C7" s="96" t="s">
        <v>26</v>
      </c>
      <c r="D7" s="10">
        <v>6164853738.0600004</v>
      </c>
      <c r="E7" s="10">
        <v>114833320.5</v>
      </c>
      <c r="F7" s="10">
        <v>310802476.58999997</v>
      </c>
      <c r="G7" s="10">
        <v>2613045.6</v>
      </c>
      <c r="H7" s="12">
        <f t="shared" si="6"/>
        <v>423022751.48999995</v>
      </c>
      <c r="I7" s="29">
        <v>6775281105</v>
      </c>
      <c r="J7" s="13">
        <f t="shared" si="0"/>
        <v>8.8349158070547065E-2</v>
      </c>
      <c r="K7" s="29">
        <v>7610475114</v>
      </c>
      <c r="L7" s="13">
        <f t="shared" si="7"/>
        <v>9.3816148587383227E-2</v>
      </c>
      <c r="M7" s="13">
        <f t="shared" si="8"/>
        <v>0.12327075379701165</v>
      </c>
      <c r="N7" s="20">
        <f t="shared" si="9"/>
        <v>3.4334855063031749E-4</v>
      </c>
      <c r="O7" s="21">
        <f t="shared" si="10"/>
        <v>5.558427629726035E-2</v>
      </c>
      <c r="P7" s="22">
        <f t="shared" si="11"/>
        <v>53.229759262774273</v>
      </c>
      <c r="Q7" s="22">
        <f t="shared" si="12"/>
        <v>2.9587376460986983</v>
      </c>
      <c r="R7" s="10">
        <v>52.963700000000003</v>
      </c>
      <c r="S7" s="10">
        <v>54.560499999999998</v>
      </c>
      <c r="T7" s="10">
        <v>8560</v>
      </c>
      <c r="U7" s="10">
        <v>135441088</v>
      </c>
      <c r="V7" s="10">
        <v>142974066</v>
      </c>
    </row>
    <row r="8" spans="1:23">
      <c r="A8" s="117">
        <v>4</v>
      </c>
      <c r="B8" s="100" t="s">
        <v>27</v>
      </c>
      <c r="C8" s="100" t="s">
        <v>28</v>
      </c>
      <c r="D8" s="10">
        <v>751896631.58000004</v>
      </c>
      <c r="E8" s="10">
        <v>2303820.9</v>
      </c>
      <c r="F8" s="10">
        <v>0</v>
      </c>
      <c r="G8" s="10">
        <v>1688512.97</v>
      </c>
      <c r="H8" s="12">
        <f t="shared" si="6"/>
        <v>615307.92999999993</v>
      </c>
      <c r="I8" s="29">
        <v>1105341311.6900001</v>
      </c>
      <c r="J8" s="13">
        <f t="shared" si="0"/>
        <v>1.4413567902937312E-2</v>
      </c>
      <c r="K8" s="29">
        <v>982384773.17999995</v>
      </c>
      <c r="L8" s="13">
        <f t="shared" si="7"/>
        <v>1.2110092270204834E-2</v>
      </c>
      <c r="M8" s="13">
        <f t="shared" si="8"/>
        <v>-0.11123852624489987</v>
      </c>
      <c r="N8" s="20">
        <f t="shared" si="9"/>
        <v>1.7187898429392879E-3</v>
      </c>
      <c r="O8" s="21">
        <f t="shared" si="10"/>
        <v>6.2634107001499563E-4</v>
      </c>
      <c r="P8" s="22">
        <f t="shared" si="11"/>
        <v>253.18336123466327</v>
      </c>
      <c r="Q8" s="22">
        <f t="shared" si="12"/>
        <v>0.15857913738571214</v>
      </c>
      <c r="R8" s="10">
        <v>253.31</v>
      </c>
      <c r="S8" s="10">
        <v>253.05680000000001</v>
      </c>
      <c r="T8" s="10">
        <v>2288</v>
      </c>
      <c r="U8" s="10">
        <v>4644813.25</v>
      </c>
      <c r="V8" s="10">
        <v>3880131.65</v>
      </c>
    </row>
    <row r="9" spans="1:23">
      <c r="A9" s="117">
        <v>5</v>
      </c>
      <c r="B9" s="19" t="s">
        <v>207</v>
      </c>
      <c r="C9" s="96" t="s">
        <v>103</v>
      </c>
      <c r="D9" s="10">
        <v>2701322756.29</v>
      </c>
      <c r="E9" s="10">
        <v>158386952.72</v>
      </c>
      <c r="F9" s="10">
        <v>32305407.239999998</v>
      </c>
      <c r="G9" s="10">
        <v>4549934.18</v>
      </c>
      <c r="H9" s="12">
        <f t="shared" si="6"/>
        <v>186142425.78</v>
      </c>
      <c r="I9" s="29">
        <v>2236035348.46</v>
      </c>
      <c r="J9" s="13">
        <f t="shared" si="0"/>
        <v>2.9157733441736413E-2</v>
      </c>
      <c r="K9" s="29">
        <v>2756502017.6900001</v>
      </c>
      <c r="L9" s="13">
        <f t="shared" si="7"/>
        <v>3.3980060245819066E-2</v>
      </c>
      <c r="M9" s="13">
        <f t="shared" si="8"/>
        <v>0.23276316699933</v>
      </c>
      <c r="N9" s="20">
        <f t="shared" si="9"/>
        <v>1.6506188462045565E-3</v>
      </c>
      <c r="O9" s="21">
        <f t="shared" si="10"/>
        <v>6.7528492482654093E-2</v>
      </c>
      <c r="P9" s="22">
        <f t="shared" si="11"/>
        <v>1.8635161801108167</v>
      </c>
      <c r="Q9" s="22">
        <f t="shared" si="12"/>
        <v>0.12584043835991754</v>
      </c>
      <c r="R9" s="10">
        <v>1.8506</v>
      </c>
      <c r="S9" s="10">
        <v>1.8722000000000001</v>
      </c>
      <c r="T9" s="10">
        <v>1091</v>
      </c>
      <c r="U9" s="10">
        <v>1344989668.8099999</v>
      </c>
      <c r="V9" s="10">
        <v>1479194034.97</v>
      </c>
    </row>
    <row r="10" spans="1:23">
      <c r="A10" s="117">
        <v>6</v>
      </c>
      <c r="B10" s="91" t="s">
        <v>206</v>
      </c>
      <c r="C10" s="92" t="s">
        <v>48</v>
      </c>
      <c r="D10" s="10">
        <v>271835918.92000002</v>
      </c>
      <c r="E10" s="10">
        <v>232549.43</v>
      </c>
      <c r="F10" s="17">
        <v>0</v>
      </c>
      <c r="G10" s="10">
        <v>644592.81999999995</v>
      </c>
      <c r="H10" s="12">
        <f t="shared" si="6"/>
        <v>-412043.38999999996</v>
      </c>
      <c r="I10" s="17">
        <v>247400580.91999999</v>
      </c>
      <c r="J10" s="13">
        <f t="shared" si="0"/>
        <v>3.2260850423336419E-3</v>
      </c>
      <c r="K10" s="17">
        <v>300615108.10000002</v>
      </c>
      <c r="L10" s="13">
        <f t="shared" si="7"/>
        <v>3.7057544012253996E-3</v>
      </c>
      <c r="M10" s="13">
        <f t="shared" si="8"/>
        <v>0.21509459267279413</v>
      </c>
      <c r="N10" s="20">
        <f t="shared" si="9"/>
        <v>2.1442462558654081E-3</v>
      </c>
      <c r="O10" s="21">
        <f t="shared" si="10"/>
        <v>-1.3706676041808689E-3</v>
      </c>
      <c r="P10" s="22">
        <f t="shared" si="11"/>
        <v>215.02026778891974</v>
      </c>
      <c r="Q10" s="22">
        <f t="shared" si="12"/>
        <v>-0.2947213153005675</v>
      </c>
      <c r="R10" s="10">
        <v>215.02</v>
      </c>
      <c r="S10" s="10">
        <v>215.02</v>
      </c>
      <c r="T10" s="10">
        <v>125</v>
      </c>
      <c r="U10" s="10">
        <v>1183492.8899999999</v>
      </c>
      <c r="V10" s="10">
        <v>1398078.01</v>
      </c>
    </row>
    <row r="11" spans="1:23">
      <c r="A11" s="117">
        <v>7</v>
      </c>
      <c r="B11" s="19" t="s">
        <v>29</v>
      </c>
      <c r="C11" s="19" t="s">
        <v>30</v>
      </c>
      <c r="D11" s="10">
        <v>2872664876.71</v>
      </c>
      <c r="E11" s="10">
        <v>6951677.4500000002</v>
      </c>
      <c r="F11" s="10">
        <v>124182796.5</v>
      </c>
      <c r="G11" s="10">
        <v>4689258.79</v>
      </c>
      <c r="H11" s="12">
        <f t="shared" si="6"/>
        <v>126445215.16</v>
      </c>
      <c r="I11" s="29">
        <v>2601065879.46</v>
      </c>
      <c r="J11" s="13">
        <f t="shared" si="0"/>
        <v>3.3917704221412971E-2</v>
      </c>
      <c r="K11" s="29">
        <v>2831915921.9000001</v>
      </c>
      <c r="L11" s="13">
        <f t="shared" si="7"/>
        <v>3.4909705496206263E-2</v>
      </c>
      <c r="M11" s="13">
        <f t="shared" si="8"/>
        <v>8.875209361783877E-2</v>
      </c>
      <c r="N11" s="20">
        <f t="shared" si="9"/>
        <v>1.6558608798151974E-3</v>
      </c>
      <c r="O11" s="21">
        <f t="shared" si="10"/>
        <v>4.4650059764191334E-2</v>
      </c>
      <c r="P11" s="22">
        <f t="shared" si="11"/>
        <v>453.32109603764644</v>
      </c>
      <c r="Q11" s="22">
        <f t="shared" si="12"/>
        <v>20.240814030449631</v>
      </c>
      <c r="R11" s="10">
        <v>453.32</v>
      </c>
      <c r="S11" s="10">
        <v>459.69</v>
      </c>
      <c r="T11" s="10">
        <v>1874</v>
      </c>
      <c r="U11" s="10">
        <v>6053085.1500000004</v>
      </c>
      <c r="V11" s="10">
        <v>6247041.9900000002</v>
      </c>
    </row>
    <row r="12" spans="1:23">
      <c r="A12" s="117">
        <v>8</v>
      </c>
      <c r="B12" s="19" t="s">
        <v>31</v>
      </c>
      <c r="C12" s="96" t="s">
        <v>32</v>
      </c>
      <c r="D12" s="10">
        <v>526140433.39999998</v>
      </c>
      <c r="E12" s="10">
        <v>3321520.41</v>
      </c>
      <c r="F12" s="10">
        <v>22900851.600000001</v>
      </c>
      <c r="G12" s="10">
        <v>1652532.74</v>
      </c>
      <c r="H12" s="12">
        <f t="shared" si="6"/>
        <v>24569839.270000003</v>
      </c>
      <c r="I12" s="29">
        <v>488451872.72000003</v>
      </c>
      <c r="J12" s="13">
        <f t="shared" si="0"/>
        <v>6.3693758301699302E-3</v>
      </c>
      <c r="K12" s="29">
        <v>507783959.30000001</v>
      </c>
      <c r="L12" s="13">
        <f t="shared" si="7"/>
        <v>6.2595744237234968E-3</v>
      </c>
      <c r="M12" s="13">
        <f t="shared" si="8"/>
        <v>3.9578283265344141E-2</v>
      </c>
      <c r="N12" s="20">
        <f t="shared" si="9"/>
        <v>3.2544012266123587E-3</v>
      </c>
      <c r="O12" s="21">
        <f t="shared" si="10"/>
        <v>4.8386402957412214E-2</v>
      </c>
      <c r="P12" s="22">
        <f t="shared" si="11"/>
        <v>253.62706617937565</v>
      </c>
      <c r="Q12" s="22">
        <f t="shared" si="12"/>
        <v>12.272101425061525</v>
      </c>
      <c r="R12" s="10">
        <v>252.72</v>
      </c>
      <c r="S12" s="10">
        <v>263.62</v>
      </c>
      <c r="T12" s="10">
        <v>2475</v>
      </c>
      <c r="U12" s="10">
        <v>1998076</v>
      </c>
      <c r="V12" s="10">
        <v>2002089</v>
      </c>
    </row>
    <row r="13" spans="1:23">
      <c r="A13" s="117">
        <v>9</v>
      </c>
      <c r="B13" s="19" t="s">
        <v>33</v>
      </c>
      <c r="C13" s="19" t="s">
        <v>34</v>
      </c>
      <c r="D13" s="10">
        <v>73939701.150000006</v>
      </c>
      <c r="E13" s="10">
        <v>2533912.8199999998</v>
      </c>
      <c r="F13" s="10">
        <v>416969.26</v>
      </c>
      <c r="G13" s="10">
        <v>1844116.63</v>
      </c>
      <c r="H13" s="12">
        <f t="shared" si="6"/>
        <v>1106765.4500000002</v>
      </c>
      <c r="I13" s="29">
        <v>86956728.799999997</v>
      </c>
      <c r="J13" s="13">
        <f t="shared" si="0"/>
        <v>1.1339092295933443E-3</v>
      </c>
      <c r="K13" s="29">
        <v>87586956.459999993</v>
      </c>
      <c r="L13" s="13">
        <f t="shared" si="7"/>
        <v>1.0797053795566784E-3</v>
      </c>
      <c r="M13" s="13">
        <f t="shared" si="8"/>
        <v>7.2476008320128578E-3</v>
      </c>
      <c r="N13" s="20">
        <f t="shared" si="9"/>
        <v>2.1054694723205591E-2</v>
      </c>
      <c r="O13" s="21">
        <f t="shared" si="10"/>
        <v>1.2636190304265771E-2</v>
      </c>
      <c r="P13" s="22">
        <f t="shared" si="11"/>
        <v>322.40439234654059</v>
      </c>
      <c r="Q13" s="22">
        <f t="shared" si="12"/>
        <v>4.0739632566220543</v>
      </c>
      <c r="R13" s="10">
        <v>317.83</v>
      </c>
      <c r="S13" s="10">
        <v>326.3</v>
      </c>
      <c r="T13" s="10">
        <v>29</v>
      </c>
      <c r="U13" s="10">
        <v>277155.86</v>
      </c>
      <c r="V13" s="10">
        <v>271668</v>
      </c>
      <c r="W13" s="6"/>
    </row>
    <row r="14" spans="1:23">
      <c r="A14" s="117">
        <v>10</v>
      </c>
      <c r="B14" s="96" t="s">
        <v>35</v>
      </c>
      <c r="C14" s="96" t="s">
        <v>36</v>
      </c>
      <c r="D14" s="10">
        <v>3423910832.6100001</v>
      </c>
      <c r="E14" s="10">
        <v>9600843.5</v>
      </c>
      <c r="F14" s="10">
        <v>144209424.31999999</v>
      </c>
      <c r="G14" s="10">
        <v>13354600.439999999</v>
      </c>
      <c r="H14" s="12">
        <f t="shared" si="6"/>
        <v>140455667.38</v>
      </c>
      <c r="I14" s="29">
        <v>2650773412.9200001</v>
      </c>
      <c r="J14" s="13">
        <f t="shared" si="0"/>
        <v>3.4565886734122836E-2</v>
      </c>
      <c r="K14" s="29">
        <v>3392641239.8400002</v>
      </c>
      <c r="L14" s="13">
        <f t="shared" si="7"/>
        <v>4.182190072141579E-2</v>
      </c>
      <c r="M14" s="13">
        <f t="shared" si="8"/>
        <v>0.27986844266058342</v>
      </c>
      <c r="N14" s="20">
        <f t="shared" si="9"/>
        <v>3.9363432487868402E-3</v>
      </c>
      <c r="O14" s="21">
        <f t="shared" si="10"/>
        <v>4.1400094336713301E-2</v>
      </c>
      <c r="P14" s="22">
        <f t="shared" si="11"/>
        <v>4.0267099553464041</v>
      </c>
      <c r="Q14" s="22">
        <f t="shared" si="12"/>
        <v>0.16670617201792376</v>
      </c>
      <c r="R14" s="10">
        <v>3.98</v>
      </c>
      <c r="S14" s="10">
        <v>4.01</v>
      </c>
      <c r="T14" s="10">
        <v>3302</v>
      </c>
      <c r="U14" s="10">
        <v>709382636.91999996</v>
      </c>
      <c r="V14" s="10">
        <v>842534296.60000002</v>
      </c>
    </row>
    <row r="15" spans="1:23">
      <c r="A15" s="117">
        <v>11</v>
      </c>
      <c r="B15" s="91" t="s">
        <v>251</v>
      </c>
      <c r="C15" s="92" t="s">
        <v>274</v>
      </c>
      <c r="D15" s="17">
        <v>92807320.200000003</v>
      </c>
      <c r="E15" s="10">
        <v>1261212.01</v>
      </c>
      <c r="F15" s="10">
        <v>2213921.79</v>
      </c>
      <c r="G15" s="10">
        <v>1798067.23</v>
      </c>
      <c r="H15" s="12">
        <f t="shared" si="6"/>
        <v>1677066.5699999998</v>
      </c>
      <c r="I15" s="17">
        <v>116590786.59999999</v>
      </c>
      <c r="J15" s="13">
        <f t="shared" si="0"/>
        <v>1.5203351234078161E-3</v>
      </c>
      <c r="K15" s="17">
        <v>114510345.38</v>
      </c>
      <c r="L15" s="13">
        <f t="shared" si="7"/>
        <v>1.4115964399121813E-3</v>
      </c>
      <c r="M15" s="13">
        <f t="shared" si="8"/>
        <v>-1.7843959035438901E-2</v>
      </c>
      <c r="N15" s="20">
        <f t="shared" si="9"/>
        <v>1.5702225192257998E-2</v>
      </c>
      <c r="O15" s="21">
        <f t="shared" si="10"/>
        <v>1.4645546342862668E-2</v>
      </c>
      <c r="P15" s="22">
        <f t="shared" si="11"/>
        <v>26.527515671248832</v>
      </c>
      <c r="Q15" s="22">
        <f t="shared" si="12"/>
        <v>0.3885099601242904</v>
      </c>
      <c r="R15" s="10">
        <v>26.527515999999999</v>
      </c>
      <c r="S15" s="10">
        <v>27.036943000000001</v>
      </c>
      <c r="T15" s="10">
        <v>82</v>
      </c>
      <c r="U15" s="17">
        <v>4526758</v>
      </c>
      <c r="V15" s="17">
        <v>4316663</v>
      </c>
    </row>
    <row r="16" spans="1:23">
      <c r="A16" s="117">
        <v>12</v>
      </c>
      <c r="B16" s="19" t="s">
        <v>37</v>
      </c>
      <c r="C16" s="96" t="s">
        <v>38</v>
      </c>
      <c r="D16" s="10">
        <v>2731150638.9299998</v>
      </c>
      <c r="E16" s="10">
        <v>7579498.1299999999</v>
      </c>
      <c r="F16" s="10">
        <v>0</v>
      </c>
      <c r="G16" s="10">
        <v>4762881.59</v>
      </c>
      <c r="H16" s="12">
        <f t="shared" si="6"/>
        <v>2816616.54</v>
      </c>
      <c r="I16" s="29">
        <v>2533634033.3800001</v>
      </c>
      <c r="J16" s="13">
        <f t="shared" si="0"/>
        <v>3.303839799987271E-2</v>
      </c>
      <c r="K16" s="29">
        <v>2708660555.48</v>
      </c>
      <c r="L16" s="13">
        <f t="shared" si="7"/>
        <v>3.3390307088480113E-2</v>
      </c>
      <c r="M16" s="13">
        <f t="shared" si="8"/>
        <v>6.9081216858500036E-2</v>
      </c>
      <c r="N16" s="20">
        <f t="shared" si="9"/>
        <v>1.7583899837002547E-3</v>
      </c>
      <c r="O16" s="21">
        <f t="shared" si="10"/>
        <v>1.0398558558035594E-3</v>
      </c>
      <c r="P16" s="22">
        <f t="shared" si="11"/>
        <v>5.6116924144726887</v>
      </c>
      <c r="Q16" s="22">
        <f t="shared" si="12"/>
        <v>5.8353512181578407E-3</v>
      </c>
      <c r="R16" s="10">
        <v>5.53</v>
      </c>
      <c r="S16" s="10">
        <v>5.63</v>
      </c>
      <c r="T16" s="10">
        <v>3705</v>
      </c>
      <c r="U16" s="10">
        <v>481424438</v>
      </c>
      <c r="V16" s="10">
        <v>482681579</v>
      </c>
    </row>
    <row r="17" spans="1:23">
      <c r="A17" s="117">
        <v>13</v>
      </c>
      <c r="B17" s="19" t="s">
        <v>39</v>
      </c>
      <c r="C17" s="19" t="s">
        <v>40</v>
      </c>
      <c r="D17" s="10">
        <v>3497851218.75</v>
      </c>
      <c r="E17" s="10">
        <v>9788406.1199999992</v>
      </c>
      <c r="F17" s="10">
        <v>171978255.11000001</v>
      </c>
      <c r="G17" s="10">
        <v>5512213.1200000001</v>
      </c>
      <c r="H17" s="12">
        <f t="shared" si="6"/>
        <v>176254448.11000001</v>
      </c>
      <c r="I17" s="29">
        <v>3935180292.7800002</v>
      </c>
      <c r="J17" s="13">
        <f t="shared" si="0"/>
        <v>5.1314456232133251E-2</v>
      </c>
      <c r="K17" s="29">
        <v>3637091332.8299999</v>
      </c>
      <c r="L17" s="13">
        <f t="shared" si="7"/>
        <v>4.4835295536144501E-2</v>
      </c>
      <c r="M17" s="13">
        <f t="shared" si="8"/>
        <v>-7.5749759292328619E-2</v>
      </c>
      <c r="N17" s="20">
        <f t="shared" si="9"/>
        <v>1.5155553203309246E-3</v>
      </c>
      <c r="O17" s="21">
        <f t="shared" si="10"/>
        <v>4.8460275528153275E-2</v>
      </c>
      <c r="P17" s="22">
        <f t="shared" si="11"/>
        <v>34.992591452307963</v>
      </c>
      <c r="Q17" s="22">
        <f t="shared" si="12"/>
        <v>1.6957506232229449</v>
      </c>
      <c r="R17" s="10">
        <v>32.53</v>
      </c>
      <c r="S17" s="10">
        <v>32.72</v>
      </c>
      <c r="T17" s="10">
        <v>971</v>
      </c>
      <c r="U17" s="10">
        <v>121689772.70999999</v>
      </c>
      <c r="V17" s="10">
        <v>103938896.26000001</v>
      </c>
    </row>
    <row r="18" spans="1:23">
      <c r="A18" s="117">
        <v>14</v>
      </c>
      <c r="B18" s="100" t="s">
        <v>41</v>
      </c>
      <c r="C18" s="100" t="s">
        <v>42</v>
      </c>
      <c r="D18" s="10">
        <v>178474961</v>
      </c>
      <c r="E18" s="10">
        <v>2375790.7400000002</v>
      </c>
      <c r="F18" s="10">
        <v>96606460.620000005</v>
      </c>
      <c r="G18" s="10">
        <v>324737.28999999998</v>
      </c>
      <c r="H18" s="12">
        <f>(E18+F18)-G18</f>
        <v>98657514.069999993</v>
      </c>
      <c r="I18" s="29">
        <v>175244295.50999999</v>
      </c>
      <c r="J18" s="13">
        <f t="shared" si="0"/>
        <v>2.2851724858395598E-3</v>
      </c>
      <c r="K18" s="29">
        <v>180807563.19999999</v>
      </c>
      <c r="L18" s="13">
        <f t="shared" si="7"/>
        <v>2.2288581147436996E-3</v>
      </c>
      <c r="M18" s="13">
        <f t="shared" si="8"/>
        <v>3.1745784784661023E-2</v>
      </c>
      <c r="N18" s="20">
        <f t="shared" si="9"/>
        <v>1.7960381980304239E-3</v>
      </c>
      <c r="O18" s="21">
        <f t="shared" si="10"/>
        <v>0.54564926557231541</v>
      </c>
      <c r="P18" s="22">
        <f t="shared" si="11"/>
        <v>1.9428835061554046</v>
      </c>
      <c r="Q18" s="22">
        <f t="shared" si="12"/>
        <v>1.0601329582262617</v>
      </c>
      <c r="R18" s="10">
        <v>2.0699999999999998</v>
      </c>
      <c r="S18" s="10">
        <v>2.14</v>
      </c>
      <c r="T18" s="10">
        <v>26</v>
      </c>
      <c r="U18" s="10">
        <v>93061453.569999993</v>
      </c>
      <c r="V18" s="10">
        <v>93061453.569999993</v>
      </c>
    </row>
    <row r="19" spans="1:23">
      <c r="A19" s="117">
        <v>15</v>
      </c>
      <c r="B19" s="19" t="s">
        <v>43</v>
      </c>
      <c r="C19" s="19" t="s">
        <v>44</v>
      </c>
      <c r="D19" s="10">
        <v>7530442892.0299997</v>
      </c>
      <c r="E19" s="10">
        <v>189889586.75999999</v>
      </c>
      <c r="F19" s="10">
        <v>419646496.39999998</v>
      </c>
      <c r="G19" s="10">
        <v>13253570.119999999</v>
      </c>
      <c r="H19" s="12">
        <f t="shared" si="6"/>
        <v>596282513.03999996</v>
      </c>
      <c r="I19" s="29">
        <v>7500456244.96</v>
      </c>
      <c r="J19" s="13">
        <f t="shared" si="0"/>
        <v>9.7805387572504704E-2</v>
      </c>
      <c r="K19" s="29">
        <v>7487017125.3299999</v>
      </c>
      <c r="L19" s="13">
        <f t="shared" si="7"/>
        <v>9.2294252406675978E-2</v>
      </c>
      <c r="M19" s="13">
        <f t="shared" si="8"/>
        <v>-1.7917736189755995E-3</v>
      </c>
      <c r="N19" s="20">
        <f t="shared" si="9"/>
        <v>1.770206999415115E-3</v>
      </c>
      <c r="O19" s="21">
        <f t="shared" si="10"/>
        <v>7.9642199698283456E-2</v>
      </c>
      <c r="P19" s="22">
        <f t="shared" si="11"/>
        <v>47.463927547212535</v>
      </c>
      <c r="Q19" s="22">
        <f t="shared" si="12"/>
        <v>3.7801315961799578</v>
      </c>
      <c r="R19" s="10">
        <v>47.462499999999999</v>
      </c>
      <c r="S19" s="10">
        <v>47.7378</v>
      </c>
      <c r="T19" s="10">
        <v>14246</v>
      </c>
      <c r="U19" s="10">
        <v>155982968</v>
      </c>
      <c r="V19" s="10">
        <v>157741205</v>
      </c>
    </row>
    <row r="20" spans="1:23">
      <c r="A20" s="117">
        <v>16</v>
      </c>
      <c r="B20" s="96" t="s">
        <v>45</v>
      </c>
      <c r="C20" s="19" t="s">
        <v>46</v>
      </c>
      <c r="D20" s="10">
        <v>1642967996.7</v>
      </c>
      <c r="E20" s="10">
        <v>6765595.79</v>
      </c>
      <c r="F20" s="10">
        <v>29935689.899999999</v>
      </c>
      <c r="G20" s="10">
        <v>1880938.89</v>
      </c>
      <c r="H20" s="12">
        <f>(E20+F20)-G20</f>
        <v>34820346.799999997</v>
      </c>
      <c r="I20" s="29">
        <v>1496960518.6400001</v>
      </c>
      <c r="J20" s="13">
        <f t="shared" si="0"/>
        <v>1.9520253025234954E-2</v>
      </c>
      <c r="K20" s="29">
        <v>1665146465.01</v>
      </c>
      <c r="L20" s="13">
        <f t="shared" si="7"/>
        <v>2.0526659090410907E-2</v>
      </c>
      <c r="M20" s="13">
        <f t="shared" si="8"/>
        <v>0.11235162469267933</v>
      </c>
      <c r="N20" s="20">
        <f t="shared" si="9"/>
        <v>1.1295936600920593E-3</v>
      </c>
      <c r="O20" s="21">
        <f t="shared" si="10"/>
        <v>2.0911281699049149E-2</v>
      </c>
      <c r="P20" s="22">
        <f t="shared" si="11"/>
        <v>12794.544187085425</v>
      </c>
      <c r="Q20" s="22">
        <f t="shared" si="12"/>
        <v>267.55031770707512</v>
      </c>
      <c r="R20" s="10">
        <v>12697.08</v>
      </c>
      <c r="S20" s="10">
        <v>12861.34</v>
      </c>
      <c r="T20" s="10">
        <v>32</v>
      </c>
      <c r="U20" s="10">
        <v>122244.84</v>
      </c>
      <c r="V20" s="10">
        <v>130145.04</v>
      </c>
    </row>
    <row r="21" spans="1:23">
      <c r="A21" s="117">
        <v>17</v>
      </c>
      <c r="B21" s="19" t="s">
        <v>47</v>
      </c>
      <c r="C21" s="19" t="s">
        <v>46</v>
      </c>
      <c r="D21" s="10">
        <v>25192334605.740002</v>
      </c>
      <c r="E21" s="10">
        <v>64018659.219999999</v>
      </c>
      <c r="F21" s="10">
        <v>969029258.10000002</v>
      </c>
      <c r="G21" s="10">
        <v>71580400.959999993</v>
      </c>
      <c r="H21" s="12">
        <f t="shared" si="6"/>
        <v>961467516.36000001</v>
      </c>
      <c r="I21" s="29">
        <v>24399199651.23</v>
      </c>
      <c r="J21" s="13">
        <f t="shared" si="0"/>
        <v>0.3181637356995472</v>
      </c>
      <c r="K21" s="29">
        <v>25268909800.889999</v>
      </c>
      <c r="L21" s="13">
        <f t="shared" si="7"/>
        <v>0.31149590019163692</v>
      </c>
      <c r="M21" s="13">
        <f t="shared" si="8"/>
        <v>3.5645027791563505E-2</v>
      </c>
      <c r="N21" s="20">
        <f t="shared" si="9"/>
        <v>2.832745912824417E-3</v>
      </c>
      <c r="O21" s="21">
        <f t="shared" si="10"/>
        <v>3.8049426110426658E-2</v>
      </c>
      <c r="P21" s="22">
        <f t="shared" si="11"/>
        <v>43039.553030355419</v>
      </c>
      <c r="Q21" s="22">
        <f t="shared" si="12"/>
        <v>1637.6302928542982</v>
      </c>
      <c r="R21" s="10">
        <v>42691.82</v>
      </c>
      <c r="S21" s="10">
        <v>43277.88</v>
      </c>
      <c r="T21" s="10">
        <v>20357</v>
      </c>
      <c r="U21" s="10">
        <v>589303.31000000006</v>
      </c>
      <c r="V21" s="10">
        <v>587109.02</v>
      </c>
    </row>
    <row r="22" spans="1:23">
      <c r="A22" s="117">
        <v>18</v>
      </c>
      <c r="B22" s="19" t="s">
        <v>49</v>
      </c>
      <c r="C22" s="19" t="s">
        <v>50</v>
      </c>
      <c r="D22" s="10">
        <v>5511044356</v>
      </c>
      <c r="E22" s="10">
        <v>23200615</v>
      </c>
      <c r="F22" s="10">
        <v>151964736</v>
      </c>
      <c r="G22" s="10">
        <v>10713711</v>
      </c>
      <c r="H22" s="12">
        <f t="shared" ref="H22" si="13">(E22+F22)-G22</f>
        <v>164451640</v>
      </c>
      <c r="I22" s="29">
        <v>6136504845</v>
      </c>
      <c r="J22" s="13">
        <f t="shared" si="0"/>
        <v>8.0019563491097817E-2</v>
      </c>
      <c r="K22" s="29">
        <v>6552167912</v>
      </c>
      <c r="L22" s="13">
        <f t="shared" si="7"/>
        <v>8.0770142362189004E-2</v>
      </c>
      <c r="M22" s="13">
        <f t="shared" si="8"/>
        <v>6.7736126263907487E-2</v>
      </c>
      <c r="N22" s="20">
        <f t="shared" si="9"/>
        <v>1.6351398718549813E-3</v>
      </c>
      <c r="O22" s="21">
        <f t="shared" si="10"/>
        <v>2.509881343224038E-2</v>
      </c>
      <c r="P22" s="22">
        <f t="shared" si="11"/>
        <v>1.9483286896954275</v>
      </c>
      <c r="Q22" s="22">
        <f t="shared" si="12"/>
        <v>4.8900738287346895E-2</v>
      </c>
      <c r="R22" s="10">
        <v>1.95</v>
      </c>
      <c r="S22" s="10">
        <v>1.94</v>
      </c>
      <c r="T22" s="10">
        <v>3616</v>
      </c>
      <c r="U22" s="10">
        <v>3259427964</v>
      </c>
      <c r="V22" s="10">
        <v>3362968449.1399999</v>
      </c>
    </row>
    <row r="23" spans="1:23">
      <c r="A23" s="118">
        <v>19</v>
      </c>
      <c r="B23" s="91" t="s">
        <v>326</v>
      </c>
      <c r="C23" s="91" t="s">
        <v>291</v>
      </c>
      <c r="D23" s="10">
        <v>96465267.200000003</v>
      </c>
      <c r="E23" s="10">
        <f>822629.2+81.41</f>
        <v>822710.61</v>
      </c>
      <c r="F23" s="10">
        <v>0</v>
      </c>
      <c r="G23" s="10">
        <v>1455839.09</v>
      </c>
      <c r="H23" s="12">
        <f t="shared" si="6"/>
        <v>-633128.4800000001</v>
      </c>
      <c r="I23" s="29">
        <v>0</v>
      </c>
      <c r="J23" s="13">
        <f t="shared" si="0"/>
        <v>0</v>
      </c>
      <c r="K23" s="29">
        <v>97716852.629999995</v>
      </c>
      <c r="L23" s="13">
        <f t="shared" si="7"/>
        <v>1.2045790346207695E-3</v>
      </c>
      <c r="M23" s="13" t="e">
        <f t="shared" si="8"/>
        <v>#DIV/0!</v>
      </c>
      <c r="N23" s="20">
        <f t="shared" si="9"/>
        <v>1.4898546676615368E-2</v>
      </c>
      <c r="O23" s="21">
        <f t="shared" si="10"/>
        <v>-6.479214822823957E-3</v>
      </c>
      <c r="P23" s="22">
        <f t="shared" si="11"/>
        <v>1.0160211760730327</v>
      </c>
      <c r="Q23" s="22">
        <f t="shared" si="12"/>
        <v>-6.5830194643154228E-3</v>
      </c>
      <c r="R23" s="10">
        <v>1.016</v>
      </c>
      <c r="S23" s="10">
        <v>1.0319</v>
      </c>
      <c r="T23" s="10">
        <v>126</v>
      </c>
      <c r="U23" s="10">
        <v>25000000</v>
      </c>
      <c r="V23" s="10">
        <v>96176000</v>
      </c>
    </row>
    <row r="24" spans="1:23">
      <c r="A24" s="117">
        <v>20</v>
      </c>
      <c r="B24" s="92" t="s">
        <v>252</v>
      </c>
      <c r="C24" s="92" t="s">
        <v>253</v>
      </c>
      <c r="D24" s="10">
        <v>9881011941.5</v>
      </c>
      <c r="E24" s="10">
        <v>68023244.5</v>
      </c>
      <c r="F24" s="10">
        <v>462997775.85000002</v>
      </c>
      <c r="G24" s="10">
        <v>20472764.899999999</v>
      </c>
      <c r="H24" s="12">
        <f t="shared" si="6"/>
        <v>510548255.45000005</v>
      </c>
      <c r="I24" s="29">
        <v>9056114879.8700008</v>
      </c>
      <c r="J24" s="13">
        <f t="shared" si="0"/>
        <v>0.11809105963680426</v>
      </c>
      <c r="K24" s="29">
        <v>9479099721</v>
      </c>
      <c r="L24" s="13">
        <f t="shared" si="7"/>
        <v>0.11685113144434874</v>
      </c>
      <c r="M24" s="13">
        <f t="shared" si="8"/>
        <v>4.6707097551314525E-2</v>
      </c>
      <c r="N24" s="20">
        <f t="shared" si="9"/>
        <v>2.1597794624572449E-3</v>
      </c>
      <c r="O24" s="21">
        <f t="shared" si="10"/>
        <v>5.3860416123583055E-2</v>
      </c>
      <c r="P24" s="22">
        <f t="shared" si="11"/>
        <v>213.33130216493547</v>
      </c>
      <c r="Q24" s="22">
        <f t="shared" si="12"/>
        <v>11.49011270678926</v>
      </c>
      <c r="R24" s="10">
        <v>211.16</v>
      </c>
      <c r="S24" s="10">
        <v>214.83</v>
      </c>
      <c r="T24" s="10">
        <v>77</v>
      </c>
      <c r="U24" s="10">
        <v>44416240</v>
      </c>
      <c r="V24" s="10">
        <v>44433703</v>
      </c>
    </row>
    <row r="25" spans="1:23">
      <c r="A25" s="147" t="s">
        <v>51</v>
      </c>
      <c r="B25" s="147"/>
      <c r="C25" s="147"/>
      <c r="D25" s="147"/>
      <c r="E25" s="147"/>
      <c r="F25" s="147"/>
      <c r="G25" s="147"/>
      <c r="H25" s="147"/>
      <c r="I25" s="34">
        <f>SUM(I5:I24)</f>
        <v>76687557108.23999</v>
      </c>
      <c r="J25" s="35">
        <f>(I25/$I$239)</f>
        <v>1.0402253084624953E-2</v>
      </c>
      <c r="K25" s="55">
        <f>SUM(K5:K24)</f>
        <v>81121163345.470001</v>
      </c>
      <c r="L25" s="35">
        <f>(K25/$K$239)</f>
        <v>1.040041573569133E-2</v>
      </c>
      <c r="M25" s="35">
        <f t="shared" si="1"/>
        <v>5.7813893210501358E-2</v>
      </c>
      <c r="N25" s="20"/>
      <c r="O25" s="20"/>
      <c r="P25" s="36"/>
      <c r="Q25" s="36"/>
      <c r="R25" s="37"/>
      <c r="S25" s="37"/>
      <c r="T25" s="37">
        <f>SUM(T5:T24)</f>
        <v>65164</v>
      </c>
      <c r="U25" s="37"/>
      <c r="V25" s="37"/>
    </row>
    <row r="26" spans="1:23" ht="6" customHeight="1">
      <c r="A26" s="163"/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5"/>
    </row>
    <row r="27" spans="1:23">
      <c r="A27" s="146" t="s">
        <v>52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3" ht="13.2" customHeight="1">
      <c r="A28" s="109">
        <v>21</v>
      </c>
      <c r="B28" s="19" t="s">
        <v>53</v>
      </c>
      <c r="C28" s="19" t="s">
        <v>22</v>
      </c>
      <c r="D28" s="10">
        <v>5817407686.3299999</v>
      </c>
      <c r="E28" s="10">
        <v>87417059.969999999</v>
      </c>
      <c r="F28" s="10">
        <v>0</v>
      </c>
      <c r="G28" s="10">
        <v>10418325.84</v>
      </c>
      <c r="H28" s="12">
        <f>(E28+F28)-G28</f>
        <v>76998734.129999995</v>
      </c>
      <c r="I28" s="45">
        <v>5528171850.7200003</v>
      </c>
      <c r="J28" s="13">
        <f t="shared" ref="J28:J70" si="14">(I28/$I$71)</f>
        <v>1.2323589833657615E-3</v>
      </c>
      <c r="K28" s="45">
        <v>5596518359.8999996</v>
      </c>
      <c r="L28" s="13">
        <f t="shared" ref="L28" si="15">(K28/$K$71)</f>
        <v>1.1589808466702255E-3</v>
      </c>
      <c r="M28" s="13">
        <f t="shared" ref="M28:M71" si="16">((K28-I28)/I28)</f>
        <v>1.2363311240242607E-2</v>
      </c>
      <c r="N28" s="20">
        <f t="shared" ref="N28" si="17">(G28/K28)</f>
        <v>1.8615727082482328E-3</v>
      </c>
      <c r="O28" s="21">
        <f t="shared" ref="O28" si="18">H28/K28</f>
        <v>1.37583277992455E-2</v>
      </c>
      <c r="P28" s="24">
        <f t="shared" ref="P28" si="19">K28/V28</f>
        <v>100.04906991496884</v>
      </c>
      <c r="Q28" s="24">
        <f t="shared" ref="Q28" si="20">H28/V28</f>
        <v>1.3765078998997724</v>
      </c>
      <c r="R28" s="10">
        <v>100</v>
      </c>
      <c r="S28" s="10">
        <v>100</v>
      </c>
      <c r="T28" s="10">
        <v>873</v>
      </c>
      <c r="U28" s="18">
        <v>55162369</v>
      </c>
      <c r="V28" s="18">
        <v>55937735</v>
      </c>
    </row>
    <row r="29" spans="1:23" ht="15" customHeight="1">
      <c r="A29" s="114">
        <v>22</v>
      </c>
      <c r="B29" s="19" t="s">
        <v>54</v>
      </c>
      <c r="C29" s="19" t="s">
        <v>55</v>
      </c>
      <c r="D29" s="10">
        <v>33496848808</v>
      </c>
      <c r="E29" s="10">
        <v>558277825.07000005</v>
      </c>
      <c r="F29" s="10">
        <v>0</v>
      </c>
      <c r="G29" s="10">
        <v>52052958.57</v>
      </c>
      <c r="H29" s="12">
        <f t="shared" ref="H29:H70" si="21">(E29+F29)-G29</f>
        <v>506224866.50000006</v>
      </c>
      <c r="I29" s="45">
        <v>31700757833.400002</v>
      </c>
      <c r="J29" s="13">
        <f t="shared" si="14"/>
        <v>7.0668413990069611E-3</v>
      </c>
      <c r="K29" s="45">
        <v>34152006452.689999</v>
      </c>
      <c r="L29" s="13">
        <f t="shared" ref="L29:L70" si="22">(K29/$K$71)</f>
        <v>7.0725259542850699E-3</v>
      </c>
      <c r="M29" s="13">
        <f t="shared" ref="M29:M70" si="23">((K29-I29)/I29)</f>
        <v>7.7324606312955554E-2</v>
      </c>
      <c r="N29" s="20">
        <f t="shared" ref="N29:N70" si="24">(G29/K29)</f>
        <v>1.5241552100930815E-3</v>
      </c>
      <c r="O29" s="21">
        <f t="shared" ref="O29:O70" si="25">H29/K29</f>
        <v>1.4822697670816556E-2</v>
      </c>
      <c r="P29" s="24">
        <f t="shared" ref="P29:P70" si="26">K29/V29</f>
        <v>104.31591881097079</v>
      </c>
      <c r="Q29" s="24">
        <f t="shared" ref="Q29:Q70" si="27">H29/V29</f>
        <v>1.5462433267884659</v>
      </c>
      <c r="R29" s="10">
        <v>100</v>
      </c>
      <c r="S29" s="10">
        <v>100</v>
      </c>
      <c r="T29" s="10">
        <v>3884</v>
      </c>
      <c r="U29" s="18">
        <v>306351114.55000001</v>
      </c>
      <c r="V29" s="18">
        <v>327390170.56999999</v>
      </c>
    </row>
    <row r="30" spans="1:23">
      <c r="A30" s="117">
        <v>23</v>
      </c>
      <c r="B30" s="19" t="s">
        <v>56</v>
      </c>
      <c r="C30" s="19" t="s">
        <v>24</v>
      </c>
      <c r="D30" s="10">
        <v>2867047487.8699999</v>
      </c>
      <c r="E30" s="10">
        <v>42122471.509999998</v>
      </c>
      <c r="F30" s="10">
        <v>0</v>
      </c>
      <c r="G30" s="10">
        <v>3564932.73</v>
      </c>
      <c r="H30" s="12">
        <f t="shared" si="21"/>
        <v>38557538.780000001</v>
      </c>
      <c r="I30" s="45">
        <v>2498293481.1199999</v>
      </c>
      <c r="J30" s="13">
        <f t="shared" si="14"/>
        <v>5.5692813061543377E-4</v>
      </c>
      <c r="K30" s="45">
        <v>2948878189.4299998</v>
      </c>
      <c r="L30" s="13">
        <f t="shared" si="22"/>
        <v>6.1068205640158238E-4</v>
      </c>
      <c r="M30" s="13">
        <f t="shared" si="23"/>
        <v>0.1803569963717794</v>
      </c>
      <c r="N30" s="20">
        <f t="shared" si="24"/>
        <v>1.2089114914200915E-3</v>
      </c>
      <c r="O30" s="21">
        <f t="shared" si="25"/>
        <v>1.3075324344764792E-2</v>
      </c>
      <c r="P30" s="24">
        <f t="shared" si="26"/>
        <v>134.20061922186466</v>
      </c>
      <c r="Q30" s="24">
        <f t="shared" si="27"/>
        <v>1.7547166235941569</v>
      </c>
      <c r="R30" s="10">
        <v>100</v>
      </c>
      <c r="S30" s="10">
        <v>100</v>
      </c>
      <c r="T30" s="10">
        <v>1811</v>
      </c>
      <c r="U30" s="18">
        <v>17927602.140000001</v>
      </c>
      <c r="V30" s="18">
        <v>21973655.609999999</v>
      </c>
    </row>
    <row r="31" spans="1:23">
      <c r="A31" s="117">
        <v>24</v>
      </c>
      <c r="B31" s="19" t="s">
        <v>57</v>
      </c>
      <c r="C31" s="96" t="s">
        <v>58</v>
      </c>
      <c r="D31" s="10">
        <v>139610815167.85001</v>
      </c>
      <c r="E31" s="10">
        <v>5262624992.8500004</v>
      </c>
      <c r="F31" s="10">
        <v>0</v>
      </c>
      <c r="G31" s="10">
        <v>820771844.88</v>
      </c>
      <c r="H31" s="12">
        <f t="shared" si="21"/>
        <v>4441853147.9700003</v>
      </c>
      <c r="I31" s="45">
        <v>307255413597</v>
      </c>
      <c r="J31" s="13">
        <f t="shared" si="14"/>
        <v>6.8494428060283524E-2</v>
      </c>
      <c r="K31" s="45">
        <v>339883072260</v>
      </c>
      <c r="L31" s="13">
        <f t="shared" si="22"/>
        <v>7.0386255440393286E-2</v>
      </c>
      <c r="M31" s="13">
        <f t="shared" si="23"/>
        <v>0.10619067140602066</v>
      </c>
      <c r="N31" s="20">
        <f t="shared" si="24"/>
        <v>2.4148653224251634E-3</v>
      </c>
      <c r="O31" s="21">
        <f t="shared" si="25"/>
        <v>1.3068768380945199E-2</v>
      </c>
      <c r="P31" s="24">
        <f t="shared" si="26"/>
        <v>1</v>
      </c>
      <c r="Q31" s="24">
        <f t="shared" si="27"/>
        <v>1.3068768380945199E-2</v>
      </c>
      <c r="R31" s="10">
        <v>1</v>
      </c>
      <c r="S31" s="10">
        <v>1</v>
      </c>
      <c r="T31" s="10">
        <v>78282</v>
      </c>
      <c r="U31" s="18">
        <v>307255413597</v>
      </c>
      <c r="V31" s="18">
        <v>339883072260</v>
      </c>
    </row>
    <row r="32" spans="1:23">
      <c r="A32" s="117">
        <v>25</v>
      </c>
      <c r="B32" s="19" t="s">
        <v>269</v>
      </c>
      <c r="C32" s="96" t="s">
        <v>101</v>
      </c>
      <c r="D32" s="10">
        <v>719343942.58000004</v>
      </c>
      <c r="E32" s="10">
        <v>25259257.629999999</v>
      </c>
      <c r="F32" s="10">
        <v>0</v>
      </c>
      <c r="G32" s="10">
        <v>3728404.37</v>
      </c>
      <c r="H32" s="12">
        <f t="shared" si="21"/>
        <v>21530853.259999998</v>
      </c>
      <c r="I32" s="45">
        <v>1544063635.1199999</v>
      </c>
      <c r="J32" s="13">
        <f t="shared" si="14"/>
        <v>3.4420794848855784E-4</v>
      </c>
      <c r="K32" s="45">
        <v>1715296985.98</v>
      </c>
      <c r="L32" s="13">
        <f t="shared" si="22"/>
        <v>3.5522019678275627E-4</v>
      </c>
      <c r="M32" s="13">
        <f t="shared" si="23"/>
        <v>0.11089785871855755</v>
      </c>
      <c r="N32" s="20">
        <f t="shared" si="24"/>
        <v>2.1736203120941485E-3</v>
      </c>
      <c r="O32" s="21">
        <f t="shared" si="25"/>
        <v>1.2552259717111776E-2</v>
      </c>
      <c r="P32" s="24">
        <f t="shared" si="26"/>
        <v>0.93094176987097144</v>
      </c>
      <c r="Q32" s="24">
        <f t="shared" si="27"/>
        <v>1.1685422876928137E-2</v>
      </c>
      <c r="R32" s="10">
        <v>1</v>
      </c>
      <c r="S32" s="10">
        <v>1</v>
      </c>
      <c r="T32" s="10">
        <v>365</v>
      </c>
      <c r="U32" s="18">
        <v>1668156009</v>
      </c>
      <c r="V32" s="18">
        <v>1842539503</v>
      </c>
    </row>
    <row r="33" spans="1:22" ht="15" customHeight="1">
      <c r="A33" s="117">
        <v>26</v>
      </c>
      <c r="B33" s="19" t="s">
        <v>59</v>
      </c>
      <c r="C33" s="19" t="s">
        <v>28</v>
      </c>
      <c r="D33" s="10">
        <v>67262469099.669998</v>
      </c>
      <c r="E33" s="10">
        <v>2462101477.5100002</v>
      </c>
      <c r="F33" s="10">
        <v>0</v>
      </c>
      <c r="G33" s="10">
        <v>230174103.63</v>
      </c>
      <c r="H33" s="12">
        <f t="shared" si="21"/>
        <v>2231927373.8800001</v>
      </c>
      <c r="I33" s="45">
        <v>165143742357.59</v>
      </c>
      <c r="J33" s="13">
        <f t="shared" si="14"/>
        <v>3.6814408078596629E-2</v>
      </c>
      <c r="K33" s="45">
        <v>164895725850.48999</v>
      </c>
      <c r="L33" s="13">
        <f t="shared" si="22"/>
        <v>3.4148192799266917E-2</v>
      </c>
      <c r="M33" s="13">
        <f t="shared" si="23"/>
        <v>-1.5018220100824018E-3</v>
      </c>
      <c r="N33" s="20">
        <f t="shared" si="24"/>
        <v>1.3958767120422365E-3</v>
      </c>
      <c r="O33" s="21">
        <f t="shared" si="25"/>
        <v>1.3535386453276999E-2</v>
      </c>
      <c r="P33" s="24">
        <f t="shared" si="26"/>
        <v>1.0408733785554505</v>
      </c>
      <c r="Q33" s="24">
        <f t="shared" si="27"/>
        <v>1.4088623427676106E-2</v>
      </c>
      <c r="R33" s="10">
        <v>1</v>
      </c>
      <c r="S33" s="10">
        <v>1</v>
      </c>
      <c r="T33" s="10">
        <v>37739</v>
      </c>
      <c r="U33" s="18">
        <v>160648600864.01999</v>
      </c>
      <c r="V33" s="18">
        <v>158420543024.48999</v>
      </c>
    </row>
    <row r="34" spans="1:22" ht="15" customHeight="1">
      <c r="A34" s="117">
        <v>27</v>
      </c>
      <c r="B34" s="19" t="s">
        <v>264</v>
      </c>
      <c r="C34" s="19" t="s">
        <v>103</v>
      </c>
      <c r="D34" s="10">
        <v>16036812288.98</v>
      </c>
      <c r="E34" s="10">
        <v>252999998.56</v>
      </c>
      <c r="F34" s="10">
        <v>0</v>
      </c>
      <c r="G34" s="10">
        <v>26019241.149999999</v>
      </c>
      <c r="H34" s="12">
        <f t="shared" si="21"/>
        <v>226980757.41</v>
      </c>
      <c r="I34" s="45">
        <v>15084381459.360001</v>
      </c>
      <c r="J34" s="13">
        <f t="shared" si="14"/>
        <v>3.3626619254857491E-3</v>
      </c>
      <c r="K34" s="45">
        <v>16107718663.360001</v>
      </c>
      <c r="L34" s="13">
        <f t="shared" si="22"/>
        <v>3.3357412973304963E-3</v>
      </c>
      <c r="M34" s="13">
        <f t="shared" si="23"/>
        <v>6.7840846292375453E-2</v>
      </c>
      <c r="N34" s="20">
        <f t="shared" si="24"/>
        <v>1.6153275143292389E-3</v>
      </c>
      <c r="O34" s="21">
        <f t="shared" si="25"/>
        <v>1.40914279764713E-2</v>
      </c>
      <c r="P34" s="24">
        <f t="shared" si="26"/>
        <v>1</v>
      </c>
      <c r="Q34" s="24">
        <f t="shared" si="27"/>
        <v>1.40914279764713E-2</v>
      </c>
      <c r="R34" s="10">
        <v>1</v>
      </c>
      <c r="S34" s="10">
        <v>1</v>
      </c>
      <c r="T34" s="10">
        <v>1424</v>
      </c>
      <c r="U34" s="18">
        <v>15084381459.360001</v>
      </c>
      <c r="V34" s="18">
        <v>16107718663.360001</v>
      </c>
    </row>
    <row r="35" spans="1:22">
      <c r="A35" s="117">
        <v>28</v>
      </c>
      <c r="B35" s="96" t="s">
        <v>259</v>
      </c>
      <c r="C35" s="96" t="s">
        <v>44</v>
      </c>
      <c r="D35" s="10">
        <v>37596655627.919998</v>
      </c>
      <c r="E35" s="10">
        <v>563177196.99000001</v>
      </c>
      <c r="F35" s="10">
        <v>0</v>
      </c>
      <c r="G35" s="10">
        <v>61436570.049999997</v>
      </c>
      <c r="H35" s="12">
        <f t="shared" si="21"/>
        <v>501740626.94</v>
      </c>
      <c r="I35" s="45">
        <v>36561784202.25</v>
      </c>
      <c r="J35" s="13">
        <f t="shared" si="14"/>
        <v>8.1504780289445647E-3</v>
      </c>
      <c r="K35" s="45">
        <v>37415771934.290001</v>
      </c>
      <c r="L35" s="13">
        <f t="shared" si="22"/>
        <v>7.7484178995882594E-3</v>
      </c>
      <c r="M35" s="13">
        <f t="shared" si="23"/>
        <v>2.3357386699619731E-2</v>
      </c>
      <c r="N35" s="20">
        <f t="shared" si="24"/>
        <v>1.641996593252054E-3</v>
      </c>
      <c r="O35" s="21">
        <f t="shared" si="25"/>
        <v>1.340986971540137E-2</v>
      </c>
      <c r="P35" s="24">
        <f t="shared" si="26"/>
        <v>100.00038080153153</v>
      </c>
      <c r="Q35" s="24">
        <f t="shared" si="27"/>
        <v>1.3409920780390623</v>
      </c>
      <c r="R35" s="10">
        <v>100</v>
      </c>
      <c r="S35" s="10">
        <v>100</v>
      </c>
      <c r="T35" s="10">
        <v>7311</v>
      </c>
      <c r="U35" s="18">
        <v>365616386.87</v>
      </c>
      <c r="V35" s="18">
        <v>374156294.55000001</v>
      </c>
    </row>
    <row r="36" spans="1:22">
      <c r="A36" s="117">
        <v>29</v>
      </c>
      <c r="B36" s="25" t="s">
        <v>213</v>
      </c>
      <c r="C36" s="25" t="s">
        <v>214</v>
      </c>
      <c r="D36" s="10">
        <v>2265622784.77</v>
      </c>
      <c r="E36" s="10">
        <v>88095762.420000002</v>
      </c>
      <c r="F36" s="10">
        <v>0</v>
      </c>
      <c r="G36" s="10">
        <v>2552746.21</v>
      </c>
      <c r="H36" s="12">
        <f t="shared" si="21"/>
        <v>85543016.210000008</v>
      </c>
      <c r="I36" s="45">
        <v>2188850042.1199999</v>
      </c>
      <c r="J36" s="13">
        <f t="shared" si="14"/>
        <v>4.8794594044607826E-4</v>
      </c>
      <c r="K36" s="45">
        <v>2080661853.55</v>
      </c>
      <c r="L36" s="13">
        <f t="shared" si="22"/>
        <v>4.3088346746796127E-4</v>
      </c>
      <c r="M36" s="13">
        <f t="shared" si="23"/>
        <v>-4.9426953189180015E-2</v>
      </c>
      <c r="N36" s="20">
        <f t="shared" si="24"/>
        <v>1.2268914363208685E-3</v>
      </c>
      <c r="O36" s="21">
        <f t="shared" si="25"/>
        <v>4.1113367875730292E-2</v>
      </c>
      <c r="P36" s="24">
        <f t="shared" si="26"/>
        <v>1.0111250617046494</v>
      </c>
      <c r="Q36" s="24">
        <f t="shared" si="27"/>
        <v>4.1570756630233734E-2</v>
      </c>
      <c r="R36" s="10">
        <v>1</v>
      </c>
      <c r="S36" s="10">
        <v>1</v>
      </c>
      <c r="T36" s="10">
        <v>590</v>
      </c>
      <c r="U36" s="18">
        <v>2167381269.54</v>
      </c>
      <c r="V36" s="18">
        <v>2057769045.9400001</v>
      </c>
    </row>
    <row r="37" spans="1:22">
      <c r="A37" s="117">
        <v>30</v>
      </c>
      <c r="B37" s="19" t="s">
        <v>229</v>
      </c>
      <c r="C37" s="19" t="s">
        <v>60</v>
      </c>
      <c r="D37" s="10">
        <v>89595759605.389999</v>
      </c>
      <c r="E37" s="10">
        <v>1382213710.46</v>
      </c>
      <c r="F37" s="10">
        <v>0</v>
      </c>
      <c r="G37" s="10">
        <v>137292570.75999999</v>
      </c>
      <c r="H37" s="12">
        <f t="shared" si="21"/>
        <v>1244921139.7</v>
      </c>
      <c r="I37" s="45">
        <v>77740987537.869995</v>
      </c>
      <c r="J37" s="13">
        <f t="shared" si="14"/>
        <v>1.7330286929401806E-2</v>
      </c>
      <c r="K37" s="45">
        <v>86240743836.729996</v>
      </c>
      <c r="L37" s="13">
        <f t="shared" si="22"/>
        <v>1.7859562656942544E-2</v>
      </c>
      <c r="M37" s="13">
        <f t="shared" si="23"/>
        <v>0.10933429800746371</v>
      </c>
      <c r="N37" s="20">
        <f t="shared" si="24"/>
        <v>1.5919687684967181E-3</v>
      </c>
      <c r="O37" s="21">
        <f t="shared" si="25"/>
        <v>1.4435417464126594E-2</v>
      </c>
      <c r="P37" s="24">
        <f t="shared" si="26"/>
        <v>99.999999999686921</v>
      </c>
      <c r="Q37" s="24">
        <f t="shared" si="27"/>
        <v>1.4435417464081399</v>
      </c>
      <c r="R37" s="10">
        <v>100</v>
      </c>
      <c r="S37" s="10">
        <v>100</v>
      </c>
      <c r="T37" s="10">
        <v>5543</v>
      </c>
      <c r="U37" s="18">
        <v>777409875.38</v>
      </c>
      <c r="V37" s="18">
        <v>862407438.37</v>
      </c>
    </row>
    <row r="38" spans="1:22">
      <c r="A38" s="117">
        <v>31</v>
      </c>
      <c r="B38" s="19" t="s">
        <v>61</v>
      </c>
      <c r="C38" s="19" t="s">
        <v>62</v>
      </c>
      <c r="D38" s="10">
        <v>14866089544.940001</v>
      </c>
      <c r="E38" s="10">
        <v>549467935.28999996</v>
      </c>
      <c r="F38" s="10">
        <v>0</v>
      </c>
      <c r="G38" s="10">
        <v>40186923.350000001</v>
      </c>
      <c r="H38" s="12">
        <f t="shared" si="21"/>
        <v>509281011.93999994</v>
      </c>
      <c r="I38" s="45">
        <v>32924792500</v>
      </c>
      <c r="J38" s="13">
        <f t="shared" si="14"/>
        <v>7.339707394867629E-3</v>
      </c>
      <c r="K38" s="45">
        <v>36233711200</v>
      </c>
      <c r="L38" s="13">
        <f t="shared" si="22"/>
        <v>7.5036253942229181E-3</v>
      </c>
      <c r="M38" s="13">
        <f t="shared" si="23"/>
        <v>0.10049930307077866</v>
      </c>
      <c r="N38" s="20">
        <f t="shared" si="24"/>
        <v>1.1091031533639866E-3</v>
      </c>
      <c r="O38" s="21">
        <f t="shared" si="25"/>
        <v>1.4055447125714242E-2</v>
      </c>
      <c r="P38" s="24">
        <f t="shared" si="26"/>
        <v>100</v>
      </c>
      <c r="Q38" s="24">
        <f t="shared" si="27"/>
        <v>1.4055447125714242</v>
      </c>
      <c r="R38" s="10">
        <v>100</v>
      </c>
      <c r="S38" s="10">
        <v>100</v>
      </c>
      <c r="T38" s="10">
        <v>5527</v>
      </c>
      <c r="U38" s="18">
        <v>329247925</v>
      </c>
      <c r="V38" s="18">
        <v>362337112</v>
      </c>
    </row>
    <row r="39" spans="1:22">
      <c r="A39" s="117">
        <v>32</v>
      </c>
      <c r="B39" s="19" t="s">
        <v>63</v>
      </c>
      <c r="C39" s="19" t="s">
        <v>64</v>
      </c>
      <c r="D39" s="10">
        <v>66561281719.629997</v>
      </c>
      <c r="E39" s="10">
        <v>954621836.40999997</v>
      </c>
      <c r="F39" s="10">
        <v>0</v>
      </c>
      <c r="G39" s="10">
        <v>111643169.62</v>
      </c>
      <c r="H39" s="12">
        <f t="shared" si="21"/>
        <v>842978666.78999996</v>
      </c>
      <c r="I39" s="45">
        <v>62115550804.75</v>
      </c>
      <c r="J39" s="13">
        <f t="shared" si="14"/>
        <v>1.3847011111092027E-2</v>
      </c>
      <c r="K39" s="45">
        <v>65680669734.949997</v>
      </c>
      <c r="L39" s="13">
        <f t="shared" si="22"/>
        <v>1.3601784774746987E-2</v>
      </c>
      <c r="M39" s="13">
        <f t="shared" si="23"/>
        <v>5.739494996037886E-2</v>
      </c>
      <c r="N39" s="20">
        <f t="shared" si="24"/>
        <v>1.6997873205393404E-3</v>
      </c>
      <c r="O39" s="21">
        <f t="shared" si="25"/>
        <v>1.2834501691164001E-2</v>
      </c>
      <c r="P39" s="24">
        <f t="shared" si="26"/>
        <v>1</v>
      </c>
      <c r="Q39" s="24">
        <f t="shared" si="27"/>
        <v>1.2834501691164001E-2</v>
      </c>
      <c r="R39" s="10">
        <v>1</v>
      </c>
      <c r="S39" s="10">
        <v>1</v>
      </c>
      <c r="T39" s="10">
        <v>13518</v>
      </c>
      <c r="U39" s="18">
        <v>62115550804.75</v>
      </c>
      <c r="V39" s="18">
        <v>65680669734.949997</v>
      </c>
    </row>
    <row r="40" spans="1:22">
      <c r="A40" s="117">
        <v>33</v>
      </c>
      <c r="B40" s="91" t="s">
        <v>305</v>
      </c>
      <c r="C40" s="92" t="s">
        <v>110</v>
      </c>
      <c r="D40" s="10">
        <v>878840798.98000002</v>
      </c>
      <c r="E40" s="10">
        <v>14021176.789999999</v>
      </c>
      <c r="F40" s="10">
        <v>0</v>
      </c>
      <c r="G40" s="10">
        <v>1671881.32</v>
      </c>
      <c r="H40" s="12">
        <f t="shared" ref="H40" si="28">(E40+F40)-G40</f>
        <v>12349295.469999999</v>
      </c>
      <c r="I40" s="45">
        <v>1024646574.7</v>
      </c>
      <c r="J40" s="13">
        <f t="shared" si="14"/>
        <v>2.284177202165018E-4</v>
      </c>
      <c r="K40" s="45">
        <v>839504975.33000004</v>
      </c>
      <c r="L40" s="13">
        <f t="shared" si="22"/>
        <v>1.7385276425845863E-4</v>
      </c>
      <c r="M40" s="13">
        <f t="shared" si="23"/>
        <v>-0.18068825284875079</v>
      </c>
      <c r="N40" s="20">
        <f t="shared" si="24"/>
        <v>1.9915085307776791E-3</v>
      </c>
      <c r="O40" s="21">
        <f t="shared" si="25"/>
        <v>1.4710211175515223E-2</v>
      </c>
      <c r="P40" s="24">
        <f t="shared" si="26"/>
        <v>991.8477279142104</v>
      </c>
      <c r="Q40" s="24">
        <f t="shared" si="27"/>
        <v>14.590289531573001</v>
      </c>
      <c r="R40" s="10">
        <v>1000</v>
      </c>
      <c r="S40" s="10">
        <v>1000</v>
      </c>
      <c r="T40" s="10">
        <v>53</v>
      </c>
      <c r="U40" s="18">
        <v>1024646.57</v>
      </c>
      <c r="V40" s="18">
        <v>846405.1</v>
      </c>
    </row>
    <row r="41" spans="1:22">
      <c r="A41" s="117">
        <v>34</v>
      </c>
      <c r="B41" s="19" t="s">
        <v>65</v>
      </c>
      <c r="C41" s="19" t="s">
        <v>66</v>
      </c>
      <c r="D41" s="10">
        <v>33932603215.950001</v>
      </c>
      <c r="E41" s="10">
        <v>1303495364.8499999</v>
      </c>
      <c r="F41" s="10"/>
      <c r="G41" s="10">
        <v>131532537.88</v>
      </c>
      <c r="H41" s="12">
        <f t="shared" si="21"/>
        <v>1171962826.9699998</v>
      </c>
      <c r="I41" s="45">
        <v>81139327371.600006</v>
      </c>
      <c r="J41" s="13">
        <f t="shared" si="14"/>
        <v>1.8087856472411117E-2</v>
      </c>
      <c r="K41" s="45">
        <v>86746277951.050003</v>
      </c>
      <c r="L41" s="13">
        <f t="shared" si="22"/>
        <v>1.7964253523327148E-2</v>
      </c>
      <c r="M41" s="13">
        <f t="shared" si="23"/>
        <v>6.9102749074704733E-2</v>
      </c>
      <c r="N41" s="20">
        <f t="shared" si="24"/>
        <v>1.5162902776557445E-3</v>
      </c>
      <c r="O41" s="21">
        <f t="shared" si="25"/>
        <v>1.351023761078632E-2</v>
      </c>
      <c r="P41" s="24">
        <f t="shared" si="26"/>
        <v>103.46973829982463</v>
      </c>
      <c r="Q41" s="24">
        <f t="shared" si="27"/>
        <v>1.3979007499565084</v>
      </c>
      <c r="R41" s="10">
        <v>100</v>
      </c>
      <c r="S41" s="10">
        <v>100</v>
      </c>
      <c r="T41" s="10">
        <v>8019</v>
      </c>
      <c r="U41" s="18">
        <v>788096323</v>
      </c>
      <c r="V41" s="18">
        <v>838373416</v>
      </c>
    </row>
    <row r="42" spans="1:22">
      <c r="A42" s="117">
        <v>35</v>
      </c>
      <c r="B42" s="19" t="s">
        <v>67</v>
      </c>
      <c r="C42" s="19" t="s">
        <v>66</v>
      </c>
      <c r="D42" s="10">
        <v>5434709233.4300003</v>
      </c>
      <c r="E42" s="10">
        <v>174772268.36000001</v>
      </c>
      <c r="F42" s="10">
        <v>0</v>
      </c>
      <c r="G42" s="10">
        <v>10012498.83</v>
      </c>
      <c r="H42" s="12">
        <f t="shared" si="21"/>
        <v>164759769.53</v>
      </c>
      <c r="I42" s="45">
        <v>11047185106.17</v>
      </c>
      <c r="J42" s="13">
        <f t="shared" si="14"/>
        <v>2.4626763013381931E-3</v>
      </c>
      <c r="K42" s="45">
        <v>11491831510.27</v>
      </c>
      <c r="L42" s="13">
        <f t="shared" si="22"/>
        <v>2.3798389922198497E-3</v>
      </c>
      <c r="M42" s="13">
        <f t="shared" si="23"/>
        <v>4.0249746865530428E-2</v>
      </c>
      <c r="N42" s="20">
        <f t="shared" si="24"/>
        <v>8.7127093893188802E-4</v>
      </c>
      <c r="O42" s="21">
        <f t="shared" si="25"/>
        <v>1.4337120186869933E-2</v>
      </c>
      <c r="P42" s="24">
        <f t="shared" si="26"/>
        <v>1036514.0714593668</v>
      </c>
      <c r="Q42" s="24">
        <f t="shared" si="27"/>
        <v>14860.626817894832</v>
      </c>
      <c r="R42" s="10">
        <v>1000000</v>
      </c>
      <c r="S42" s="10">
        <v>1000000</v>
      </c>
      <c r="T42" s="10">
        <v>85</v>
      </c>
      <c r="U42" s="18">
        <v>10710</v>
      </c>
      <c r="V42" s="18">
        <v>11087</v>
      </c>
    </row>
    <row r="43" spans="1:22">
      <c r="A43" s="117">
        <v>36</v>
      </c>
      <c r="B43" s="96" t="s">
        <v>68</v>
      </c>
      <c r="C43" s="96" t="s">
        <v>69</v>
      </c>
      <c r="D43" s="10">
        <v>7586351400.3400002</v>
      </c>
      <c r="E43" s="10">
        <v>135616337.75</v>
      </c>
      <c r="F43" s="10">
        <v>0</v>
      </c>
      <c r="G43" s="10">
        <v>11333945.689999999</v>
      </c>
      <c r="H43" s="12">
        <f t="shared" si="21"/>
        <v>124282392.06</v>
      </c>
      <c r="I43" s="45">
        <v>6876125880.4200001</v>
      </c>
      <c r="J43" s="13">
        <f t="shared" si="14"/>
        <v>1.5328495076334758E-3</v>
      </c>
      <c r="K43" s="45">
        <v>7302742140.3299999</v>
      </c>
      <c r="L43" s="13">
        <f t="shared" si="22"/>
        <v>1.5123220767858305E-3</v>
      </c>
      <c r="M43" s="13">
        <f t="shared" si="23"/>
        <v>6.2043113713901601E-2</v>
      </c>
      <c r="N43" s="20">
        <f t="shared" si="24"/>
        <v>1.5520123088294934E-3</v>
      </c>
      <c r="O43" s="21">
        <f t="shared" si="25"/>
        <v>1.7018592423473391E-2</v>
      </c>
      <c r="P43" s="24">
        <f t="shared" si="26"/>
        <v>0.99584047366725581</v>
      </c>
      <c r="Q43" s="24">
        <f t="shared" si="27"/>
        <v>1.6947803140141715E-2</v>
      </c>
      <c r="R43" s="10">
        <v>1</v>
      </c>
      <c r="S43" s="10">
        <v>1</v>
      </c>
      <c r="T43" s="10">
        <v>1052</v>
      </c>
      <c r="U43" s="18">
        <v>7248259205.4399996</v>
      </c>
      <c r="V43" s="18">
        <v>7333244965.8699999</v>
      </c>
    </row>
    <row r="44" spans="1:22">
      <c r="A44" s="117">
        <v>37</v>
      </c>
      <c r="B44" s="19" t="s">
        <v>70</v>
      </c>
      <c r="C44" s="19" t="s">
        <v>71</v>
      </c>
      <c r="D44" s="10">
        <v>2798909340.3000002</v>
      </c>
      <c r="E44" s="10">
        <v>69284831.459999993</v>
      </c>
      <c r="F44" s="10">
        <v>0</v>
      </c>
      <c r="G44" s="10">
        <v>4551873.32</v>
      </c>
      <c r="H44" s="12">
        <f>(E44+F44)-G44</f>
        <v>64732958.139999993</v>
      </c>
      <c r="I44" s="45">
        <v>3540404290.6300001</v>
      </c>
      <c r="J44" s="13">
        <f t="shared" si="14"/>
        <v>7.8923903780891232E-4</v>
      </c>
      <c r="K44" s="45">
        <v>4451832118.1499996</v>
      </c>
      <c r="L44" s="13">
        <f t="shared" si="22"/>
        <v>9.219282106704967E-4</v>
      </c>
      <c r="M44" s="13">
        <f t="shared" si="23"/>
        <v>0.25743608715314675</v>
      </c>
      <c r="N44" s="20">
        <f t="shared" si="24"/>
        <v>1.0224719169984276E-3</v>
      </c>
      <c r="O44" s="21">
        <f t="shared" si="25"/>
        <v>1.4540745567669874E-2</v>
      </c>
      <c r="P44" s="24">
        <f t="shared" si="26"/>
        <v>1.0086718650822295</v>
      </c>
      <c r="Q44" s="24">
        <f t="shared" si="27"/>
        <v>1.4666840951427734E-2</v>
      </c>
      <c r="R44" s="10">
        <v>1</v>
      </c>
      <c r="S44" s="10">
        <v>1</v>
      </c>
      <c r="T44" s="10">
        <v>1803</v>
      </c>
      <c r="U44" s="18">
        <v>3585725785.96</v>
      </c>
      <c r="V44" s="18">
        <v>4413558335.7299995</v>
      </c>
    </row>
    <row r="45" spans="1:22">
      <c r="A45" s="117">
        <v>38</v>
      </c>
      <c r="B45" s="19" t="s">
        <v>72</v>
      </c>
      <c r="C45" s="19" t="s">
        <v>73</v>
      </c>
      <c r="D45" s="10">
        <v>728511170084.25</v>
      </c>
      <c r="E45" s="10">
        <v>11092027291.309999</v>
      </c>
      <c r="F45" s="10">
        <v>0</v>
      </c>
      <c r="G45" s="10">
        <v>1117977346.1900001</v>
      </c>
      <c r="H45" s="12">
        <f t="shared" ref="H45" si="29">(E45+F45)-G45</f>
        <v>9974049945.1199989</v>
      </c>
      <c r="I45" s="45">
        <v>680590489607.54004</v>
      </c>
      <c r="J45" s="13">
        <f t="shared" si="14"/>
        <v>0.15171956055452868</v>
      </c>
      <c r="K45" s="45">
        <v>695909385086.63</v>
      </c>
      <c r="L45" s="13">
        <f t="shared" si="22"/>
        <v>0.14411560839547929</v>
      </c>
      <c r="M45" s="13">
        <f t="shared" si="23"/>
        <v>2.2508242053049476E-2</v>
      </c>
      <c r="N45" s="20">
        <f t="shared" si="24"/>
        <v>1.6064984467062894E-3</v>
      </c>
      <c r="O45" s="21">
        <f t="shared" si="25"/>
        <v>1.4332397520229424E-2</v>
      </c>
      <c r="P45" s="24">
        <f t="shared" si="26"/>
        <v>100.0470744661564</v>
      </c>
      <c r="Q45" s="24">
        <f t="shared" si="27"/>
        <v>1.4339144419849486</v>
      </c>
      <c r="R45" s="10">
        <v>100</v>
      </c>
      <c r="S45" s="10">
        <v>100</v>
      </c>
      <c r="T45" s="10">
        <v>33122</v>
      </c>
      <c r="U45" s="18">
        <v>6802727048</v>
      </c>
      <c r="V45" s="18">
        <v>6955819436</v>
      </c>
    </row>
    <row r="46" spans="1:22">
      <c r="A46" s="117">
        <v>39</v>
      </c>
      <c r="B46" s="19" t="s">
        <v>265</v>
      </c>
      <c r="C46" s="19" t="s">
        <v>266</v>
      </c>
      <c r="D46" s="10">
        <v>3374933589.1300001</v>
      </c>
      <c r="E46" s="10">
        <v>56660343.899999999</v>
      </c>
      <c r="F46" s="10">
        <v>0</v>
      </c>
      <c r="G46" s="10">
        <v>49161211.700000003</v>
      </c>
      <c r="H46" s="12">
        <f>(E46+F46)-G46</f>
        <v>7499132.1999999955</v>
      </c>
      <c r="I46" s="45">
        <v>3118940574.5</v>
      </c>
      <c r="J46" s="13">
        <f t="shared" si="14"/>
        <v>6.9528490418915595E-4</v>
      </c>
      <c r="K46" s="45">
        <v>3703958591.02</v>
      </c>
      <c r="L46" s="13">
        <f t="shared" si="22"/>
        <v>7.6705136797380587E-4</v>
      </c>
      <c r="M46" s="13">
        <f t="shared" si="23"/>
        <v>0.18756946551114867</v>
      </c>
      <c r="N46" s="20">
        <f t="shared" si="24"/>
        <v>1.3272613743357736E-2</v>
      </c>
      <c r="O46" s="21">
        <f t="shared" si="25"/>
        <v>2.024626360073555E-3</v>
      </c>
      <c r="P46" s="24">
        <f t="shared" si="26"/>
        <v>0.99976967980920028</v>
      </c>
      <c r="Q46" s="24">
        <f t="shared" si="27"/>
        <v>2.0241600477440046E-3</v>
      </c>
      <c r="R46" s="10">
        <v>1</v>
      </c>
      <c r="S46" s="10">
        <v>1</v>
      </c>
      <c r="T46" s="10">
        <v>520</v>
      </c>
      <c r="U46" s="18">
        <v>3120143215</v>
      </c>
      <c r="V46" s="18">
        <v>3704811884</v>
      </c>
    </row>
    <row r="47" spans="1:22">
      <c r="A47" s="118">
        <v>40</v>
      </c>
      <c r="B47" s="19" t="s">
        <v>327</v>
      </c>
      <c r="C47" s="19" t="s">
        <v>328</v>
      </c>
      <c r="D47" s="10">
        <v>7291994.1699999999</v>
      </c>
      <c r="E47" s="10">
        <v>750000</v>
      </c>
      <c r="F47" s="10">
        <v>0</v>
      </c>
      <c r="G47" s="10">
        <v>0</v>
      </c>
      <c r="H47" s="12">
        <f t="shared" si="21"/>
        <v>750000</v>
      </c>
      <c r="I47" s="45">
        <v>0</v>
      </c>
      <c r="J47" s="13">
        <f t="shared" si="14"/>
        <v>0</v>
      </c>
      <c r="K47" s="45">
        <v>7292094.1699999999</v>
      </c>
      <c r="L47" s="13">
        <f t="shared" si="22"/>
        <v>1.5101169926826842E-6</v>
      </c>
      <c r="M47" s="13" t="e">
        <f t="shared" si="23"/>
        <v>#DIV/0!</v>
      </c>
      <c r="N47" s="20">
        <f t="shared" si="24"/>
        <v>0</v>
      </c>
      <c r="O47" s="21">
        <f t="shared" si="25"/>
        <v>0.10285111279631212</v>
      </c>
      <c r="P47" s="24">
        <f t="shared" si="26"/>
        <v>7.3605472595134752E-3</v>
      </c>
      <c r="Q47" s="24">
        <f t="shared" si="27"/>
        <v>7.5704047643080654E-4</v>
      </c>
      <c r="R47" s="10">
        <v>1</v>
      </c>
      <c r="S47" s="10">
        <v>1</v>
      </c>
      <c r="T47" s="10">
        <v>23</v>
      </c>
      <c r="U47" s="18">
        <v>1000000000</v>
      </c>
      <c r="V47" s="18">
        <v>990700000</v>
      </c>
    </row>
    <row r="48" spans="1:22" ht="15.6" customHeight="1">
      <c r="A48" s="117">
        <v>41</v>
      </c>
      <c r="B48" s="19" t="s">
        <v>74</v>
      </c>
      <c r="C48" s="19" t="s">
        <v>75</v>
      </c>
      <c r="D48" s="10">
        <v>2117593515.52</v>
      </c>
      <c r="E48" s="10">
        <v>27022178.27</v>
      </c>
      <c r="F48" s="10">
        <v>0</v>
      </c>
      <c r="G48" s="10">
        <v>2084597.28</v>
      </c>
      <c r="H48" s="12">
        <f t="shared" si="21"/>
        <v>24937580.989999998</v>
      </c>
      <c r="I48" s="45">
        <v>1758141338.6900001</v>
      </c>
      <c r="J48" s="13">
        <f t="shared" si="14"/>
        <v>3.9193088262607777E-4</v>
      </c>
      <c r="K48" s="45">
        <v>2034152998.75</v>
      </c>
      <c r="L48" s="13">
        <f t="shared" si="22"/>
        <v>4.2125196651551382E-4</v>
      </c>
      <c r="M48" s="13">
        <f t="shared" si="23"/>
        <v>0.15699059796049025</v>
      </c>
      <c r="N48" s="20">
        <f t="shared" si="24"/>
        <v>1.0247986662168473E-3</v>
      </c>
      <c r="O48" s="21">
        <f t="shared" si="25"/>
        <v>1.2259442138975929E-2</v>
      </c>
      <c r="P48" s="24">
        <f t="shared" si="26"/>
        <v>9.9885728751360112</v>
      </c>
      <c r="Q48" s="24">
        <f t="shared" si="27"/>
        <v>0.12245433121367436</v>
      </c>
      <c r="R48" s="10">
        <v>10</v>
      </c>
      <c r="S48" s="10">
        <v>10</v>
      </c>
      <c r="T48" s="10">
        <v>513</v>
      </c>
      <c r="U48" s="18">
        <v>175200060</v>
      </c>
      <c r="V48" s="18">
        <v>203648011</v>
      </c>
    </row>
    <row r="49" spans="1:22">
      <c r="A49" s="117">
        <v>42</v>
      </c>
      <c r="B49" s="19" t="s">
        <v>76</v>
      </c>
      <c r="C49" s="19" t="s">
        <v>77</v>
      </c>
      <c r="D49" s="10">
        <v>2900523786.3000002</v>
      </c>
      <c r="E49" s="10">
        <v>224123498.06999999</v>
      </c>
      <c r="F49" s="10">
        <v>0</v>
      </c>
      <c r="G49" s="10">
        <v>108110386.08</v>
      </c>
      <c r="H49" s="12">
        <f t="shared" si="21"/>
        <v>116013111.98999999</v>
      </c>
      <c r="I49" s="45">
        <v>9545549376.1299992</v>
      </c>
      <c r="J49" s="13">
        <f t="shared" si="14"/>
        <v>2.1279265266153291E-3</v>
      </c>
      <c r="K49" s="45">
        <v>9809150688.25</v>
      </c>
      <c r="L49" s="13">
        <f t="shared" si="22"/>
        <v>2.0313732643569755E-3</v>
      </c>
      <c r="M49" s="13">
        <f t="shared" si="23"/>
        <v>2.7615101209279094E-2</v>
      </c>
      <c r="N49" s="20">
        <f t="shared" si="24"/>
        <v>1.1021380904006421E-2</v>
      </c>
      <c r="O49" s="21">
        <f t="shared" si="25"/>
        <v>1.1827029238012175E-2</v>
      </c>
      <c r="P49" s="24">
        <f t="shared" si="26"/>
        <v>99.128238574347421</v>
      </c>
      <c r="Q49" s="24">
        <f t="shared" si="27"/>
        <v>1.1723925759314533</v>
      </c>
      <c r="R49" s="10">
        <v>100</v>
      </c>
      <c r="S49" s="10">
        <v>100</v>
      </c>
      <c r="T49" s="10">
        <v>1924</v>
      </c>
      <c r="U49" s="18">
        <v>96392065</v>
      </c>
      <c r="V49" s="18">
        <v>98954151</v>
      </c>
    </row>
    <row r="50" spans="1:22">
      <c r="A50" s="117">
        <v>43</v>
      </c>
      <c r="B50" s="91" t="s">
        <v>249</v>
      </c>
      <c r="C50" s="91" t="s">
        <v>225</v>
      </c>
      <c r="D50" s="10">
        <v>119467485.47</v>
      </c>
      <c r="E50" s="10">
        <v>6784599.3600000003</v>
      </c>
      <c r="F50" s="10">
        <v>0</v>
      </c>
      <c r="G50" s="10">
        <v>183874.72</v>
      </c>
      <c r="H50" s="12">
        <f t="shared" si="21"/>
        <v>6600724.6400000006</v>
      </c>
      <c r="I50" s="45">
        <v>129058290.19</v>
      </c>
      <c r="J50" s="13">
        <f t="shared" si="14"/>
        <v>2.8770115616568132E-5</v>
      </c>
      <c r="K50" s="45">
        <v>126627613.25</v>
      </c>
      <c r="L50" s="13">
        <f t="shared" si="22"/>
        <v>2.6223263997107157E-5</v>
      </c>
      <c r="M50" s="13">
        <f t="shared" si="23"/>
        <v>-1.8833946555634262E-2</v>
      </c>
      <c r="N50" s="20">
        <f t="shared" si="24"/>
        <v>1.4520902296166433E-3</v>
      </c>
      <c r="O50" s="21">
        <f t="shared" si="25"/>
        <v>5.2127055628603189E-2</v>
      </c>
      <c r="P50" s="24">
        <f t="shared" si="26"/>
        <v>1.0045080318374673</v>
      </c>
      <c r="Q50" s="24">
        <f t="shared" si="27"/>
        <v>5.2362046054970364E-2</v>
      </c>
      <c r="R50" s="10">
        <v>1</v>
      </c>
      <c r="S50" s="10">
        <v>1</v>
      </c>
      <c r="T50" s="10">
        <v>164</v>
      </c>
      <c r="U50" s="18">
        <v>118814333.76000001</v>
      </c>
      <c r="V50" s="18">
        <v>126059333.76000001</v>
      </c>
    </row>
    <row r="51" spans="1:22">
      <c r="A51" s="118">
        <v>44</v>
      </c>
      <c r="B51" s="96" t="s">
        <v>267</v>
      </c>
      <c r="C51" s="96" t="s">
        <v>36</v>
      </c>
      <c r="D51" s="10">
        <v>886684651.71000004</v>
      </c>
      <c r="E51" s="10">
        <v>13849756.49</v>
      </c>
      <c r="F51" s="10">
        <v>0</v>
      </c>
      <c r="G51" s="10">
        <v>1708940.01</v>
      </c>
      <c r="H51" s="12">
        <f t="shared" si="21"/>
        <v>12140816.48</v>
      </c>
      <c r="I51" s="45">
        <v>832454031.25999999</v>
      </c>
      <c r="J51" s="13">
        <f t="shared" si="14"/>
        <v>1.8557350085429971E-4</v>
      </c>
      <c r="K51" s="45">
        <v>919468229.30999994</v>
      </c>
      <c r="L51" s="13">
        <f t="shared" si="22"/>
        <v>1.9041232394190126E-4</v>
      </c>
      <c r="M51" s="13">
        <f t="shared" si="23"/>
        <v>0.10452733097861934</v>
      </c>
      <c r="N51" s="20">
        <f t="shared" si="24"/>
        <v>1.858617791810432E-3</v>
      </c>
      <c r="O51" s="21">
        <f t="shared" si="25"/>
        <v>1.3204171816910824E-2</v>
      </c>
      <c r="P51" s="24">
        <f t="shared" si="26"/>
        <v>100.00000003371514</v>
      </c>
      <c r="Q51" s="24">
        <f t="shared" si="27"/>
        <v>1.3204171821362629</v>
      </c>
      <c r="R51" s="10">
        <v>100</v>
      </c>
      <c r="S51" s="10">
        <v>100</v>
      </c>
      <c r="T51" s="10">
        <v>5213</v>
      </c>
      <c r="U51" s="18">
        <v>8324540.3099999996</v>
      </c>
      <c r="V51" s="18">
        <v>9194682.2899999991</v>
      </c>
    </row>
    <row r="52" spans="1:22">
      <c r="A52" s="118">
        <v>45</v>
      </c>
      <c r="B52" s="96" t="s">
        <v>78</v>
      </c>
      <c r="C52" s="96" t="s">
        <v>36</v>
      </c>
      <c r="D52" s="10">
        <v>296475965189.37</v>
      </c>
      <c r="E52" s="10">
        <v>4354543833.9499998</v>
      </c>
      <c r="F52" s="10">
        <v>0</v>
      </c>
      <c r="G52" s="10">
        <v>309304862.07999998</v>
      </c>
      <c r="H52" s="12">
        <f t="shared" si="21"/>
        <v>4045238971.8699999</v>
      </c>
      <c r="I52" s="45">
        <v>244021593953.54001</v>
      </c>
      <c r="J52" s="13">
        <f t="shared" si="14"/>
        <v>5.4398128633557322E-2</v>
      </c>
      <c r="K52" s="45">
        <v>283453627642.44</v>
      </c>
      <c r="L52" s="13">
        <f t="shared" si="22"/>
        <v>5.8700303336921777E-2</v>
      </c>
      <c r="M52" s="13">
        <f t="shared" si="23"/>
        <v>0.16159239455016253</v>
      </c>
      <c r="N52" s="20">
        <f t="shared" si="24"/>
        <v>1.0912009299460079E-3</v>
      </c>
      <c r="O52" s="21">
        <f t="shared" si="25"/>
        <v>1.4271254898077472E-2</v>
      </c>
      <c r="P52" s="24">
        <f t="shared" si="26"/>
        <v>100.00000000015523</v>
      </c>
      <c r="Q52" s="24">
        <f t="shared" si="27"/>
        <v>1.4271254898099626</v>
      </c>
      <c r="R52" s="10">
        <v>100</v>
      </c>
      <c r="S52" s="10">
        <v>100</v>
      </c>
      <c r="T52" s="10">
        <v>25764</v>
      </c>
      <c r="U52" s="18">
        <v>2440215939.54</v>
      </c>
      <c r="V52" s="18">
        <v>2834536276.4200001</v>
      </c>
    </row>
    <row r="53" spans="1:22">
      <c r="A53" s="117">
        <v>46</v>
      </c>
      <c r="B53" s="19" t="s">
        <v>79</v>
      </c>
      <c r="C53" s="19" t="s">
        <v>38</v>
      </c>
      <c r="D53" s="10">
        <v>47904700484.059998</v>
      </c>
      <c r="E53" s="10">
        <v>754547192.94000006</v>
      </c>
      <c r="F53" s="10">
        <v>0</v>
      </c>
      <c r="G53" s="10">
        <v>55158844.850000001</v>
      </c>
      <c r="H53" s="12">
        <f t="shared" si="21"/>
        <v>699388348.09000003</v>
      </c>
      <c r="I53" s="45">
        <v>42620818050.830002</v>
      </c>
      <c r="J53" s="13">
        <f t="shared" si="14"/>
        <v>9.5011785851948707E-3</v>
      </c>
      <c r="K53" s="45">
        <v>47692538361.739998</v>
      </c>
      <c r="L53" s="13">
        <f t="shared" si="22"/>
        <v>9.8766295285287499E-3</v>
      </c>
      <c r="M53" s="13">
        <f t="shared" si="23"/>
        <v>0.11899631548276275</v>
      </c>
      <c r="N53" s="20">
        <f t="shared" si="24"/>
        <v>1.1565508304806364E-3</v>
      </c>
      <c r="O53" s="21">
        <f t="shared" si="25"/>
        <v>1.4664523468750088E-2</v>
      </c>
      <c r="P53" s="24">
        <f t="shared" si="26"/>
        <v>0.99305574533345542</v>
      </c>
      <c r="Q53" s="24">
        <f t="shared" si="27"/>
        <v>1.4562689283219568E-2</v>
      </c>
      <c r="R53" s="10">
        <v>1</v>
      </c>
      <c r="S53" s="10">
        <v>1</v>
      </c>
      <c r="T53" s="10">
        <v>2875</v>
      </c>
      <c r="U53" s="18">
        <v>42552781063</v>
      </c>
      <c r="V53" s="18">
        <v>48026043438</v>
      </c>
    </row>
    <row r="54" spans="1:22">
      <c r="A54" s="117">
        <v>47</v>
      </c>
      <c r="B54" s="19" t="s">
        <v>275</v>
      </c>
      <c r="C54" s="96" t="s">
        <v>276</v>
      </c>
      <c r="D54" s="10">
        <v>2566613575.5900002</v>
      </c>
      <c r="E54" s="10">
        <v>78304500.799999997</v>
      </c>
      <c r="F54" s="10"/>
      <c r="G54" s="10">
        <v>77183229.109999999</v>
      </c>
      <c r="H54" s="12">
        <f t="shared" si="21"/>
        <v>1121271.6899999976</v>
      </c>
      <c r="I54" s="45">
        <v>4788545230.8400002</v>
      </c>
      <c r="J54" s="13">
        <f t="shared" si="14"/>
        <v>1.0674788866613045E-3</v>
      </c>
      <c r="K54" s="45">
        <v>4876669427.79</v>
      </c>
      <c r="L54" s="13">
        <f t="shared" si="22"/>
        <v>1.0099076066377541E-3</v>
      </c>
      <c r="M54" s="13">
        <f t="shared" si="23"/>
        <v>1.8403125104143828E-2</v>
      </c>
      <c r="N54" s="20">
        <f t="shared" si="24"/>
        <v>1.5827037336212834E-2</v>
      </c>
      <c r="O54" s="21">
        <f t="shared" si="25"/>
        <v>2.2992571192346196E-4</v>
      </c>
      <c r="P54" s="24">
        <f t="shared" si="26"/>
        <v>103.25743324600172</v>
      </c>
      <c r="Q54" s="24">
        <f t="shared" si="27"/>
        <v>2.3741538850476297E-2</v>
      </c>
      <c r="R54" s="10">
        <v>100</v>
      </c>
      <c r="S54" s="10">
        <v>100</v>
      </c>
      <c r="T54" s="10">
        <v>940</v>
      </c>
      <c r="U54" s="18">
        <v>47885453.310000002</v>
      </c>
      <c r="V54" s="18">
        <v>47228265.07</v>
      </c>
    </row>
    <row r="55" spans="1:22">
      <c r="A55" s="117">
        <v>48</v>
      </c>
      <c r="B55" s="19" t="s">
        <v>80</v>
      </c>
      <c r="C55" s="19" t="s">
        <v>40</v>
      </c>
      <c r="D55" s="10">
        <v>84785032932.199997</v>
      </c>
      <c r="E55" s="10">
        <v>1272723128.96</v>
      </c>
      <c r="F55" s="10">
        <v>0</v>
      </c>
      <c r="G55" s="10">
        <v>119370191.40000001</v>
      </c>
      <c r="H55" s="12">
        <f t="shared" si="21"/>
        <v>1153352937.5599999</v>
      </c>
      <c r="I55" s="45">
        <v>704655648.20000005</v>
      </c>
      <c r="J55" s="13">
        <f t="shared" si="14"/>
        <v>1.5708424804586948E-4</v>
      </c>
      <c r="K55" s="45">
        <v>83488657475.589996</v>
      </c>
      <c r="L55" s="13">
        <f t="shared" si="22"/>
        <v>1.7289634144995233E-2</v>
      </c>
      <c r="M55" s="13">
        <f t="shared" si="23"/>
        <v>117.48149899721473</v>
      </c>
      <c r="N55" s="20">
        <f t="shared" si="24"/>
        <v>1.4297773495148232E-3</v>
      </c>
      <c r="O55" s="21">
        <f t="shared" si="25"/>
        <v>1.3814486571390989E-2</v>
      </c>
      <c r="P55" s="24">
        <f t="shared" si="26"/>
        <v>10.006161853365846</v>
      </c>
      <c r="Q55" s="24">
        <f t="shared" si="27"/>
        <v>0.13822998855448723</v>
      </c>
      <c r="R55" s="10">
        <v>10</v>
      </c>
      <c r="S55" s="10">
        <v>10</v>
      </c>
      <c r="T55" s="10">
        <v>7862</v>
      </c>
      <c r="U55" s="18">
        <v>8422985806.5600004</v>
      </c>
      <c r="V55" s="18">
        <v>8343724466.8900003</v>
      </c>
    </row>
    <row r="56" spans="1:22" ht="14.1" customHeight="1">
      <c r="A56" s="117">
        <v>49</v>
      </c>
      <c r="B56" s="19" t="s">
        <v>81</v>
      </c>
      <c r="C56" s="19" t="s">
        <v>260</v>
      </c>
      <c r="D56" s="10">
        <v>14312246279.73</v>
      </c>
      <c r="E56" s="10">
        <v>555445119.47000003</v>
      </c>
      <c r="F56" s="10">
        <v>23435780.789999999</v>
      </c>
      <c r="G56" s="10">
        <v>41800366.350000001</v>
      </c>
      <c r="H56" s="12">
        <f>(E56+F56)-G56</f>
        <v>537080533.90999997</v>
      </c>
      <c r="I56" s="45">
        <v>31665552326.98</v>
      </c>
      <c r="J56" s="13">
        <f t="shared" si="14"/>
        <v>7.0589932670616813E-3</v>
      </c>
      <c r="K56" s="45">
        <v>33184037348</v>
      </c>
      <c r="L56" s="13">
        <f t="shared" si="22"/>
        <v>6.8720696026106903E-3</v>
      </c>
      <c r="M56" s="13">
        <f t="shared" si="23"/>
        <v>4.7953846038750622E-2</v>
      </c>
      <c r="N56" s="20">
        <f t="shared" si="24"/>
        <v>1.2596528237851477E-3</v>
      </c>
      <c r="O56" s="21">
        <f t="shared" si="25"/>
        <v>1.6184906263142503E-2</v>
      </c>
      <c r="P56" s="24">
        <f t="shared" si="26"/>
        <v>100</v>
      </c>
      <c r="Q56" s="24">
        <f t="shared" si="27"/>
        <v>1.6184906263142502</v>
      </c>
      <c r="R56" s="10">
        <v>100</v>
      </c>
      <c r="S56" s="10">
        <v>100</v>
      </c>
      <c r="T56" s="10">
        <v>5475</v>
      </c>
      <c r="U56" s="18">
        <v>316654136.36000001</v>
      </c>
      <c r="V56" s="18">
        <v>331840373.48000002</v>
      </c>
    </row>
    <row r="57" spans="1:22">
      <c r="A57" s="117">
        <v>50</v>
      </c>
      <c r="B57" s="19" t="s">
        <v>82</v>
      </c>
      <c r="C57" s="96" t="s">
        <v>83</v>
      </c>
      <c r="D57" s="10">
        <v>73991268.150000006</v>
      </c>
      <c r="E57" s="10">
        <v>2286817.92</v>
      </c>
      <c r="F57" s="10">
        <v>0</v>
      </c>
      <c r="G57" s="10">
        <v>2062049.7</v>
      </c>
      <c r="H57" s="12">
        <f t="shared" si="21"/>
        <v>224768.21999999997</v>
      </c>
      <c r="I57" s="45">
        <v>176226028.66</v>
      </c>
      <c r="J57" s="13">
        <f t="shared" si="14"/>
        <v>3.9284909258697887E-5</v>
      </c>
      <c r="K57" s="45">
        <v>175351329.34</v>
      </c>
      <c r="L57" s="13">
        <f t="shared" si="22"/>
        <v>3.6313439726990215E-5</v>
      </c>
      <c r="M57" s="13">
        <f t="shared" si="23"/>
        <v>-4.9635080961143692E-3</v>
      </c>
      <c r="N57" s="20">
        <f t="shared" si="24"/>
        <v>1.1759532749259966E-2</v>
      </c>
      <c r="O57" s="21">
        <f t="shared" si="25"/>
        <v>1.2818164586832551E-3</v>
      </c>
      <c r="P57" s="24">
        <f t="shared" si="26"/>
        <v>0.9991866012616859</v>
      </c>
      <c r="Q57" s="24">
        <f t="shared" si="27"/>
        <v>1.2807738307930119E-3</v>
      </c>
      <c r="R57" s="10">
        <v>1</v>
      </c>
      <c r="S57" s="10">
        <v>1</v>
      </c>
      <c r="T57" s="10">
        <v>94</v>
      </c>
      <c r="U57" s="18">
        <v>175834238</v>
      </c>
      <c r="V57" s="18">
        <v>175494076</v>
      </c>
    </row>
    <row r="58" spans="1:22" ht="15" customHeight="1">
      <c r="A58" s="117">
        <v>51</v>
      </c>
      <c r="B58" s="96" t="s">
        <v>84</v>
      </c>
      <c r="C58" s="96" t="s">
        <v>42</v>
      </c>
      <c r="D58" s="10">
        <v>2316821417</v>
      </c>
      <c r="E58" s="10">
        <v>92664454.469999999</v>
      </c>
      <c r="F58" s="10">
        <v>0</v>
      </c>
      <c r="G58" s="10">
        <v>3142040.03</v>
      </c>
      <c r="H58" s="12">
        <f t="shared" si="21"/>
        <v>89522414.439999998</v>
      </c>
      <c r="I58" s="45">
        <v>2438540891.5500002</v>
      </c>
      <c r="J58" s="13">
        <f t="shared" si="14"/>
        <v>5.4360787890756293E-4</v>
      </c>
      <c r="K58" s="45">
        <v>2329633790.71</v>
      </c>
      <c r="L58" s="13">
        <f t="shared" si="22"/>
        <v>4.8244297071097024E-4</v>
      </c>
      <c r="M58" s="13">
        <f t="shared" si="23"/>
        <v>-4.466076464716405E-2</v>
      </c>
      <c r="N58" s="20">
        <f t="shared" si="24"/>
        <v>1.348727015606347E-3</v>
      </c>
      <c r="O58" s="21">
        <f t="shared" si="25"/>
        <v>3.8427676829290984E-2</v>
      </c>
      <c r="P58" s="24">
        <f t="shared" si="26"/>
        <v>10.494360548485835</v>
      </c>
      <c r="Q58" s="24">
        <f t="shared" si="27"/>
        <v>0.40327389568727456</v>
      </c>
      <c r="R58" s="10">
        <v>10</v>
      </c>
      <c r="S58" s="10">
        <v>10</v>
      </c>
      <c r="T58" s="10">
        <v>922</v>
      </c>
      <c r="U58" s="18">
        <v>228140743</v>
      </c>
      <c r="V58" s="18">
        <v>221989113.09999999</v>
      </c>
    </row>
    <row r="59" spans="1:22" ht="15" customHeight="1">
      <c r="A59" s="117">
        <v>52</v>
      </c>
      <c r="B59" s="10" t="s">
        <v>208</v>
      </c>
      <c r="C59" s="10" t="s">
        <v>209</v>
      </c>
      <c r="D59" s="10">
        <v>635499273.13</v>
      </c>
      <c r="E59" s="10">
        <v>20181793.190000001</v>
      </c>
      <c r="F59" s="10">
        <v>0</v>
      </c>
      <c r="G59" s="10">
        <v>2264282.0499999998</v>
      </c>
      <c r="H59" s="12">
        <f t="shared" si="21"/>
        <v>17917511.140000001</v>
      </c>
      <c r="I59" s="45">
        <v>1079521525</v>
      </c>
      <c r="J59" s="13">
        <f t="shared" si="14"/>
        <v>2.4065063188967036E-4</v>
      </c>
      <c r="K59" s="45">
        <v>1149116509.5899999</v>
      </c>
      <c r="L59" s="13">
        <f t="shared" si="22"/>
        <v>2.3797009847228474E-4</v>
      </c>
      <c r="M59" s="13">
        <f t="shared" si="23"/>
        <v>6.4468362119967842E-2</v>
      </c>
      <c r="N59" s="20">
        <f t="shared" si="24"/>
        <v>1.9704547198681243E-3</v>
      </c>
      <c r="O59" s="21">
        <f t="shared" si="25"/>
        <v>1.5592423388288883E-2</v>
      </c>
      <c r="P59" s="24">
        <f t="shared" si="26"/>
        <v>1.000000000513438</v>
      </c>
      <c r="Q59" s="24">
        <f t="shared" si="27"/>
        <v>1.5592423396294623E-2</v>
      </c>
      <c r="R59" s="10">
        <v>1</v>
      </c>
      <c r="S59" s="10">
        <v>1</v>
      </c>
      <c r="T59" s="10">
        <v>187</v>
      </c>
      <c r="U59" s="18">
        <v>1079521525</v>
      </c>
      <c r="V59" s="18">
        <v>1149116509</v>
      </c>
    </row>
    <row r="60" spans="1:22" ht="15" customHeight="1">
      <c r="A60" s="117">
        <v>53</v>
      </c>
      <c r="B60" s="10" t="s">
        <v>295</v>
      </c>
      <c r="C60" s="10" t="s">
        <v>296</v>
      </c>
      <c r="D60" s="10">
        <v>1622473634.49</v>
      </c>
      <c r="E60" s="10">
        <v>31408823.559999999</v>
      </c>
      <c r="F60" s="10">
        <v>0</v>
      </c>
      <c r="G60" s="10">
        <v>0</v>
      </c>
      <c r="H60" s="12">
        <f t="shared" si="21"/>
        <v>31408823.559999999</v>
      </c>
      <c r="I60" s="45">
        <v>1852163418.8900001</v>
      </c>
      <c r="J60" s="13">
        <f t="shared" si="14"/>
        <v>4.1289060643678296E-4</v>
      </c>
      <c r="K60" s="45">
        <v>1975360614.8599999</v>
      </c>
      <c r="L60" s="13">
        <f t="shared" si="22"/>
        <v>4.0907667422185811E-4</v>
      </c>
      <c r="M60" s="13">
        <f t="shared" si="23"/>
        <v>6.6515294878154843E-2</v>
      </c>
      <c r="N60" s="20">
        <f t="shared" si="24"/>
        <v>0</v>
      </c>
      <c r="O60" s="21">
        <f t="shared" si="25"/>
        <v>1.5900298570155527E-2</v>
      </c>
      <c r="P60" s="24">
        <f t="shared" si="26"/>
        <v>1.0000000000303741</v>
      </c>
      <c r="Q60" s="24">
        <f t="shared" si="27"/>
        <v>1.5900298570638485E-2</v>
      </c>
      <c r="R60" s="10">
        <v>1</v>
      </c>
      <c r="S60" s="10">
        <v>1</v>
      </c>
      <c r="T60" s="10">
        <v>1853</v>
      </c>
      <c r="U60" s="18">
        <v>1852163418.8900001</v>
      </c>
      <c r="V60" s="18">
        <v>1975360614.8</v>
      </c>
    </row>
    <row r="61" spans="1:22" ht="15" customHeight="1">
      <c r="A61" s="117">
        <v>54</v>
      </c>
      <c r="B61" s="91" t="s">
        <v>210</v>
      </c>
      <c r="C61" s="92" t="s">
        <v>211</v>
      </c>
      <c r="D61" s="25">
        <v>14113236087.58</v>
      </c>
      <c r="E61" s="10">
        <v>659592598.75</v>
      </c>
      <c r="F61" s="10">
        <v>0</v>
      </c>
      <c r="G61" s="10">
        <v>57944981.469999999</v>
      </c>
      <c r="H61" s="12">
        <f t="shared" si="21"/>
        <v>601647617.27999997</v>
      </c>
      <c r="I61" s="45">
        <v>16130872216.040001</v>
      </c>
      <c r="J61" s="13">
        <f t="shared" si="14"/>
        <v>3.5959492254881657E-3</v>
      </c>
      <c r="K61" s="45">
        <v>14754529817.77</v>
      </c>
      <c r="L61" s="13">
        <f t="shared" si="22"/>
        <v>3.0555099368468281E-3</v>
      </c>
      <c r="M61" s="13">
        <f t="shared" si="23"/>
        <v>-8.5323495210718456E-2</v>
      </c>
      <c r="N61" s="20">
        <f t="shared" si="24"/>
        <v>3.9272672315326818E-3</v>
      </c>
      <c r="O61" s="21">
        <f t="shared" si="25"/>
        <v>4.0777146050116085E-2</v>
      </c>
      <c r="P61" s="24">
        <f t="shared" si="26"/>
        <v>100.47522928966029</v>
      </c>
      <c r="Q61" s="24">
        <f t="shared" si="27"/>
        <v>4.0970930991633789</v>
      </c>
      <c r="R61" s="10">
        <v>100</v>
      </c>
      <c r="S61" s="10">
        <v>100</v>
      </c>
      <c r="T61" s="10">
        <v>150</v>
      </c>
      <c r="U61" s="18">
        <v>161234606.66999999</v>
      </c>
      <c r="V61" s="18">
        <v>146847436.15000001</v>
      </c>
    </row>
    <row r="62" spans="1:22" ht="15" customHeight="1">
      <c r="A62" s="117">
        <v>55</v>
      </c>
      <c r="B62" s="91" t="s">
        <v>212</v>
      </c>
      <c r="C62" s="92" t="s">
        <v>110</v>
      </c>
      <c r="D62" s="10">
        <v>72343726.030000001</v>
      </c>
      <c r="E62" s="10">
        <v>1272104</v>
      </c>
      <c r="F62" s="10">
        <v>0</v>
      </c>
      <c r="G62" s="10">
        <v>80421.95</v>
      </c>
      <c r="H62" s="12">
        <f t="shared" si="21"/>
        <v>1191682.05</v>
      </c>
      <c r="I62" s="45">
        <v>70681027.469999999</v>
      </c>
      <c r="J62" s="13">
        <f t="shared" si="14"/>
        <v>1.5756456475721174E-5</v>
      </c>
      <c r="K62" s="45">
        <v>71821109.620000005</v>
      </c>
      <c r="L62" s="13">
        <f t="shared" si="22"/>
        <v>1.4873406122028701E-5</v>
      </c>
      <c r="M62" s="13">
        <f t="shared" si="23"/>
        <v>1.6129960058714549E-2</v>
      </c>
      <c r="N62" s="20">
        <f t="shared" si="24"/>
        <v>1.1197536549561317E-3</v>
      </c>
      <c r="O62" s="21">
        <f t="shared" si="25"/>
        <v>1.659236478390683E-2</v>
      </c>
      <c r="P62" s="24">
        <f t="shared" si="26"/>
        <v>1225.4070912813513</v>
      </c>
      <c r="Q62" s="24">
        <f t="shared" si="27"/>
        <v>20.332401467326395</v>
      </c>
      <c r="R62" s="10">
        <v>1000</v>
      </c>
      <c r="S62" s="10">
        <v>1000</v>
      </c>
      <c r="T62" s="10">
        <v>19</v>
      </c>
      <c r="U62" s="18">
        <v>58610</v>
      </c>
      <c r="V62" s="18">
        <v>58610</v>
      </c>
    </row>
    <row r="63" spans="1:22">
      <c r="A63" s="117">
        <v>56</v>
      </c>
      <c r="B63" s="19" t="s">
        <v>85</v>
      </c>
      <c r="C63" s="19" t="s">
        <v>46</v>
      </c>
      <c r="D63" s="10">
        <v>2352014092522.1699</v>
      </c>
      <c r="E63" s="10">
        <v>35063940217.870003</v>
      </c>
      <c r="F63" s="10">
        <v>0</v>
      </c>
      <c r="G63" s="10">
        <v>3821645050.6500001</v>
      </c>
      <c r="H63" s="12">
        <f t="shared" si="21"/>
        <v>31242295167.220001</v>
      </c>
      <c r="I63" s="45">
        <v>2233745973984.7598</v>
      </c>
      <c r="J63" s="13">
        <f t="shared" si="14"/>
        <v>0.49795429518687884</v>
      </c>
      <c r="K63" s="45">
        <v>2355275408027.8701</v>
      </c>
      <c r="L63" s="13">
        <f t="shared" si="22"/>
        <v>0.48775308343426521</v>
      </c>
      <c r="M63" s="13">
        <f t="shared" si="23"/>
        <v>5.4406112180390445E-2</v>
      </c>
      <c r="N63" s="20">
        <f t="shared" si="24"/>
        <v>1.6225894592301446E-3</v>
      </c>
      <c r="O63" s="21">
        <f t="shared" si="25"/>
        <v>1.3264816106316815E-2</v>
      </c>
      <c r="P63" s="24">
        <f t="shared" si="26"/>
        <v>1</v>
      </c>
      <c r="Q63" s="24">
        <f t="shared" si="27"/>
        <v>1.3264816106316815E-2</v>
      </c>
      <c r="R63" s="10">
        <v>100</v>
      </c>
      <c r="S63" s="10">
        <v>100</v>
      </c>
      <c r="T63" s="10">
        <v>266825</v>
      </c>
      <c r="U63" s="18">
        <v>2233745973984.7598</v>
      </c>
      <c r="V63" s="18">
        <v>2355275408027.8701</v>
      </c>
    </row>
    <row r="64" spans="1:22">
      <c r="A64" s="117">
        <v>57</v>
      </c>
      <c r="B64" s="19" t="s">
        <v>297</v>
      </c>
      <c r="C64" s="19" t="s">
        <v>298</v>
      </c>
      <c r="D64" s="10">
        <v>3238404297.3899999</v>
      </c>
      <c r="E64" s="10">
        <v>324229763.05000001</v>
      </c>
      <c r="F64" s="10">
        <v>0</v>
      </c>
      <c r="G64" s="10">
        <v>60253107.759999998</v>
      </c>
      <c r="H64" s="12">
        <f t="shared" si="21"/>
        <v>263976655.29000002</v>
      </c>
      <c r="I64" s="45">
        <v>6980231554.0679998</v>
      </c>
      <c r="J64" s="13">
        <f t="shared" si="14"/>
        <v>1.5560571005961924E-3</v>
      </c>
      <c r="K64" s="45">
        <v>7506009493.1199999</v>
      </c>
      <c r="L64" s="13">
        <f t="shared" si="22"/>
        <v>1.554416635132134E-3</v>
      </c>
      <c r="M64" s="13">
        <f t="shared" si="23"/>
        <v>7.5323853511074804E-2</v>
      </c>
      <c r="N64" s="20">
        <f t="shared" si="24"/>
        <v>8.0273156882132816E-3</v>
      </c>
      <c r="O64" s="21">
        <f t="shared" si="25"/>
        <v>3.51687078909187E-2</v>
      </c>
      <c r="P64" s="24">
        <f t="shared" si="26"/>
        <v>99.92137812255298</v>
      </c>
      <c r="Q64" s="24">
        <f t="shared" si="27"/>
        <v>3.5141057592501004</v>
      </c>
      <c r="R64" s="10">
        <v>100</v>
      </c>
      <c r="S64" s="10">
        <v>100</v>
      </c>
      <c r="T64" s="10">
        <v>867</v>
      </c>
      <c r="U64" s="18">
        <v>69802315.540700004</v>
      </c>
      <c r="V64" s="18">
        <v>75119155.021200001</v>
      </c>
    </row>
    <row r="65" spans="1:23">
      <c r="A65" s="117">
        <v>58</v>
      </c>
      <c r="B65" s="19" t="s">
        <v>86</v>
      </c>
      <c r="C65" s="19" t="s">
        <v>87</v>
      </c>
      <c r="D65" s="10">
        <v>11765340058.889999</v>
      </c>
      <c r="E65" s="10">
        <v>203159187.84999999</v>
      </c>
      <c r="F65" s="10">
        <v>0</v>
      </c>
      <c r="G65" s="10">
        <v>16658783.59</v>
      </c>
      <c r="H65" s="12">
        <f t="shared" si="21"/>
        <v>186500404.25999999</v>
      </c>
      <c r="I65" s="45">
        <v>9441518394.0799999</v>
      </c>
      <c r="J65" s="13">
        <f t="shared" si="14"/>
        <v>2.1047355841591927E-3</v>
      </c>
      <c r="K65" s="45">
        <v>11787926281.620001</v>
      </c>
      <c r="L65" s="13">
        <f t="shared" si="22"/>
        <v>2.4411571451723544E-3</v>
      </c>
      <c r="M65" s="13">
        <f t="shared" si="23"/>
        <v>0.24852018389449312</v>
      </c>
      <c r="N65" s="20">
        <f t="shared" si="24"/>
        <v>1.4132073099214022E-3</v>
      </c>
      <c r="O65" s="21">
        <f t="shared" si="25"/>
        <v>1.5821307310921649E-2</v>
      </c>
      <c r="P65" s="24">
        <f t="shared" si="26"/>
        <v>1.034119938471026</v>
      </c>
      <c r="Q65" s="24">
        <f t="shared" si="27"/>
        <v>1.636112934290149E-2</v>
      </c>
      <c r="R65" s="10">
        <v>1</v>
      </c>
      <c r="S65" s="10">
        <v>1</v>
      </c>
      <c r="T65" s="10">
        <v>627</v>
      </c>
      <c r="U65" s="18">
        <v>9197250572.5799999</v>
      </c>
      <c r="V65" s="18">
        <v>11398993330.549999</v>
      </c>
    </row>
    <row r="66" spans="1:23">
      <c r="A66" s="118">
        <v>59</v>
      </c>
      <c r="B66" s="19" t="s">
        <v>88</v>
      </c>
      <c r="C66" s="19" t="s">
        <v>50</v>
      </c>
      <c r="D66" s="10">
        <v>75123626251</v>
      </c>
      <c r="E66" s="10">
        <v>3235844457</v>
      </c>
      <c r="F66" s="10">
        <v>0</v>
      </c>
      <c r="G66" s="10">
        <v>322227086</v>
      </c>
      <c r="H66" s="12">
        <f t="shared" si="21"/>
        <v>2913617371</v>
      </c>
      <c r="I66" s="45">
        <v>208803251177</v>
      </c>
      <c r="J66" s="13">
        <f t="shared" si="14"/>
        <v>4.6547135163759343E-2</v>
      </c>
      <c r="K66" s="45">
        <v>214531386868</v>
      </c>
      <c r="L66" s="13">
        <f t="shared" si="22"/>
        <v>4.4427222855399524E-2</v>
      </c>
      <c r="M66" s="13">
        <f t="shared" si="23"/>
        <v>2.7433172897027014E-2</v>
      </c>
      <c r="N66" s="20">
        <f t="shared" si="24"/>
        <v>1.5020043952741729E-3</v>
      </c>
      <c r="O66" s="21">
        <f t="shared" si="25"/>
        <v>1.3581310471799323E-2</v>
      </c>
      <c r="P66" s="24">
        <f t="shared" si="26"/>
        <v>1.0279650000499543</v>
      </c>
      <c r="Q66" s="24">
        <f t="shared" si="27"/>
        <v>1.3961111819821636E-2</v>
      </c>
      <c r="R66" s="10">
        <v>1</v>
      </c>
      <c r="S66" s="10">
        <v>1</v>
      </c>
      <c r="T66" s="10">
        <v>18300</v>
      </c>
      <c r="U66" s="18">
        <v>204450113809.12</v>
      </c>
      <c r="V66" s="18">
        <v>208695224893.42999</v>
      </c>
    </row>
    <row r="67" spans="1:23">
      <c r="A67" s="117">
        <v>60</v>
      </c>
      <c r="B67" s="115" t="s">
        <v>89</v>
      </c>
      <c r="C67" s="19" t="s">
        <v>90</v>
      </c>
      <c r="D67" s="10">
        <v>1033459785.25</v>
      </c>
      <c r="E67" s="10">
        <v>33840339.859999999</v>
      </c>
      <c r="F67" s="10">
        <v>0</v>
      </c>
      <c r="G67" s="10">
        <v>9906468.4900000002</v>
      </c>
      <c r="H67" s="12">
        <f t="shared" si="21"/>
        <v>23933871.369999997</v>
      </c>
      <c r="I67" s="45">
        <v>2434376774.1100001</v>
      </c>
      <c r="J67" s="13">
        <f t="shared" si="14"/>
        <v>5.4267959960048863E-4</v>
      </c>
      <c r="K67" s="45">
        <v>2481624498.9200001</v>
      </c>
      <c r="L67" s="13">
        <f t="shared" si="22"/>
        <v>5.1391866834280659E-4</v>
      </c>
      <c r="M67" s="13">
        <f t="shared" si="23"/>
        <v>1.9408550604198709E-2</v>
      </c>
      <c r="N67" s="20">
        <f t="shared" si="24"/>
        <v>3.9919288733292584E-3</v>
      </c>
      <c r="O67" s="21">
        <f t="shared" si="25"/>
        <v>9.6444370936924536E-3</v>
      </c>
      <c r="P67" s="24">
        <f t="shared" si="26"/>
        <v>1.0357188500878081</v>
      </c>
      <c r="Q67" s="24">
        <f t="shared" si="27"/>
        <v>9.9889252964233486E-3</v>
      </c>
      <c r="R67" s="10">
        <v>1</v>
      </c>
      <c r="S67" s="10">
        <v>1</v>
      </c>
      <c r="T67" s="10">
        <v>153</v>
      </c>
      <c r="U67" s="18">
        <v>2372726827.5900002</v>
      </c>
      <c r="V67" s="18">
        <v>2396040681.0300002</v>
      </c>
    </row>
    <row r="68" spans="1:23">
      <c r="A68" s="117">
        <v>61</v>
      </c>
      <c r="B68" s="19" t="s">
        <v>91</v>
      </c>
      <c r="C68" s="19" t="s">
        <v>92</v>
      </c>
      <c r="D68" s="10">
        <v>8415494886.6599998</v>
      </c>
      <c r="E68" s="10">
        <v>122468864.54000001</v>
      </c>
      <c r="F68" s="10">
        <v>0</v>
      </c>
      <c r="G68" s="10">
        <v>12673982.15</v>
      </c>
      <c r="H68" s="12">
        <f t="shared" si="21"/>
        <v>109794882.39</v>
      </c>
      <c r="I68" s="45">
        <v>8057236096.1800003</v>
      </c>
      <c r="J68" s="13">
        <f t="shared" si="14"/>
        <v>1.7961466380487206E-3</v>
      </c>
      <c r="K68" s="45">
        <v>8405395936.9499998</v>
      </c>
      <c r="L68" s="13">
        <f t="shared" si="22"/>
        <v>1.7406702297995949E-3</v>
      </c>
      <c r="M68" s="13">
        <f t="shared" si="23"/>
        <v>4.3210827709897301E-2</v>
      </c>
      <c r="N68" s="20">
        <f t="shared" si="24"/>
        <v>1.5078388032008531E-3</v>
      </c>
      <c r="O68" s="21">
        <f t="shared" si="25"/>
        <v>1.3062428375008877E-2</v>
      </c>
      <c r="P68" s="24">
        <f t="shared" si="26"/>
        <v>1.0371802894273163</v>
      </c>
      <c r="Q68" s="24">
        <f t="shared" si="27"/>
        <v>1.3548093242615297E-2</v>
      </c>
      <c r="R68" s="10">
        <v>1</v>
      </c>
      <c r="S68" s="10">
        <v>1</v>
      </c>
      <c r="T68" s="10">
        <v>547</v>
      </c>
      <c r="U68" s="18">
        <v>7862591001.7299995</v>
      </c>
      <c r="V68" s="18">
        <v>8104083757.3100004</v>
      </c>
    </row>
    <row r="69" spans="1:23">
      <c r="A69" s="117">
        <v>62</v>
      </c>
      <c r="B69" s="91" t="s">
        <v>293</v>
      </c>
      <c r="C69" s="91" t="s">
        <v>291</v>
      </c>
      <c r="D69" s="10">
        <v>4075322813.48</v>
      </c>
      <c r="E69" s="10">
        <v>177765472.88</v>
      </c>
      <c r="F69" s="10"/>
      <c r="G69" s="10">
        <v>18656045.260000002</v>
      </c>
      <c r="H69" s="12">
        <f t="shared" si="21"/>
        <v>159109427.62</v>
      </c>
      <c r="I69" s="45">
        <v>8748163117.8500004</v>
      </c>
      <c r="J69" s="13">
        <f t="shared" si="14"/>
        <v>1.9501704536966148E-3</v>
      </c>
      <c r="K69" s="45">
        <v>10333920221.57</v>
      </c>
      <c r="L69" s="13">
        <f t="shared" si="22"/>
        <v>2.1400475863053844E-3</v>
      </c>
      <c r="M69" s="13">
        <f t="shared" si="23"/>
        <v>0.18126743664442829</v>
      </c>
      <c r="N69" s="20">
        <f t="shared" si="24"/>
        <v>1.8053212004732941E-3</v>
      </c>
      <c r="O69" s="21">
        <f t="shared" si="25"/>
        <v>1.5396812072139939E-2</v>
      </c>
      <c r="P69" s="24">
        <f t="shared" si="26"/>
        <v>1.0003403595137286</v>
      </c>
      <c r="Q69" s="24">
        <f t="shared" si="27"/>
        <v>1.5402052523609785E-2</v>
      </c>
      <c r="R69" s="10">
        <v>1</v>
      </c>
      <c r="S69" s="10">
        <v>1</v>
      </c>
      <c r="T69" s="10">
        <v>3813</v>
      </c>
      <c r="U69" s="18">
        <v>8740419496.75</v>
      </c>
      <c r="V69" s="18">
        <v>10330404170.23</v>
      </c>
    </row>
    <row r="70" spans="1:23">
      <c r="A70" s="117">
        <v>63</v>
      </c>
      <c r="B70" s="19" t="s">
        <v>93</v>
      </c>
      <c r="C70" s="19" t="s">
        <v>94</v>
      </c>
      <c r="D70" s="10">
        <v>124086232848.14999</v>
      </c>
      <c r="E70" s="10">
        <v>1981406654.6800001</v>
      </c>
      <c r="F70" s="10">
        <v>0</v>
      </c>
      <c r="G70" s="10">
        <v>149871056.03</v>
      </c>
      <c r="H70" s="12">
        <f t="shared" si="21"/>
        <v>1831535598.6500001</v>
      </c>
      <c r="I70" s="45">
        <v>122196345775.55</v>
      </c>
      <c r="J70" s="13">
        <f t="shared" si="14"/>
        <v>2.7240427489849971E-2</v>
      </c>
      <c r="K70" s="45">
        <v>129061292243.98</v>
      </c>
      <c r="L70" s="13">
        <f t="shared" si="22"/>
        <v>2.6727253649169495E-2</v>
      </c>
      <c r="M70" s="13">
        <f t="shared" si="23"/>
        <v>5.6179637982297054E-2</v>
      </c>
      <c r="N70" s="20">
        <f t="shared" si="24"/>
        <v>1.1612393880783467E-3</v>
      </c>
      <c r="O70" s="21">
        <f t="shared" si="25"/>
        <v>1.4191207656495716E-2</v>
      </c>
      <c r="P70" s="24">
        <f t="shared" si="26"/>
        <v>1.0393721671807774</v>
      </c>
      <c r="Q70" s="24">
        <f t="shared" si="27"/>
        <v>1.4749946256844393E-2</v>
      </c>
      <c r="R70" s="10">
        <v>1</v>
      </c>
      <c r="S70" s="10">
        <v>1</v>
      </c>
      <c r="T70" s="10">
        <v>7007</v>
      </c>
      <c r="U70" s="18">
        <v>118682153392.08</v>
      </c>
      <c r="V70" s="18">
        <v>124172357428.09</v>
      </c>
    </row>
    <row r="71" spans="1:23" ht="15" customHeight="1">
      <c r="A71" s="147" t="s">
        <v>51</v>
      </c>
      <c r="B71" s="147"/>
      <c r="C71" s="147"/>
      <c r="D71" s="147"/>
      <c r="E71" s="147"/>
      <c r="F71" s="147"/>
      <c r="G71" s="147"/>
      <c r="H71" s="147"/>
      <c r="I71" s="26">
        <f>SUM(I28:I70)</f>
        <v>4485845378934.7275</v>
      </c>
      <c r="J71" s="35">
        <f>(I71/$I$239)</f>
        <v>0.60848070651556174</v>
      </c>
      <c r="K71" s="37">
        <f>SUM(K28:K70)</f>
        <v>4828827306317.3613</v>
      </c>
      <c r="L71" s="35">
        <f>(K71/$K$239)</f>
        <v>0.61909629288327461</v>
      </c>
      <c r="M71" s="35">
        <f t="shared" si="16"/>
        <v>7.6458704750114043E-2</v>
      </c>
      <c r="N71" s="20"/>
      <c r="O71" s="20"/>
      <c r="P71" s="38"/>
      <c r="Q71" s="38"/>
      <c r="R71" s="37"/>
      <c r="S71" s="37"/>
      <c r="T71" s="37">
        <f>SUM(T28:T70)</f>
        <v>553638</v>
      </c>
      <c r="U71" s="37"/>
      <c r="V71" s="37"/>
    </row>
    <row r="72" spans="1:23" ht="6" customHeight="1">
      <c r="A72" s="164"/>
      <c r="B72" s="164"/>
      <c r="C72" s="164"/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  <c r="W72" s="5"/>
    </row>
    <row r="73" spans="1:23" ht="12.75" customHeight="1">
      <c r="A73" s="154" t="s">
        <v>95</v>
      </c>
      <c r="B73" s="155"/>
      <c r="C73" s="155"/>
      <c r="D73" s="155"/>
      <c r="E73" s="155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6"/>
    </row>
    <row r="74" spans="1:23">
      <c r="A74" s="114">
        <v>64</v>
      </c>
      <c r="B74" s="19" t="s">
        <v>96</v>
      </c>
      <c r="C74" s="19" t="s">
        <v>24</v>
      </c>
      <c r="D74" s="10">
        <v>719268239.71000004</v>
      </c>
      <c r="E74" s="10">
        <v>10285676.27</v>
      </c>
      <c r="F74" s="10">
        <v>0</v>
      </c>
      <c r="G74" s="10">
        <v>1005990.49</v>
      </c>
      <c r="H74" s="12">
        <f t="shared" ref="H74:H112" si="30">(E74+F74)-G74</f>
        <v>9279685.7799999993</v>
      </c>
      <c r="I74" s="10">
        <v>747800881.59000003</v>
      </c>
      <c r="J74" s="13">
        <f t="shared" ref="J74:J112" si="31">(I74/$I$113)</f>
        <v>3.0981148118759227E-3</v>
      </c>
      <c r="K74" s="10">
        <v>721652145.17999995</v>
      </c>
      <c r="L74" s="13">
        <f t="shared" ref="L74" si="32">(K74/$K$113)</f>
        <v>3.0152616556980466E-3</v>
      </c>
      <c r="M74" s="13">
        <f t="shared" ref="M74:M113" si="33">((K74-I74)/I74)</f>
        <v>-3.4967512146283831E-2</v>
      </c>
      <c r="N74" s="20">
        <f t="shared" ref="N74" si="34">(G74/K74)</f>
        <v>1.3940102537200636E-3</v>
      </c>
      <c r="O74" s="21">
        <f t="shared" ref="O74" si="35">H74/K74</f>
        <v>1.2858945742737852E-2</v>
      </c>
      <c r="P74" s="24">
        <f t="shared" ref="P74" si="36">K74/V74</f>
        <v>1.6779314867207211</v>
      </c>
      <c r="Q74" s="24">
        <f t="shared" ref="Q74" si="37">H74/V74</f>
        <v>2.1576429947773212E-2</v>
      </c>
      <c r="R74" s="10">
        <v>1.63</v>
      </c>
      <c r="S74" s="10">
        <v>1.63</v>
      </c>
      <c r="T74" s="17">
        <v>417</v>
      </c>
      <c r="U74" s="10">
        <v>420971684.73000002</v>
      </c>
      <c r="V74" s="10">
        <v>430084393.13</v>
      </c>
    </row>
    <row r="75" spans="1:23" ht="13.2" customHeight="1">
      <c r="A75" s="108">
        <v>65</v>
      </c>
      <c r="B75" s="19" t="s">
        <v>97</v>
      </c>
      <c r="C75" s="96" t="s">
        <v>26</v>
      </c>
      <c r="D75" s="10">
        <v>1151964948.26</v>
      </c>
      <c r="E75" s="10">
        <v>17243083.41</v>
      </c>
      <c r="F75" s="10">
        <v>10080794.640000001</v>
      </c>
      <c r="G75" s="10">
        <v>207484.08</v>
      </c>
      <c r="H75" s="12">
        <f t="shared" si="30"/>
        <v>27116393.970000003</v>
      </c>
      <c r="I75" s="10">
        <v>1355032225</v>
      </c>
      <c r="J75" s="13">
        <f t="shared" si="31"/>
        <v>5.613854583743816E-3</v>
      </c>
      <c r="K75" s="10">
        <v>1376493993</v>
      </c>
      <c r="L75" s="13">
        <f t="shared" ref="L75:L112" si="38">(K75/$K$113)</f>
        <v>5.7513714663126915E-3</v>
      </c>
      <c r="M75" s="13">
        <f t="shared" ref="M75:M112" si="39">((K75-I75)/I75)</f>
        <v>1.5838566496084623E-2</v>
      </c>
      <c r="N75" s="20">
        <f t="shared" ref="N75:N112" si="40">(G75/K75)</f>
        <v>1.5073373444064131E-4</v>
      </c>
      <c r="O75" s="21">
        <f t="shared" ref="O75:O112" si="41">H75/K75</f>
        <v>1.9699609375629149E-2</v>
      </c>
      <c r="P75" s="24">
        <f t="shared" ref="P75:P112" si="42">K75/V75</f>
        <v>1.3292146686297259</v>
      </c>
      <c r="Q75" s="24">
        <f t="shared" ref="Q75:Q112" si="43">H75/V75</f>
        <v>2.6185009748361941E-2</v>
      </c>
      <c r="R75" s="10">
        <v>1.3291999999999999</v>
      </c>
      <c r="S75" s="10">
        <v>1.3291999999999999</v>
      </c>
      <c r="T75" s="17">
        <v>1475</v>
      </c>
      <c r="U75" s="10">
        <v>1024640840</v>
      </c>
      <c r="V75" s="10">
        <v>1035569367</v>
      </c>
    </row>
    <row r="76" spans="1:23" ht="15" customHeight="1">
      <c r="A76" s="117">
        <v>66</v>
      </c>
      <c r="B76" s="19" t="s">
        <v>98</v>
      </c>
      <c r="C76" s="19" t="s">
        <v>99</v>
      </c>
      <c r="D76" s="10">
        <v>687336920.38999999</v>
      </c>
      <c r="E76" s="10">
        <v>10105922.470000001</v>
      </c>
      <c r="F76" s="10">
        <v>0</v>
      </c>
      <c r="G76" s="10">
        <v>2831107.07</v>
      </c>
      <c r="H76" s="12">
        <f t="shared" si="30"/>
        <v>7274815.4000000004</v>
      </c>
      <c r="I76" s="10">
        <v>824259572</v>
      </c>
      <c r="J76" s="13">
        <f t="shared" si="31"/>
        <v>3.4148806877762009E-3</v>
      </c>
      <c r="K76" s="10">
        <v>816942859</v>
      </c>
      <c r="L76" s="13">
        <f t="shared" si="38"/>
        <v>3.4134125341297528E-3</v>
      </c>
      <c r="M76" s="13">
        <f t="shared" si="39"/>
        <v>-8.8767097751095338E-3</v>
      </c>
      <c r="N76" s="20">
        <f t="shared" si="40"/>
        <v>3.4654897081363677E-3</v>
      </c>
      <c r="O76" s="21">
        <f t="shared" si="41"/>
        <v>8.9049256258937441E-3</v>
      </c>
      <c r="P76" s="24">
        <f t="shared" si="42"/>
        <v>1.1821041834312858</v>
      </c>
      <c r="Q76" s="24">
        <f t="shared" si="43"/>
        <v>1.0526549835513457E-2</v>
      </c>
      <c r="R76" s="10">
        <v>1.1820999999999999</v>
      </c>
      <c r="S76" s="10">
        <v>1.1820999999999999</v>
      </c>
      <c r="T76" s="17">
        <v>569</v>
      </c>
      <c r="U76" s="10">
        <v>686888046</v>
      </c>
      <c r="V76" s="10">
        <v>691092097</v>
      </c>
    </row>
    <row r="77" spans="1:23">
      <c r="A77" s="117">
        <v>67</v>
      </c>
      <c r="B77" s="19" t="s">
        <v>100</v>
      </c>
      <c r="C77" s="96" t="s">
        <v>101</v>
      </c>
      <c r="D77" s="10">
        <v>260893722.69</v>
      </c>
      <c r="E77" s="10">
        <v>4291471.09</v>
      </c>
      <c r="F77" s="10">
        <v>0</v>
      </c>
      <c r="G77" s="10">
        <v>527507.04</v>
      </c>
      <c r="H77" s="12">
        <f t="shared" si="30"/>
        <v>3763964.05</v>
      </c>
      <c r="I77" s="10">
        <v>324423747.11000001</v>
      </c>
      <c r="J77" s="13">
        <f t="shared" si="31"/>
        <v>1.3440770678267951E-3</v>
      </c>
      <c r="K77" s="10">
        <v>310232977.33999997</v>
      </c>
      <c r="L77" s="13">
        <f t="shared" si="38"/>
        <v>1.2962389250197822E-3</v>
      </c>
      <c r="M77" s="13">
        <f t="shared" si="39"/>
        <v>-4.374146435460681E-2</v>
      </c>
      <c r="N77" s="20">
        <f t="shared" si="40"/>
        <v>1.700357726386639E-3</v>
      </c>
      <c r="O77" s="21">
        <f t="shared" si="41"/>
        <v>1.2132701308136181E-2</v>
      </c>
      <c r="P77" s="24">
        <f t="shared" si="42"/>
        <v>1205.4155457208799</v>
      </c>
      <c r="Q77" s="24">
        <f t="shared" si="43"/>
        <v>14.624946768415407</v>
      </c>
      <c r="R77" s="10">
        <v>1266.3399999999999</v>
      </c>
      <c r="S77" s="10">
        <v>1266.3399999999999</v>
      </c>
      <c r="T77" s="17">
        <v>98</v>
      </c>
      <c r="U77" s="10">
        <v>257446</v>
      </c>
      <c r="V77" s="10">
        <v>257366</v>
      </c>
    </row>
    <row r="78" spans="1:23">
      <c r="A78" s="117">
        <v>68</v>
      </c>
      <c r="B78" s="19" t="s">
        <v>102</v>
      </c>
      <c r="C78" s="96" t="s">
        <v>103</v>
      </c>
      <c r="D78" s="10">
        <v>2026527301.6500001</v>
      </c>
      <c r="E78" s="10">
        <v>118353368.90000001</v>
      </c>
      <c r="F78" s="10">
        <v>0</v>
      </c>
      <c r="G78" s="10">
        <v>2857015.91</v>
      </c>
      <c r="H78" s="12">
        <f t="shared" si="30"/>
        <v>115496352.99000001</v>
      </c>
      <c r="I78" s="10">
        <v>1971546180.2</v>
      </c>
      <c r="J78" s="13">
        <f t="shared" si="31"/>
        <v>8.1680519153545447E-3</v>
      </c>
      <c r="K78" s="10">
        <v>2011979368.8699999</v>
      </c>
      <c r="L78" s="13">
        <f t="shared" si="38"/>
        <v>8.4066045996386233E-3</v>
      </c>
      <c r="M78" s="13">
        <f t="shared" si="39"/>
        <v>2.0508364995994243E-2</v>
      </c>
      <c r="N78" s="20">
        <f t="shared" si="40"/>
        <v>1.4200025876033725E-3</v>
      </c>
      <c r="O78" s="21">
        <f t="shared" si="41"/>
        <v>5.740434259764151E-2</v>
      </c>
      <c r="P78" s="24">
        <f t="shared" si="42"/>
        <v>1.1482543603339657</v>
      </c>
      <c r="Q78" s="24">
        <f t="shared" si="43"/>
        <v>6.5914786689846669E-2</v>
      </c>
      <c r="R78" s="10">
        <v>1.1616</v>
      </c>
      <c r="S78" s="10">
        <v>1.1616</v>
      </c>
      <c r="T78" s="17">
        <v>1001</v>
      </c>
      <c r="U78" s="10">
        <v>1841481369.3499999</v>
      </c>
      <c r="V78" s="10">
        <v>1752207035.6300001</v>
      </c>
    </row>
    <row r="79" spans="1:23">
      <c r="A79" s="117">
        <v>69</v>
      </c>
      <c r="B79" s="19" t="s">
        <v>104</v>
      </c>
      <c r="C79" s="19" t="s">
        <v>105</v>
      </c>
      <c r="D79" s="10">
        <v>499880491.01999998</v>
      </c>
      <c r="E79" s="10">
        <v>6795960.2400000002</v>
      </c>
      <c r="F79" s="10">
        <v>0</v>
      </c>
      <c r="G79" s="10">
        <v>925224.71</v>
      </c>
      <c r="H79" s="12">
        <f t="shared" si="30"/>
        <v>5870735.5300000003</v>
      </c>
      <c r="I79" s="10">
        <v>476095540.73000002</v>
      </c>
      <c r="J79" s="13">
        <f t="shared" si="31"/>
        <v>1.9724483922344362E-3</v>
      </c>
      <c r="K79" s="10">
        <v>482216276.25999999</v>
      </c>
      <c r="L79" s="13">
        <f t="shared" si="38"/>
        <v>2.0148325717200002E-3</v>
      </c>
      <c r="M79" s="13">
        <f t="shared" si="39"/>
        <v>1.2856107664052078E-2</v>
      </c>
      <c r="N79" s="20">
        <f t="shared" si="40"/>
        <v>1.9186924115791146E-3</v>
      </c>
      <c r="O79" s="21">
        <f t="shared" si="41"/>
        <v>1.2174486468048279E-2</v>
      </c>
      <c r="P79" s="24">
        <f t="shared" si="42"/>
        <v>2.7472614142649969</v>
      </c>
      <c r="Q79" s="24">
        <f t="shared" si="43"/>
        <v>3.3446496912160381E-2</v>
      </c>
      <c r="R79" s="10">
        <v>2.74</v>
      </c>
      <c r="S79" s="10">
        <v>2.74</v>
      </c>
      <c r="T79" s="17">
        <v>1390</v>
      </c>
      <c r="U79" s="10">
        <v>175434420.81</v>
      </c>
      <c r="V79" s="10">
        <v>175526170.81</v>
      </c>
    </row>
    <row r="80" spans="1:23">
      <c r="A80" s="117">
        <v>70</v>
      </c>
      <c r="B80" s="19" t="s">
        <v>308</v>
      </c>
      <c r="C80" s="19" t="s">
        <v>309</v>
      </c>
      <c r="D80" s="10">
        <v>1102185264.4200001</v>
      </c>
      <c r="E80" s="10">
        <v>24407745.43</v>
      </c>
      <c r="F80" s="10">
        <v>0</v>
      </c>
      <c r="G80" s="10">
        <v>4267525.84</v>
      </c>
      <c r="H80" s="12">
        <f t="shared" ref="H80" si="44">(E80+F80)-G80</f>
        <v>20140219.59</v>
      </c>
      <c r="I80" s="10">
        <v>1106275959.0699999</v>
      </c>
      <c r="J80" s="13">
        <f t="shared" si="31"/>
        <v>4.5832654376250755E-3</v>
      </c>
      <c r="K80" s="10">
        <v>1145930542.8399999</v>
      </c>
      <c r="L80" s="13">
        <f t="shared" si="38"/>
        <v>4.7880137944533614E-3</v>
      </c>
      <c r="M80" s="13">
        <f t="shared" si="39"/>
        <v>3.5845110295387721E-2</v>
      </c>
      <c r="N80" s="20">
        <f t="shared" si="40"/>
        <v>3.7240702472452133E-3</v>
      </c>
      <c r="O80" s="21">
        <f t="shared" si="41"/>
        <v>1.7575427861522729E-2</v>
      </c>
      <c r="P80" s="24">
        <f t="shared" si="42"/>
        <v>1119.0115997953237</v>
      </c>
      <c r="Q80" s="24">
        <f t="shared" si="43"/>
        <v>19.667107648409853</v>
      </c>
      <c r="R80" s="10">
        <v>1119.01</v>
      </c>
      <c r="S80" s="10">
        <v>1119.01</v>
      </c>
      <c r="T80" s="17">
        <v>249</v>
      </c>
      <c r="U80" s="10">
        <v>1006312</v>
      </c>
      <c r="V80" s="10">
        <v>1024056</v>
      </c>
    </row>
    <row r="81" spans="1:24">
      <c r="A81" s="117">
        <v>71</v>
      </c>
      <c r="B81" s="91" t="s">
        <v>245</v>
      </c>
      <c r="C81" s="92" t="s">
        <v>214</v>
      </c>
      <c r="D81" s="10">
        <v>236805835.33000001</v>
      </c>
      <c r="E81" s="10">
        <v>12020053.449999999</v>
      </c>
      <c r="F81" s="10">
        <v>0</v>
      </c>
      <c r="G81" s="10">
        <v>497213.17</v>
      </c>
      <c r="H81" s="12">
        <f t="shared" si="30"/>
        <v>11522840.279999999</v>
      </c>
      <c r="I81" s="10">
        <v>233418855.75</v>
      </c>
      <c r="J81" s="13">
        <f t="shared" si="31"/>
        <v>9.6704675291716692E-4</v>
      </c>
      <c r="K81" s="10">
        <v>231876309.16999999</v>
      </c>
      <c r="L81" s="13">
        <f t="shared" si="38"/>
        <v>9.6884315881953711E-4</v>
      </c>
      <c r="M81" s="13">
        <f t="shared" si="39"/>
        <v>-6.6084917392112315E-3</v>
      </c>
      <c r="N81" s="20">
        <f t="shared" si="40"/>
        <v>2.1443034511795184E-3</v>
      </c>
      <c r="O81" s="21">
        <f t="shared" si="41"/>
        <v>4.969390931417679E-2</v>
      </c>
      <c r="P81" s="24">
        <f t="shared" si="42"/>
        <v>12.606854355885556</v>
      </c>
      <c r="Q81" s="24">
        <f t="shared" si="43"/>
        <v>0.62648387709841147</v>
      </c>
      <c r="R81" s="10">
        <v>12.6069</v>
      </c>
      <c r="S81" s="10">
        <v>12.643000000000001</v>
      </c>
      <c r="T81" s="17">
        <v>46</v>
      </c>
      <c r="U81" s="10">
        <v>18374742.469999999</v>
      </c>
      <c r="V81" s="10">
        <v>18392876.02</v>
      </c>
    </row>
    <row r="82" spans="1:24">
      <c r="A82" s="117">
        <v>72</v>
      </c>
      <c r="B82" s="96" t="s">
        <v>106</v>
      </c>
      <c r="C82" s="19" t="s">
        <v>60</v>
      </c>
      <c r="D82" s="10">
        <v>1983666534.29</v>
      </c>
      <c r="E82" s="10">
        <v>24510364.670000002</v>
      </c>
      <c r="F82" s="10">
        <v>0</v>
      </c>
      <c r="G82" s="10">
        <v>3871461.89</v>
      </c>
      <c r="H82" s="12">
        <f t="shared" si="30"/>
        <v>20638902.780000001</v>
      </c>
      <c r="I82" s="10">
        <v>2101257182.1199999</v>
      </c>
      <c r="J82" s="13">
        <f t="shared" si="31"/>
        <v>8.7054403916253537E-3</v>
      </c>
      <c r="K82" s="10">
        <v>1970948154.53</v>
      </c>
      <c r="L82" s="13">
        <f t="shared" si="38"/>
        <v>8.2351648719076534E-3</v>
      </c>
      <c r="M82" s="13">
        <f t="shared" si="39"/>
        <v>-6.2014792239057842E-2</v>
      </c>
      <c r="N82" s="20">
        <f t="shared" si="40"/>
        <v>1.9642636875566136E-3</v>
      </c>
      <c r="O82" s="21">
        <f t="shared" si="41"/>
        <v>1.0471560468277075E-2</v>
      </c>
      <c r="P82" s="24">
        <f t="shared" si="42"/>
        <v>4753.0339720886104</v>
      </c>
      <c r="Q82" s="24">
        <f t="shared" si="43"/>
        <v>49.771682646501056</v>
      </c>
      <c r="R82" s="10">
        <v>4753.03</v>
      </c>
      <c r="S82" s="10">
        <v>4753.03</v>
      </c>
      <c r="T82" s="17">
        <v>1165</v>
      </c>
      <c r="U82" s="10">
        <v>446496.11</v>
      </c>
      <c r="V82" s="10">
        <v>414671.59</v>
      </c>
    </row>
    <row r="83" spans="1:24">
      <c r="A83" s="117">
        <v>73</v>
      </c>
      <c r="B83" s="19" t="s">
        <v>107</v>
      </c>
      <c r="C83" s="19" t="s">
        <v>62</v>
      </c>
      <c r="D83" s="10">
        <v>335531520.86000001</v>
      </c>
      <c r="E83" s="10">
        <v>4254177.41</v>
      </c>
      <c r="F83" s="10">
        <v>0</v>
      </c>
      <c r="G83" s="10">
        <v>1451926.68</v>
      </c>
      <c r="H83" s="12">
        <f t="shared" si="30"/>
        <v>2802250.7300000004</v>
      </c>
      <c r="I83" s="10">
        <v>348966431.35000002</v>
      </c>
      <c r="J83" s="13">
        <f t="shared" si="31"/>
        <v>1.4457566130627773E-3</v>
      </c>
      <c r="K83" s="10">
        <v>366609771.63</v>
      </c>
      <c r="L83" s="13">
        <f t="shared" si="38"/>
        <v>1.5317967172735741E-3</v>
      </c>
      <c r="M83" s="13">
        <f t="shared" si="39"/>
        <v>5.0558846625291511E-2</v>
      </c>
      <c r="N83" s="20">
        <f t="shared" si="40"/>
        <v>3.9604145670872988E-3</v>
      </c>
      <c r="O83" s="21">
        <f t="shared" si="41"/>
        <v>7.6436880488503865E-3</v>
      </c>
      <c r="P83" s="24">
        <f t="shared" si="42"/>
        <v>111.59727535482787</v>
      </c>
      <c r="Q83" s="24">
        <f t="shared" si="43"/>
        <v>0.85301475991396358</v>
      </c>
      <c r="R83" s="10">
        <v>112.03</v>
      </c>
      <c r="S83" s="10">
        <v>112.03</v>
      </c>
      <c r="T83" s="17">
        <v>97</v>
      </c>
      <c r="U83" s="10">
        <v>3147801</v>
      </c>
      <c r="V83" s="10">
        <v>3285114</v>
      </c>
      <c r="W83" s="15"/>
      <c r="X83" s="15"/>
    </row>
    <row r="84" spans="1:24">
      <c r="A84" s="117">
        <v>74</v>
      </c>
      <c r="B84" s="96" t="s">
        <v>108</v>
      </c>
      <c r="C84" s="96" t="s">
        <v>64</v>
      </c>
      <c r="D84" s="10">
        <v>639416143.04999995</v>
      </c>
      <c r="E84" s="10">
        <v>18023392.100000001</v>
      </c>
      <c r="F84" s="10">
        <v>6002592</v>
      </c>
      <c r="G84" s="10">
        <v>1561884.88</v>
      </c>
      <c r="H84" s="12">
        <f t="shared" si="30"/>
        <v>22464099.220000003</v>
      </c>
      <c r="I84" s="10">
        <v>607295416.17999995</v>
      </c>
      <c r="J84" s="13">
        <f t="shared" si="31"/>
        <v>2.516005223277034E-3</v>
      </c>
      <c r="K84" s="10">
        <v>666870367.75999999</v>
      </c>
      <c r="L84" s="13">
        <f t="shared" si="38"/>
        <v>2.7863682837476174E-3</v>
      </c>
      <c r="M84" s="13">
        <f t="shared" si="39"/>
        <v>9.8098800011924114E-2</v>
      </c>
      <c r="N84" s="20">
        <f t="shared" si="40"/>
        <v>2.3421116839339108E-3</v>
      </c>
      <c r="O84" s="21">
        <f t="shared" si="41"/>
        <v>3.3685856061435628E-2</v>
      </c>
      <c r="P84" s="24">
        <f t="shared" si="42"/>
        <v>1.5297750518294588</v>
      </c>
      <c r="Q84" s="24">
        <f t="shared" si="43"/>
        <v>5.1531782202302374E-2</v>
      </c>
      <c r="R84" s="10">
        <v>1.4935</v>
      </c>
      <c r="S84" s="10">
        <v>1.4935</v>
      </c>
      <c r="T84" s="17">
        <v>1565</v>
      </c>
      <c r="U84" s="10">
        <v>404811151.73000002</v>
      </c>
      <c r="V84" s="10">
        <v>435927077.62</v>
      </c>
    </row>
    <row r="85" spans="1:24">
      <c r="A85" s="117">
        <v>75</v>
      </c>
      <c r="B85" s="91" t="s">
        <v>257</v>
      </c>
      <c r="C85" s="92" t="s">
        <v>64</v>
      </c>
      <c r="D85" s="16">
        <v>59157737.539999999</v>
      </c>
      <c r="E85" s="10">
        <v>771184.31</v>
      </c>
      <c r="F85" s="10">
        <v>655776</v>
      </c>
      <c r="G85" s="10">
        <v>93129.83</v>
      </c>
      <c r="H85" s="12">
        <f t="shared" si="30"/>
        <v>1333830.48</v>
      </c>
      <c r="I85" s="10">
        <v>44561927.030000001</v>
      </c>
      <c r="J85" s="13">
        <f t="shared" si="31"/>
        <v>1.8461861917551292E-4</v>
      </c>
      <c r="K85" s="10">
        <v>61764052.100000001</v>
      </c>
      <c r="L85" s="13">
        <f t="shared" si="38"/>
        <v>2.5806724090207526E-4</v>
      </c>
      <c r="M85" s="13">
        <f t="shared" si="39"/>
        <v>0.38602740537722208</v>
      </c>
      <c r="N85" s="20">
        <f t="shared" si="40"/>
        <v>1.5078322557143236E-3</v>
      </c>
      <c r="O85" s="21">
        <f t="shared" si="41"/>
        <v>2.1595579218805821E-2</v>
      </c>
      <c r="P85" s="24">
        <f t="shared" si="42"/>
        <v>1.0506950864044509</v>
      </c>
      <c r="Q85" s="24">
        <f t="shared" si="43"/>
        <v>2.2690368973257345E-2</v>
      </c>
      <c r="R85" s="17">
        <v>0.98770000000000002</v>
      </c>
      <c r="S85" s="18">
        <v>0.98770000000000002</v>
      </c>
      <c r="T85" s="17">
        <v>45</v>
      </c>
      <c r="U85" s="10">
        <v>53167214.259999998</v>
      </c>
      <c r="V85" s="10">
        <v>58783992.520000003</v>
      </c>
    </row>
    <row r="86" spans="1:24">
      <c r="A86" s="117">
        <v>76</v>
      </c>
      <c r="B86" s="19" t="s">
        <v>239</v>
      </c>
      <c r="C86" s="19" t="s">
        <v>48</v>
      </c>
      <c r="D86" s="10">
        <v>204311415.37</v>
      </c>
      <c r="E86" s="10">
        <v>1477490.36</v>
      </c>
      <c r="F86" s="10">
        <v>0</v>
      </c>
      <c r="G86" s="10">
        <v>649227.02</v>
      </c>
      <c r="H86" s="12">
        <f t="shared" si="30"/>
        <v>828263.34000000008</v>
      </c>
      <c r="I86" s="10">
        <v>190466935.09</v>
      </c>
      <c r="J86" s="13">
        <f t="shared" si="31"/>
        <v>7.8909833794294621E-4</v>
      </c>
      <c r="K86" s="10">
        <v>303136196.35000002</v>
      </c>
      <c r="L86" s="13">
        <f t="shared" si="38"/>
        <v>1.2665866171302294E-3</v>
      </c>
      <c r="M86" s="13">
        <f t="shared" si="39"/>
        <v>0.59154236511844538</v>
      </c>
      <c r="N86" s="20">
        <f t="shared" si="40"/>
        <v>2.141700753051624E-3</v>
      </c>
      <c r="O86" s="21">
        <f t="shared" si="41"/>
        <v>2.7323142203832698E-3</v>
      </c>
      <c r="P86" s="24">
        <f t="shared" si="42"/>
        <v>138.63503916482139</v>
      </c>
      <c r="Q86" s="24">
        <f t="shared" si="43"/>
        <v>0.37879448895343304</v>
      </c>
      <c r="R86" s="10">
        <v>138.63999999999999</v>
      </c>
      <c r="S86" s="10">
        <v>138.63999999999999</v>
      </c>
      <c r="T86" s="17">
        <v>367</v>
      </c>
      <c r="U86" s="10">
        <v>1408669.62</v>
      </c>
      <c r="V86" s="10">
        <v>2186577.06</v>
      </c>
    </row>
    <row r="87" spans="1:24">
      <c r="A87" s="117">
        <v>77</v>
      </c>
      <c r="B87" s="19" t="s">
        <v>109</v>
      </c>
      <c r="C87" s="19" t="s">
        <v>110</v>
      </c>
      <c r="D87" s="10">
        <v>2666679272.4499998</v>
      </c>
      <c r="E87" s="10">
        <v>44133696.509999998</v>
      </c>
      <c r="F87" s="10">
        <v>0</v>
      </c>
      <c r="G87" s="10">
        <v>4389499.01</v>
      </c>
      <c r="H87" s="12">
        <f t="shared" si="30"/>
        <v>39744197.5</v>
      </c>
      <c r="I87" s="10">
        <v>2697507027.8299999</v>
      </c>
      <c r="J87" s="13">
        <f t="shared" si="31"/>
        <v>1.1175684174495999E-2</v>
      </c>
      <c r="K87" s="10">
        <v>2644899195.1900001</v>
      </c>
      <c r="L87" s="13">
        <f t="shared" si="38"/>
        <v>1.1051118159503052E-2</v>
      </c>
      <c r="M87" s="13">
        <f t="shared" si="39"/>
        <v>-1.9502389464512371E-2</v>
      </c>
      <c r="N87" s="20">
        <f t="shared" si="40"/>
        <v>1.6596091896366864E-3</v>
      </c>
      <c r="O87" s="21">
        <f t="shared" si="41"/>
        <v>1.502673431648306E-2</v>
      </c>
      <c r="P87" s="24">
        <f t="shared" si="42"/>
        <v>1267.3622099873051</v>
      </c>
      <c r="Q87" s="24">
        <f t="shared" si="43"/>
        <v>19.044315212230046</v>
      </c>
      <c r="R87" s="10">
        <v>1286.6099999999999</v>
      </c>
      <c r="S87" s="10">
        <v>1286.6099999999999</v>
      </c>
      <c r="T87" s="17">
        <v>314</v>
      </c>
      <c r="U87" s="10">
        <v>2135723.81</v>
      </c>
      <c r="V87" s="10">
        <v>2086932.35</v>
      </c>
    </row>
    <row r="88" spans="1:24">
      <c r="A88" s="117">
        <v>78</v>
      </c>
      <c r="B88" s="19" t="s">
        <v>111</v>
      </c>
      <c r="C88" s="19" t="s">
        <v>66</v>
      </c>
      <c r="D88" s="10">
        <v>158098129.41999999</v>
      </c>
      <c r="E88" s="10">
        <v>1805963.6</v>
      </c>
      <c r="F88" s="10">
        <v>0</v>
      </c>
      <c r="G88" s="10">
        <v>556225.52</v>
      </c>
      <c r="H88" s="12">
        <f t="shared" si="30"/>
        <v>1249738.08</v>
      </c>
      <c r="I88" s="10">
        <v>160990722.47</v>
      </c>
      <c r="J88" s="13">
        <f t="shared" si="31"/>
        <v>6.6697934455281168E-4</v>
      </c>
      <c r="K88" s="10">
        <v>157265576.08000001</v>
      </c>
      <c r="L88" s="13">
        <f t="shared" si="38"/>
        <v>6.5709894231244916E-4</v>
      </c>
      <c r="M88" s="13">
        <f t="shared" si="39"/>
        <v>-2.3138888582192384E-2</v>
      </c>
      <c r="N88" s="20">
        <f t="shared" si="40"/>
        <v>3.5368548786356879E-3</v>
      </c>
      <c r="O88" s="21">
        <f t="shared" si="41"/>
        <v>7.9466728266347764E-3</v>
      </c>
      <c r="P88" s="24">
        <f t="shared" si="42"/>
        <v>1175.6328059145856</v>
      </c>
      <c r="Q88" s="24">
        <f t="shared" si="43"/>
        <v>9.3423692728618324</v>
      </c>
      <c r="R88" s="10">
        <v>1102.96</v>
      </c>
      <c r="S88" s="10">
        <v>1137.43</v>
      </c>
      <c r="T88" s="17">
        <v>284</v>
      </c>
      <c r="U88" s="10">
        <v>142071</v>
      </c>
      <c r="V88" s="10">
        <v>133771</v>
      </c>
    </row>
    <row r="89" spans="1:24">
      <c r="A89" s="117">
        <v>79</v>
      </c>
      <c r="B89" s="19" t="s">
        <v>112</v>
      </c>
      <c r="C89" s="96" t="s">
        <v>69</v>
      </c>
      <c r="D89" s="10">
        <v>724527193.66999996</v>
      </c>
      <c r="E89" s="10">
        <v>14064953.869999999</v>
      </c>
      <c r="F89" s="10">
        <v>0</v>
      </c>
      <c r="G89" s="10">
        <v>1239047.04</v>
      </c>
      <c r="H89" s="12">
        <f t="shared" si="30"/>
        <v>12825906.829999998</v>
      </c>
      <c r="I89" s="10">
        <v>697462671.21000004</v>
      </c>
      <c r="J89" s="13">
        <f t="shared" si="31"/>
        <v>2.8895652380241102E-3</v>
      </c>
      <c r="K89" s="10">
        <v>723588918.46000004</v>
      </c>
      <c r="L89" s="13">
        <f t="shared" si="38"/>
        <v>3.0233540285205624E-3</v>
      </c>
      <c r="M89" s="13">
        <f t="shared" si="39"/>
        <v>3.7458990034082568E-2</v>
      </c>
      <c r="N89" s="20">
        <f t="shared" si="40"/>
        <v>1.7123632056679908E-3</v>
      </c>
      <c r="O89" s="21">
        <f t="shared" si="41"/>
        <v>1.7725405271956238E-2</v>
      </c>
      <c r="P89" s="24">
        <f t="shared" si="42"/>
        <v>1.2011285510654073</v>
      </c>
      <c r="Q89" s="24">
        <f t="shared" si="43"/>
        <v>2.1290490351351929E-2</v>
      </c>
      <c r="R89" s="10">
        <v>1.1873</v>
      </c>
      <c r="S89" s="10">
        <v>1.1873</v>
      </c>
      <c r="T89" s="17">
        <v>57</v>
      </c>
      <c r="U89" s="10">
        <v>604854375</v>
      </c>
      <c r="V89" s="10">
        <v>602424209.98000002</v>
      </c>
    </row>
    <row r="90" spans="1:24">
      <c r="A90" s="117">
        <v>80</v>
      </c>
      <c r="B90" s="19" t="s">
        <v>246</v>
      </c>
      <c r="C90" s="19" t="s">
        <v>30</v>
      </c>
      <c r="D90" s="10">
        <v>11893433455.450001</v>
      </c>
      <c r="E90" s="10">
        <v>124355091.31</v>
      </c>
      <c r="F90" s="10">
        <v>0</v>
      </c>
      <c r="G90" s="10">
        <v>13931094.01</v>
      </c>
      <c r="H90" s="12">
        <f t="shared" si="30"/>
        <v>110423997.3</v>
      </c>
      <c r="I90" s="10">
        <v>11502931267.969999</v>
      </c>
      <c r="J90" s="13">
        <f t="shared" si="31"/>
        <v>4.765627136667059E-2</v>
      </c>
      <c r="K90" s="10">
        <v>11518320997.200001</v>
      </c>
      <c r="L90" s="13">
        <f t="shared" si="38"/>
        <v>4.8126721264323331E-2</v>
      </c>
      <c r="M90" s="13">
        <f t="shared" si="39"/>
        <v>1.3378963041233037E-3</v>
      </c>
      <c r="N90" s="20">
        <f t="shared" si="40"/>
        <v>1.2094726317652131E-3</v>
      </c>
      <c r="O90" s="21">
        <f t="shared" si="41"/>
        <v>9.5868136794280238E-3</v>
      </c>
      <c r="P90" s="24">
        <f t="shared" si="42"/>
        <v>1666.2577877171429</v>
      </c>
      <c r="Q90" s="24">
        <f t="shared" si="43"/>
        <v>15.97410295274018</v>
      </c>
      <c r="R90" s="10">
        <v>1666.25</v>
      </c>
      <c r="S90" s="10">
        <v>1666.25</v>
      </c>
      <c r="T90" s="17">
        <v>2040</v>
      </c>
      <c r="U90" s="10">
        <v>6519763.7300000004</v>
      </c>
      <c r="V90" s="10">
        <v>6912688.4699999997</v>
      </c>
    </row>
    <row r="91" spans="1:24" ht="14.7" customHeight="1">
      <c r="A91" s="117">
        <v>81</v>
      </c>
      <c r="B91" s="19" t="s">
        <v>113</v>
      </c>
      <c r="C91" s="19" t="s">
        <v>75</v>
      </c>
      <c r="D91" s="10">
        <v>22965962.140000001</v>
      </c>
      <c r="E91" s="10">
        <v>316288.43</v>
      </c>
      <c r="F91" s="10">
        <v>0</v>
      </c>
      <c r="G91" s="10">
        <v>253173.1</v>
      </c>
      <c r="H91" s="12">
        <f t="shared" si="30"/>
        <v>63115.329999999987</v>
      </c>
      <c r="I91" s="10">
        <v>23629813.809999999</v>
      </c>
      <c r="J91" s="13">
        <f t="shared" si="31"/>
        <v>9.7897552635902373E-5</v>
      </c>
      <c r="K91" s="10">
        <v>23875487.890000001</v>
      </c>
      <c r="L91" s="13">
        <f t="shared" si="38"/>
        <v>9.9758371989379407E-5</v>
      </c>
      <c r="M91" s="13">
        <f t="shared" si="39"/>
        <v>1.0396784417151611E-2</v>
      </c>
      <c r="N91" s="20">
        <f t="shared" si="40"/>
        <v>1.0603892208043168E-2</v>
      </c>
      <c r="O91" s="21">
        <f t="shared" si="41"/>
        <v>2.6435200105977808E-3</v>
      </c>
      <c r="P91" s="24">
        <f t="shared" si="42"/>
        <v>0.72943750609638813</v>
      </c>
      <c r="Q91" s="24">
        <f t="shared" si="43"/>
        <v>1.9282826438463427E-3</v>
      </c>
      <c r="R91" s="10">
        <v>0.72940000000000005</v>
      </c>
      <c r="S91" s="10">
        <v>0.72940000000000005</v>
      </c>
      <c r="T91" s="17">
        <v>728</v>
      </c>
      <c r="U91" s="10">
        <v>32731368.609999999</v>
      </c>
      <c r="V91" s="10">
        <v>32731368.609999999</v>
      </c>
    </row>
    <row r="92" spans="1:24" ht="14.7" customHeight="1">
      <c r="A92" s="117">
        <v>82</v>
      </c>
      <c r="B92" s="19" t="s">
        <v>240</v>
      </c>
      <c r="C92" s="96" t="s">
        <v>36</v>
      </c>
      <c r="D92" s="10">
        <v>10640666923.91</v>
      </c>
      <c r="E92" s="10">
        <v>114780339.09</v>
      </c>
      <c r="F92" s="10">
        <v>0</v>
      </c>
      <c r="G92" s="10">
        <v>3280684.29</v>
      </c>
      <c r="H92" s="12">
        <f t="shared" si="30"/>
        <v>111499654.8</v>
      </c>
      <c r="I92" s="10">
        <v>10157395976.27</v>
      </c>
      <c r="J92" s="13">
        <f t="shared" si="31"/>
        <v>4.208176226973815E-2</v>
      </c>
      <c r="K92" s="10">
        <v>10266486325.26</v>
      </c>
      <c r="L92" s="13">
        <f t="shared" si="38"/>
        <v>4.2896210815785089E-2</v>
      </c>
      <c r="M92" s="13">
        <f t="shared" si="39"/>
        <v>1.0739991750332445E-2</v>
      </c>
      <c r="N92" s="20">
        <f t="shared" si="40"/>
        <v>3.1955278427908646E-4</v>
      </c>
      <c r="O92" s="21">
        <f t="shared" si="41"/>
        <v>1.0860546760351942E-2</v>
      </c>
      <c r="P92" s="24">
        <f t="shared" si="42"/>
        <v>1</v>
      </c>
      <c r="Q92" s="24">
        <f t="shared" si="43"/>
        <v>1.0860546760351942E-2</v>
      </c>
      <c r="R92" s="10">
        <v>1</v>
      </c>
      <c r="S92" s="10">
        <v>1</v>
      </c>
      <c r="T92" s="17">
        <v>4995</v>
      </c>
      <c r="U92" s="10">
        <v>10157395976.27</v>
      </c>
      <c r="V92" s="10">
        <v>10266486325.26</v>
      </c>
    </row>
    <row r="93" spans="1:24">
      <c r="A93" s="117">
        <v>83</v>
      </c>
      <c r="B93" s="96" t="s">
        <v>114</v>
      </c>
      <c r="C93" s="96" t="s">
        <v>115</v>
      </c>
      <c r="D93" s="10">
        <v>2006485037.05</v>
      </c>
      <c r="E93" s="10">
        <v>39277892.130000003</v>
      </c>
      <c r="F93" s="10">
        <v>0</v>
      </c>
      <c r="G93" s="10">
        <v>5987872.7599999998</v>
      </c>
      <c r="H93" s="12">
        <f t="shared" si="30"/>
        <v>33290019.370000005</v>
      </c>
      <c r="I93" s="10">
        <v>1800923936.75</v>
      </c>
      <c r="J93" s="13">
        <f t="shared" si="31"/>
        <v>7.4611694915948917E-3</v>
      </c>
      <c r="K93" s="10">
        <v>1991885326.98</v>
      </c>
      <c r="L93" s="13">
        <f t="shared" si="38"/>
        <v>8.3226461517581767E-3</v>
      </c>
      <c r="M93" s="13">
        <f t="shared" si="39"/>
        <v>0.10603523354496278</v>
      </c>
      <c r="N93" s="20">
        <f t="shared" si="40"/>
        <v>3.0061332742876931E-3</v>
      </c>
      <c r="O93" s="21">
        <f t="shared" si="41"/>
        <v>1.6712819216592512E-2</v>
      </c>
      <c r="P93" s="24">
        <f t="shared" si="42"/>
        <v>273.37820980347107</v>
      </c>
      <c r="Q93" s="24">
        <f t="shared" si="43"/>
        <v>4.5689205982011112</v>
      </c>
      <c r="R93" s="10">
        <v>275.79000000000002</v>
      </c>
      <c r="S93" s="10">
        <v>275.79000000000002</v>
      </c>
      <c r="T93" s="17">
        <v>565</v>
      </c>
      <c r="U93" s="10">
        <v>6601330.5700000003</v>
      </c>
      <c r="V93" s="10">
        <v>7286189.0800000001</v>
      </c>
    </row>
    <row r="94" spans="1:24">
      <c r="A94" s="117">
        <v>84</v>
      </c>
      <c r="B94" s="19" t="s">
        <v>116</v>
      </c>
      <c r="C94" s="96" t="s">
        <v>38</v>
      </c>
      <c r="D94" s="10">
        <v>1096917155.9200001</v>
      </c>
      <c r="E94" s="10">
        <v>15562442.449999999</v>
      </c>
      <c r="F94" s="10">
        <v>0</v>
      </c>
      <c r="G94" s="10">
        <v>1636353.29</v>
      </c>
      <c r="H94" s="12">
        <f t="shared" si="30"/>
        <v>13926089.16</v>
      </c>
      <c r="I94" s="10">
        <v>1066672533.3200001</v>
      </c>
      <c r="J94" s="13">
        <f t="shared" si="31"/>
        <v>4.4191897285188993E-3</v>
      </c>
      <c r="K94" s="10">
        <v>1083410362.27</v>
      </c>
      <c r="L94" s="13">
        <f t="shared" si="38"/>
        <v>4.5267872403037604E-3</v>
      </c>
      <c r="M94" s="13">
        <f t="shared" si="39"/>
        <v>1.5691628336865226E-2</v>
      </c>
      <c r="N94" s="20">
        <f t="shared" si="40"/>
        <v>1.5103725670220231E-3</v>
      </c>
      <c r="O94" s="21">
        <f t="shared" si="41"/>
        <v>1.285393757063719E-2</v>
      </c>
      <c r="P94" s="24">
        <f t="shared" si="42"/>
        <v>3.6134371813039508</v>
      </c>
      <c r="Q94" s="24">
        <f t="shared" si="43"/>
        <v>4.6446895943900196E-2</v>
      </c>
      <c r="R94" s="10">
        <v>3.61</v>
      </c>
      <c r="S94" s="10">
        <v>3.64</v>
      </c>
      <c r="T94" s="17">
        <v>793</v>
      </c>
      <c r="U94" s="10">
        <v>296289992</v>
      </c>
      <c r="V94" s="10">
        <v>299828199</v>
      </c>
    </row>
    <row r="95" spans="1:24">
      <c r="A95" s="117">
        <v>85</v>
      </c>
      <c r="B95" s="91" t="s">
        <v>244</v>
      </c>
      <c r="C95" s="92" t="s">
        <v>40</v>
      </c>
      <c r="D95" s="10">
        <v>675848619.90999997</v>
      </c>
      <c r="E95" s="10">
        <v>8919361.8399999999</v>
      </c>
      <c r="F95" s="10">
        <v>0</v>
      </c>
      <c r="G95" s="10">
        <v>1475300.69</v>
      </c>
      <c r="H95" s="12">
        <f t="shared" si="30"/>
        <v>7444061.1500000004</v>
      </c>
      <c r="I95" s="10">
        <v>704655648.20000005</v>
      </c>
      <c r="J95" s="13">
        <f t="shared" si="31"/>
        <v>2.9193655085276958E-3</v>
      </c>
      <c r="K95" s="10">
        <v>735362246.77999997</v>
      </c>
      <c r="L95" s="13">
        <f t="shared" si="38"/>
        <v>3.07254624069695E-3</v>
      </c>
      <c r="M95" s="13">
        <f t="shared" si="39"/>
        <v>4.3576743702314825E-2</v>
      </c>
      <c r="N95" s="20">
        <f t="shared" si="40"/>
        <v>2.0062230505577872E-3</v>
      </c>
      <c r="O95" s="21">
        <f t="shared" si="41"/>
        <v>1.0122985212520785E-2</v>
      </c>
      <c r="P95" s="24">
        <f t="shared" si="42"/>
        <v>113.33061263944585</v>
      </c>
      <c r="Q95" s="24">
        <f t="shared" si="43"/>
        <v>1.1472441158750315</v>
      </c>
      <c r="R95" s="10">
        <v>113.37</v>
      </c>
      <c r="S95" s="10">
        <v>113.37</v>
      </c>
      <c r="T95" s="17">
        <v>291</v>
      </c>
      <c r="U95" s="10">
        <v>6267780.1500000004</v>
      </c>
      <c r="V95" s="10">
        <v>6488646.1799999997</v>
      </c>
    </row>
    <row r="96" spans="1:24">
      <c r="A96" s="117">
        <v>86</v>
      </c>
      <c r="B96" s="19" t="s">
        <v>243</v>
      </c>
      <c r="C96" s="19" t="s">
        <v>44</v>
      </c>
      <c r="D96" s="10">
        <v>1076433005.2</v>
      </c>
      <c r="E96" s="10">
        <v>14467360.949999999</v>
      </c>
      <c r="F96" s="10">
        <v>0</v>
      </c>
      <c r="G96" s="10">
        <v>3037330.33</v>
      </c>
      <c r="H96" s="12">
        <f t="shared" si="30"/>
        <v>11430030.619999999</v>
      </c>
      <c r="I96" s="10">
        <v>1074410783.0799999</v>
      </c>
      <c r="J96" s="13">
        <f t="shared" si="31"/>
        <v>4.4512490464331507E-3</v>
      </c>
      <c r="K96" s="10">
        <v>1068997415.4400001</v>
      </c>
      <c r="L96" s="13">
        <f t="shared" si="38"/>
        <v>4.4665659741267251E-3</v>
      </c>
      <c r="M96" s="13">
        <f t="shared" si="39"/>
        <v>-5.038452447844421E-3</v>
      </c>
      <c r="N96" s="20">
        <f t="shared" si="40"/>
        <v>2.8412887497485978E-3</v>
      </c>
      <c r="O96" s="21">
        <f t="shared" si="41"/>
        <v>1.0692290229060462E-2</v>
      </c>
      <c r="P96" s="24">
        <f t="shared" si="42"/>
        <v>111.55076129561149</v>
      </c>
      <c r="Q96" s="24">
        <f t="shared" si="43"/>
        <v>1.1927331150453226</v>
      </c>
      <c r="R96" s="10">
        <v>111.55</v>
      </c>
      <c r="S96" s="10">
        <v>112.33</v>
      </c>
      <c r="T96" s="17">
        <v>1607</v>
      </c>
      <c r="U96" s="10">
        <v>9515318</v>
      </c>
      <c r="V96" s="10">
        <v>9583058</v>
      </c>
    </row>
    <row r="97" spans="1:22">
      <c r="A97" s="117">
        <v>87</v>
      </c>
      <c r="B97" s="19" t="s">
        <v>119</v>
      </c>
      <c r="C97" s="19" t="s">
        <v>22</v>
      </c>
      <c r="D97" s="10">
        <v>1654564941.8099999</v>
      </c>
      <c r="E97" s="10">
        <v>20618671.190000001</v>
      </c>
      <c r="F97" s="10">
        <v>70646927.359999999</v>
      </c>
      <c r="G97" s="10">
        <v>2374707.5699999998</v>
      </c>
      <c r="H97" s="12">
        <f t="shared" si="30"/>
        <v>88890890.980000004</v>
      </c>
      <c r="I97" s="10">
        <v>1620136360.9300001</v>
      </c>
      <c r="J97" s="13">
        <f t="shared" si="31"/>
        <v>6.7121724253435414E-3</v>
      </c>
      <c r="K97" s="10">
        <v>1638720787.55</v>
      </c>
      <c r="L97" s="13">
        <f t="shared" si="38"/>
        <v>6.8470273220934659E-3</v>
      </c>
      <c r="M97" s="13">
        <f t="shared" si="39"/>
        <v>1.1470902738910166E-2</v>
      </c>
      <c r="N97" s="20">
        <f t="shared" si="40"/>
        <v>1.4491227474757006E-3</v>
      </c>
      <c r="O97" s="21">
        <f t="shared" si="41"/>
        <v>5.4244073581868689E-2</v>
      </c>
      <c r="P97" s="24">
        <f t="shared" si="42"/>
        <v>390.89950073652386</v>
      </c>
      <c r="Q97" s="24">
        <f t="shared" si="43"/>
        <v>21.203981281067733</v>
      </c>
      <c r="R97" s="10">
        <v>390.9</v>
      </c>
      <c r="S97" s="10">
        <v>390.9</v>
      </c>
      <c r="T97" s="17">
        <v>90</v>
      </c>
      <c r="U97" s="10">
        <v>4175546.19</v>
      </c>
      <c r="V97" s="10">
        <v>4192179.28</v>
      </c>
    </row>
    <row r="98" spans="1:22">
      <c r="A98" s="117">
        <v>88</v>
      </c>
      <c r="B98" s="91" t="s">
        <v>247</v>
      </c>
      <c r="C98" s="92" t="s">
        <v>248</v>
      </c>
      <c r="D98" s="10">
        <v>1402344982.77</v>
      </c>
      <c r="E98" s="10">
        <v>25580021.84</v>
      </c>
      <c r="F98" s="10">
        <v>23283276.890000001</v>
      </c>
      <c r="G98" s="10">
        <v>4270679.88</v>
      </c>
      <c r="H98" s="12">
        <f t="shared" si="30"/>
        <v>44592618.850000001</v>
      </c>
      <c r="I98" s="10">
        <v>179115174.41999999</v>
      </c>
      <c r="J98" s="13">
        <f t="shared" si="31"/>
        <v>7.420683614633519E-4</v>
      </c>
      <c r="K98" s="10">
        <v>1792824075.3499999</v>
      </c>
      <c r="L98" s="13">
        <f t="shared" si="38"/>
        <v>7.4909133519817867E-3</v>
      </c>
      <c r="M98" s="13">
        <f t="shared" si="39"/>
        <v>9.0093366246350435</v>
      </c>
      <c r="N98" s="20">
        <f t="shared" si="40"/>
        <v>2.3820964581626708E-3</v>
      </c>
      <c r="O98" s="21">
        <f t="shared" si="41"/>
        <v>2.4872835803085983E-2</v>
      </c>
      <c r="P98" s="24">
        <f t="shared" si="42"/>
        <v>104.42994616349753</v>
      </c>
      <c r="Q98" s="24">
        <f t="shared" si="43"/>
        <v>2.5974689038497831</v>
      </c>
      <c r="R98" s="10">
        <v>104.43</v>
      </c>
      <c r="S98" s="10">
        <v>104.43</v>
      </c>
      <c r="T98" s="17">
        <v>412</v>
      </c>
      <c r="U98" s="10">
        <v>17184714</v>
      </c>
      <c r="V98" s="10">
        <v>17167720</v>
      </c>
    </row>
    <row r="99" spans="1:22">
      <c r="A99" s="117">
        <v>89</v>
      </c>
      <c r="B99" s="96" t="s">
        <v>120</v>
      </c>
      <c r="C99" s="96" t="s">
        <v>42</v>
      </c>
      <c r="D99" s="10">
        <v>68938446.900000006</v>
      </c>
      <c r="E99" s="10">
        <v>4605611.6900000004</v>
      </c>
      <c r="F99" s="10">
        <v>0</v>
      </c>
      <c r="G99" s="10">
        <v>159556.71</v>
      </c>
      <c r="H99" s="12">
        <f t="shared" si="30"/>
        <v>4446054.9800000004</v>
      </c>
      <c r="I99" s="10">
        <v>56859027.350000001</v>
      </c>
      <c r="J99" s="13">
        <f t="shared" si="31"/>
        <v>2.3556510718113178E-4</v>
      </c>
      <c r="K99" s="10">
        <v>67433544.879999995</v>
      </c>
      <c r="L99" s="13">
        <f t="shared" si="38"/>
        <v>2.8175594508035622E-4</v>
      </c>
      <c r="M99" s="13">
        <f t="shared" si="39"/>
        <v>0.18597781254518758</v>
      </c>
      <c r="N99" s="20">
        <f t="shared" si="40"/>
        <v>2.3661326166959772E-3</v>
      </c>
      <c r="O99" s="21">
        <f t="shared" si="41"/>
        <v>6.5932392964241873E-2</v>
      </c>
      <c r="P99" s="24">
        <f t="shared" si="42"/>
        <v>13.767894990984104</v>
      </c>
      <c r="Q99" s="24">
        <f t="shared" si="43"/>
        <v>0.90775026283598126</v>
      </c>
      <c r="R99" s="10">
        <v>11.85</v>
      </c>
      <c r="S99" s="10">
        <v>12.49</v>
      </c>
      <c r="T99" s="17">
        <v>54</v>
      </c>
      <c r="U99" s="10">
        <v>4898685.4400000004</v>
      </c>
      <c r="V99" s="10">
        <v>4897883.4400000004</v>
      </c>
    </row>
    <row r="100" spans="1:22">
      <c r="A100" s="117">
        <v>90</v>
      </c>
      <c r="B100" s="91" t="s">
        <v>262</v>
      </c>
      <c r="C100" s="92" t="s">
        <v>263</v>
      </c>
      <c r="D100" s="10">
        <v>1073457399.59</v>
      </c>
      <c r="E100" s="10">
        <v>13735186.449999999</v>
      </c>
      <c r="F100" s="10">
        <v>0</v>
      </c>
      <c r="G100" s="10">
        <v>1389612.4</v>
      </c>
      <c r="H100" s="12">
        <f t="shared" si="30"/>
        <v>12345574.049999999</v>
      </c>
      <c r="I100" s="10">
        <v>855727818.59000003</v>
      </c>
      <c r="J100" s="13">
        <f t="shared" si="31"/>
        <v>3.5452526133307035E-3</v>
      </c>
      <c r="K100" s="10">
        <v>1050445256.79</v>
      </c>
      <c r="L100" s="13">
        <f t="shared" si="38"/>
        <v>4.389049939592082E-3</v>
      </c>
      <c r="M100" s="13">
        <f t="shared" si="39"/>
        <v>0.22754599531523911</v>
      </c>
      <c r="N100" s="20">
        <f t="shared" si="40"/>
        <v>1.3228794085342846E-3</v>
      </c>
      <c r="O100" s="21">
        <f t="shared" si="41"/>
        <v>1.1752705788520751E-2</v>
      </c>
      <c r="P100" s="24">
        <f t="shared" si="42"/>
        <v>155.8371637594766</v>
      </c>
      <c r="Q100" s="24">
        <f t="shared" si="43"/>
        <v>1.8315083365826565</v>
      </c>
      <c r="R100" s="10">
        <v>155.83000000000001</v>
      </c>
      <c r="S100" s="10">
        <v>155.83000000000001</v>
      </c>
      <c r="T100" s="17">
        <v>175</v>
      </c>
      <c r="U100" s="10">
        <v>5556441.9100000001</v>
      </c>
      <c r="V100" s="10">
        <v>6740659.4900000002</v>
      </c>
    </row>
    <row r="101" spans="1:22">
      <c r="A101" s="117">
        <v>91</v>
      </c>
      <c r="B101" s="19" t="s">
        <v>121</v>
      </c>
      <c r="C101" s="19" t="s">
        <v>122</v>
      </c>
      <c r="D101" s="10">
        <v>11063463256.299999</v>
      </c>
      <c r="E101" s="10">
        <v>166274996.65000001</v>
      </c>
      <c r="F101" s="10">
        <v>0</v>
      </c>
      <c r="G101" s="10">
        <v>17953206.870000001</v>
      </c>
      <c r="H101" s="12">
        <f t="shared" si="30"/>
        <v>148321789.78</v>
      </c>
      <c r="I101" s="10">
        <v>10516406884</v>
      </c>
      <c r="J101" s="13">
        <f t="shared" si="31"/>
        <v>4.3569132822843692E-2</v>
      </c>
      <c r="K101" s="10">
        <v>10810935604</v>
      </c>
      <c r="L101" s="13">
        <f t="shared" si="38"/>
        <v>4.517107003240628E-2</v>
      </c>
      <c r="M101" s="13">
        <f t="shared" si="39"/>
        <v>2.8006592294189898E-2</v>
      </c>
      <c r="N101" s="20">
        <f t="shared" si="40"/>
        <v>1.6606524659491442E-3</v>
      </c>
      <c r="O101" s="21">
        <f t="shared" si="41"/>
        <v>1.3719607184148018E-2</v>
      </c>
      <c r="P101" s="24">
        <f t="shared" si="42"/>
        <v>1</v>
      </c>
      <c r="Q101" s="24">
        <f t="shared" si="43"/>
        <v>1.3719607184148018E-2</v>
      </c>
      <c r="R101" s="10">
        <v>1</v>
      </c>
      <c r="S101" s="10">
        <v>1</v>
      </c>
      <c r="T101" s="17">
        <v>5183</v>
      </c>
      <c r="U101" s="10">
        <v>9224918320</v>
      </c>
      <c r="V101" s="10">
        <v>10810935604</v>
      </c>
    </row>
    <row r="102" spans="1:22">
      <c r="A102" s="117">
        <v>92</v>
      </c>
      <c r="B102" s="96" t="s">
        <v>123</v>
      </c>
      <c r="C102" s="19" t="s">
        <v>46</v>
      </c>
      <c r="D102" s="10">
        <v>4757520916.0500002</v>
      </c>
      <c r="E102" s="10">
        <v>90736208.760000005</v>
      </c>
      <c r="F102" s="10">
        <v>0</v>
      </c>
      <c r="G102" s="10">
        <v>9424108.4299999997</v>
      </c>
      <c r="H102" s="12">
        <f t="shared" si="30"/>
        <v>81312100.330000013</v>
      </c>
      <c r="I102" s="10">
        <v>6905410281.6300001</v>
      </c>
      <c r="J102" s="13">
        <f t="shared" si="31"/>
        <v>2.8608890952508712E-2</v>
      </c>
      <c r="K102" s="10">
        <v>4925276008.1400003</v>
      </c>
      <c r="L102" s="13">
        <f t="shared" si="38"/>
        <v>2.0579161290194509E-2</v>
      </c>
      <c r="M102" s="13">
        <f t="shared" si="39"/>
        <v>-0.28675114044383693</v>
      </c>
      <c r="N102" s="20">
        <f t="shared" si="40"/>
        <v>1.9134173220799772E-3</v>
      </c>
      <c r="O102" s="21">
        <f t="shared" si="41"/>
        <v>1.6509145923114879E-2</v>
      </c>
      <c r="P102" s="24">
        <f t="shared" si="42"/>
        <v>5176.1014472272755</v>
      </c>
      <c r="Q102" s="24">
        <f t="shared" si="43"/>
        <v>85.453014105121198</v>
      </c>
      <c r="R102" s="10">
        <v>5176.1000000000004</v>
      </c>
      <c r="S102" s="10">
        <v>5176.1000000000004</v>
      </c>
      <c r="T102" s="17">
        <v>24</v>
      </c>
      <c r="U102" s="10">
        <v>1334097.8</v>
      </c>
      <c r="V102" s="10">
        <v>951541.63</v>
      </c>
    </row>
    <row r="103" spans="1:22">
      <c r="A103" s="117">
        <v>93</v>
      </c>
      <c r="B103" s="19" t="s">
        <v>124</v>
      </c>
      <c r="C103" s="19" t="s">
        <v>46</v>
      </c>
      <c r="D103" s="10">
        <v>15330315414.34</v>
      </c>
      <c r="E103" s="10">
        <v>153093285.5</v>
      </c>
      <c r="F103" s="10">
        <v>0</v>
      </c>
      <c r="G103" s="10">
        <v>32696651.059999999</v>
      </c>
      <c r="H103" s="12">
        <f t="shared" si="30"/>
        <v>120396634.44</v>
      </c>
      <c r="I103" s="10">
        <v>15769082668.110001</v>
      </c>
      <c r="J103" s="13">
        <f t="shared" si="31"/>
        <v>6.533079832681063E-2</v>
      </c>
      <c r="K103" s="10">
        <v>15630720806.58</v>
      </c>
      <c r="L103" s="13">
        <f t="shared" si="38"/>
        <v>6.5309461648238601E-2</v>
      </c>
      <c r="M103" s="13">
        <f t="shared" si="39"/>
        <v>-8.7742492345361019E-3</v>
      </c>
      <c r="N103" s="20">
        <f t="shared" si="40"/>
        <v>2.0918197864704885E-3</v>
      </c>
      <c r="O103" s="21">
        <f t="shared" si="41"/>
        <v>7.7025644517504993E-3</v>
      </c>
      <c r="P103" s="24">
        <f t="shared" si="42"/>
        <v>259.1362272953437</v>
      </c>
      <c r="Q103" s="24">
        <f t="shared" si="43"/>
        <v>1.9960134925258517</v>
      </c>
      <c r="R103" s="10">
        <v>259.24</v>
      </c>
      <c r="S103" s="10">
        <v>259.24</v>
      </c>
      <c r="T103" s="17">
        <v>6054</v>
      </c>
      <c r="U103" s="10">
        <v>60830469.729999997</v>
      </c>
      <c r="V103" s="10">
        <v>60318547.390000001</v>
      </c>
    </row>
    <row r="104" spans="1:22">
      <c r="A104" s="117">
        <v>94</v>
      </c>
      <c r="B104" s="96" t="s">
        <v>125</v>
      </c>
      <c r="C104" s="19" t="s">
        <v>46</v>
      </c>
      <c r="D104" s="10">
        <v>607367336.15999997</v>
      </c>
      <c r="E104" s="10">
        <v>5913501.9000000004</v>
      </c>
      <c r="F104" s="10">
        <v>6673088.0999999996</v>
      </c>
      <c r="G104" s="10">
        <v>703038.97</v>
      </c>
      <c r="H104" s="12">
        <f t="shared" si="30"/>
        <v>11883551.029999999</v>
      </c>
      <c r="I104" s="10">
        <v>563204143.10000002</v>
      </c>
      <c r="J104" s="13">
        <f t="shared" si="31"/>
        <v>2.3333365081597548E-3</v>
      </c>
      <c r="K104" s="10">
        <v>628773392.15999997</v>
      </c>
      <c r="L104" s="13">
        <f t="shared" si="38"/>
        <v>2.6271886145787663E-3</v>
      </c>
      <c r="M104" s="13">
        <f t="shared" si="39"/>
        <v>0.11642181589626154</v>
      </c>
      <c r="N104" s="20">
        <f t="shared" si="40"/>
        <v>1.118111832921044E-3</v>
      </c>
      <c r="O104" s="21">
        <f t="shared" si="41"/>
        <v>1.8899576823976146E-2</v>
      </c>
      <c r="P104" s="24">
        <f t="shared" si="42"/>
        <v>9409.4059755847902</v>
      </c>
      <c r="Q104" s="24">
        <f t="shared" si="43"/>
        <v>177.83379110354494</v>
      </c>
      <c r="R104" s="10">
        <v>9388.43</v>
      </c>
      <c r="S104" s="10">
        <v>9423.7900000000009</v>
      </c>
      <c r="T104" s="17">
        <v>18</v>
      </c>
      <c r="U104" s="10">
        <v>60391.44</v>
      </c>
      <c r="V104" s="10">
        <v>66823.92</v>
      </c>
    </row>
    <row r="105" spans="1:22">
      <c r="A105" s="117">
        <v>95</v>
      </c>
      <c r="B105" s="19" t="s">
        <v>126</v>
      </c>
      <c r="C105" s="19" t="s">
        <v>46</v>
      </c>
      <c r="D105" s="10">
        <v>6541276065.2299995</v>
      </c>
      <c r="E105" s="10">
        <v>90736680.290000007</v>
      </c>
      <c r="F105" s="10">
        <v>0</v>
      </c>
      <c r="G105" s="10">
        <v>12360587.66</v>
      </c>
      <c r="H105" s="12">
        <f t="shared" si="30"/>
        <v>78376092.63000001</v>
      </c>
      <c r="I105" s="10">
        <v>6384563600.8299999</v>
      </c>
      <c r="J105" s="13">
        <f t="shared" si="31"/>
        <v>2.645104003760753E-2</v>
      </c>
      <c r="K105" s="10">
        <v>6609022216.5200005</v>
      </c>
      <c r="L105" s="13">
        <f t="shared" si="38"/>
        <v>2.7614317236123086E-2</v>
      </c>
      <c r="M105" s="13">
        <f t="shared" si="39"/>
        <v>3.5156453866450742E-2</v>
      </c>
      <c r="N105" s="20">
        <f t="shared" si="40"/>
        <v>1.8702596624812836E-3</v>
      </c>
      <c r="O105" s="21">
        <f t="shared" si="41"/>
        <v>1.1858954329747913E-2</v>
      </c>
      <c r="P105" s="24">
        <f t="shared" si="42"/>
        <v>161.42792422818931</v>
      </c>
      <c r="Q105" s="24">
        <f t="shared" si="43"/>
        <v>1.9143663809681035</v>
      </c>
      <c r="R105" s="10">
        <v>161.43</v>
      </c>
      <c r="S105" s="10">
        <v>161.43</v>
      </c>
      <c r="T105" s="17">
        <v>5385</v>
      </c>
      <c r="U105" s="10">
        <v>40030632.630000003</v>
      </c>
      <c r="V105" s="10">
        <v>40941009.729999997</v>
      </c>
    </row>
    <row r="106" spans="1:22">
      <c r="A106" s="117">
        <v>96</v>
      </c>
      <c r="B106" s="19" t="s">
        <v>127</v>
      </c>
      <c r="C106" s="19" t="s">
        <v>46</v>
      </c>
      <c r="D106" s="10">
        <v>6151759903.46</v>
      </c>
      <c r="E106" s="10">
        <v>107227174.09999999</v>
      </c>
      <c r="F106" s="10">
        <v>-39060000</v>
      </c>
      <c r="G106" s="10">
        <v>17064189.23</v>
      </c>
      <c r="H106" s="12">
        <f t="shared" si="30"/>
        <v>51102984.86999999</v>
      </c>
      <c r="I106" s="10">
        <v>6167549106.3900003</v>
      </c>
      <c r="J106" s="13">
        <f t="shared" si="31"/>
        <v>2.555195602183747E-2</v>
      </c>
      <c r="K106" s="10">
        <v>6369693544.25</v>
      </c>
      <c r="L106" s="13">
        <f t="shared" si="38"/>
        <v>2.6614336049307848E-2</v>
      </c>
      <c r="M106" s="13">
        <f t="shared" si="39"/>
        <v>3.2775488994577162E-2</v>
      </c>
      <c r="N106" s="20">
        <f t="shared" si="40"/>
        <v>2.6789654967630354E-3</v>
      </c>
      <c r="O106" s="21">
        <f t="shared" si="41"/>
        <v>8.0228325766364822E-3</v>
      </c>
      <c r="P106" s="24">
        <f t="shared" si="42"/>
        <v>384.94846973889952</v>
      </c>
      <c r="Q106" s="24">
        <f t="shared" si="43"/>
        <v>3.0883771233476058</v>
      </c>
      <c r="R106" s="10">
        <v>384.89</v>
      </c>
      <c r="S106" s="10">
        <v>385.23</v>
      </c>
      <c r="T106" s="17">
        <v>11018</v>
      </c>
      <c r="U106" s="10">
        <v>16147282.98</v>
      </c>
      <c r="V106" s="10">
        <v>16546873.27</v>
      </c>
    </row>
    <row r="107" spans="1:22">
      <c r="A107" s="117">
        <v>97</v>
      </c>
      <c r="B107" s="19" t="s">
        <v>310</v>
      </c>
      <c r="C107" s="19" t="s">
        <v>311</v>
      </c>
      <c r="D107" s="10">
        <v>91275479.420000002</v>
      </c>
      <c r="E107" s="10">
        <v>1500542.2</v>
      </c>
      <c r="F107" s="10">
        <v>0</v>
      </c>
      <c r="G107" s="10">
        <v>152396.91</v>
      </c>
      <c r="H107" s="12">
        <f t="shared" ref="H107" si="45">(E107+F107)-G107</f>
        <v>1348145.29</v>
      </c>
      <c r="I107" s="10">
        <v>93157711.450000003</v>
      </c>
      <c r="J107" s="13">
        <f t="shared" si="31"/>
        <v>3.8594937875714822E-4</v>
      </c>
      <c r="K107" s="10">
        <v>91648635.299999997</v>
      </c>
      <c r="L107" s="13">
        <f t="shared" si="38"/>
        <v>3.8293327008432363E-4</v>
      </c>
      <c r="M107" s="13">
        <f t="shared" si="39"/>
        <v>-1.6199154385731808E-2</v>
      </c>
      <c r="N107" s="20">
        <f t="shared" si="40"/>
        <v>1.6628388355281927E-3</v>
      </c>
      <c r="O107" s="21">
        <f t="shared" si="41"/>
        <v>1.4709933056690045E-2</v>
      </c>
      <c r="P107" s="24">
        <f t="shared" si="42"/>
        <v>113.21743249280728</v>
      </c>
      <c r="Q107" s="24">
        <f t="shared" si="43"/>
        <v>1.6654208528195193</v>
      </c>
      <c r="R107" s="10">
        <v>113.2174</v>
      </c>
      <c r="S107" s="10">
        <v>113.2174</v>
      </c>
      <c r="T107" s="17">
        <v>23</v>
      </c>
      <c r="U107" s="10">
        <v>818382.14</v>
      </c>
      <c r="V107" s="10">
        <v>809492.26</v>
      </c>
    </row>
    <row r="108" spans="1:22">
      <c r="A108" s="118">
        <v>98</v>
      </c>
      <c r="B108" s="19" t="s">
        <v>128</v>
      </c>
      <c r="C108" s="19" t="s">
        <v>50</v>
      </c>
      <c r="D108" s="10">
        <v>79705280393</v>
      </c>
      <c r="E108" s="10">
        <v>905054488</v>
      </c>
      <c r="F108" s="10">
        <v>0</v>
      </c>
      <c r="G108" s="10">
        <v>130893759</v>
      </c>
      <c r="H108" s="12">
        <f t="shared" si="30"/>
        <v>774160729</v>
      </c>
      <c r="I108" s="10">
        <v>85361214259</v>
      </c>
      <c r="J108" s="13">
        <f t="shared" si="31"/>
        <v>0.35364874362439985</v>
      </c>
      <c r="K108" s="10">
        <v>84393434922</v>
      </c>
      <c r="L108" s="13">
        <f t="shared" si="38"/>
        <v>0.3526190423080966</v>
      </c>
      <c r="M108" s="13">
        <f t="shared" si="39"/>
        <v>-1.1337459821782735E-2</v>
      </c>
      <c r="N108" s="20">
        <f t="shared" si="40"/>
        <v>1.5509945663543328E-3</v>
      </c>
      <c r="O108" s="21">
        <f t="shared" si="41"/>
        <v>9.1732340283993928E-3</v>
      </c>
      <c r="P108" s="24">
        <f t="shared" si="42"/>
        <v>1.9764478818915152</v>
      </c>
      <c r="Q108" s="24">
        <f t="shared" si="43"/>
        <v>1.8130418965525152E-2</v>
      </c>
      <c r="R108" s="10">
        <v>1.98</v>
      </c>
      <c r="S108" s="10">
        <v>1.98</v>
      </c>
      <c r="T108" s="17">
        <v>1373</v>
      </c>
      <c r="U108" s="10">
        <v>43405499504.18</v>
      </c>
      <c r="V108" s="10">
        <v>42699549882</v>
      </c>
    </row>
    <row r="109" spans="1:22">
      <c r="A109" s="118">
        <v>99</v>
      </c>
      <c r="B109" s="19" t="s">
        <v>261</v>
      </c>
      <c r="C109" s="19" t="s">
        <v>50</v>
      </c>
      <c r="D109" s="10">
        <v>42023854953</v>
      </c>
      <c r="E109" s="10">
        <v>915617930</v>
      </c>
      <c r="F109" s="10">
        <v>0</v>
      </c>
      <c r="G109" s="10">
        <v>113518988</v>
      </c>
      <c r="H109" s="12">
        <f t="shared" si="30"/>
        <v>802098942</v>
      </c>
      <c r="I109" s="10">
        <v>64212284320</v>
      </c>
      <c r="J109" s="13">
        <f t="shared" si="31"/>
        <v>0.26602941244625611</v>
      </c>
      <c r="K109" s="10">
        <v>62163834454</v>
      </c>
      <c r="L109" s="13">
        <f t="shared" si="38"/>
        <v>0.25973764181571796</v>
      </c>
      <c r="M109" s="13">
        <f t="shared" si="39"/>
        <v>-3.1901214661537523E-2</v>
      </c>
      <c r="N109" s="20">
        <f t="shared" si="40"/>
        <v>1.8261258977517192E-3</v>
      </c>
      <c r="O109" s="21">
        <f t="shared" si="41"/>
        <v>1.2902983688908978E-2</v>
      </c>
      <c r="P109" s="24">
        <f t="shared" si="42"/>
        <v>129.05593454470849</v>
      </c>
      <c r="Q109" s="24">
        <f t="shared" si="43"/>
        <v>1.6652066183872785</v>
      </c>
      <c r="R109" s="10">
        <v>129.06</v>
      </c>
      <c r="S109" s="10">
        <v>129.06</v>
      </c>
      <c r="T109" s="17">
        <v>250</v>
      </c>
      <c r="U109" s="10">
        <v>504304844.02999997</v>
      </c>
      <c r="V109" s="10">
        <v>481681332</v>
      </c>
    </row>
    <row r="110" spans="1:22">
      <c r="A110" s="117">
        <v>100</v>
      </c>
      <c r="B110" s="91" t="s">
        <v>241</v>
      </c>
      <c r="C110" s="91" t="s">
        <v>242</v>
      </c>
      <c r="D110" s="10">
        <v>87075058.129999995</v>
      </c>
      <c r="E110" s="10">
        <v>4076546.19</v>
      </c>
      <c r="F110" s="10">
        <v>0</v>
      </c>
      <c r="G110" s="10">
        <v>474298.02</v>
      </c>
      <c r="H110" s="12">
        <f t="shared" si="30"/>
        <v>3602248.17</v>
      </c>
      <c r="I110" s="10">
        <v>114771764.73</v>
      </c>
      <c r="J110" s="13">
        <f t="shared" si="31"/>
        <v>4.7549570085971742E-4</v>
      </c>
      <c r="K110" s="10">
        <v>115514406.95999999</v>
      </c>
      <c r="L110" s="13">
        <f t="shared" si="38"/>
        <v>4.8265104498554546E-4</v>
      </c>
      <c r="M110" s="13">
        <f t="shared" si="39"/>
        <v>6.4706004281371065E-3</v>
      </c>
      <c r="N110" s="20">
        <f t="shared" si="40"/>
        <v>4.1059642037918143E-3</v>
      </c>
      <c r="O110" s="21">
        <f t="shared" si="41"/>
        <v>3.1184406039043912E-2</v>
      </c>
      <c r="P110" s="24">
        <f t="shared" si="42"/>
        <v>116.63631299286831</v>
      </c>
      <c r="Q110" s="24">
        <f t="shared" si="43"/>
        <v>3.6372341432666184</v>
      </c>
      <c r="R110" s="10">
        <v>116.63630000000001</v>
      </c>
      <c r="S110" s="10">
        <v>116.63630000000001</v>
      </c>
      <c r="T110" s="17">
        <v>87</v>
      </c>
      <c r="U110" s="10">
        <v>990901.03630000004</v>
      </c>
      <c r="V110" s="10">
        <v>990381.16</v>
      </c>
    </row>
    <row r="111" spans="1:22">
      <c r="A111" s="117">
        <v>101</v>
      </c>
      <c r="B111" s="91" t="s">
        <v>292</v>
      </c>
      <c r="C111" s="91" t="s">
        <v>291</v>
      </c>
      <c r="D111" s="10">
        <v>322800980.10000002</v>
      </c>
      <c r="E111" s="10">
        <v>5243615.53</v>
      </c>
      <c r="F111" s="10"/>
      <c r="G111" s="10">
        <v>750958.75</v>
      </c>
      <c r="H111" s="12">
        <f t="shared" si="30"/>
        <v>4492656.78</v>
      </c>
      <c r="I111" s="10">
        <v>361432659.22000003</v>
      </c>
      <c r="J111" s="13">
        <f t="shared" si="31"/>
        <v>1.4974037910256441E-3</v>
      </c>
      <c r="K111" s="10">
        <v>371038475.14999998</v>
      </c>
      <c r="L111" s="13">
        <f t="shared" si="38"/>
        <v>1.550301061780137E-3</v>
      </c>
      <c r="M111" s="13">
        <f t="shared" si="39"/>
        <v>2.6577055739041542E-2</v>
      </c>
      <c r="N111" s="20">
        <f t="shared" si="40"/>
        <v>2.0239376784211109E-3</v>
      </c>
      <c r="O111" s="21">
        <f t="shared" si="41"/>
        <v>1.210833129417037E-2</v>
      </c>
      <c r="P111" s="24">
        <f t="shared" si="42"/>
        <v>1.3713112561945542</v>
      </c>
      <c r="Q111" s="24">
        <f t="shared" si="43"/>
        <v>1.6604290997428602E-2</v>
      </c>
      <c r="R111" s="10">
        <v>1.3713</v>
      </c>
      <c r="S111" s="10">
        <v>1.3713</v>
      </c>
      <c r="T111" s="17">
        <v>1151</v>
      </c>
      <c r="U111" s="10">
        <v>258542610.5</v>
      </c>
      <c r="V111" s="10">
        <v>270572033.5</v>
      </c>
    </row>
    <row r="112" spans="1:22">
      <c r="A112" s="117">
        <v>102</v>
      </c>
      <c r="B112" s="96" t="s">
        <v>129</v>
      </c>
      <c r="C112" s="96" t="s">
        <v>94</v>
      </c>
      <c r="D112" s="10">
        <v>1980324110.74</v>
      </c>
      <c r="E112" s="10">
        <v>16490244.539999999</v>
      </c>
      <c r="F112" s="10">
        <v>0</v>
      </c>
      <c r="G112" s="10">
        <v>3455713.19</v>
      </c>
      <c r="H112" s="12">
        <f t="shared" si="30"/>
        <v>13034531.35</v>
      </c>
      <c r="I112" s="10">
        <v>1993978750.27</v>
      </c>
      <c r="J112" s="13">
        <f t="shared" si="31"/>
        <v>8.2609893259852213E-3</v>
      </c>
      <c r="K112" s="10">
        <v>1993113894.03</v>
      </c>
      <c r="L112" s="13">
        <f t="shared" si="38"/>
        <v>8.3277794436662812E-3</v>
      </c>
      <c r="M112" s="13">
        <f t="shared" si="39"/>
        <v>-4.3373393015492336E-4</v>
      </c>
      <c r="N112" s="20">
        <f t="shared" si="40"/>
        <v>1.7338262506477642E-3</v>
      </c>
      <c r="O112" s="21">
        <f t="shared" si="41"/>
        <v>6.5397824926325086E-3</v>
      </c>
      <c r="P112" s="24">
        <f t="shared" si="42"/>
        <v>30.309050170309817</v>
      </c>
      <c r="Q112" s="24">
        <f t="shared" si="43"/>
        <v>0.1982145956721125</v>
      </c>
      <c r="R112" s="10">
        <v>30.309200000000001</v>
      </c>
      <c r="S112" s="10">
        <v>30.309200000000001</v>
      </c>
      <c r="T112" s="16">
        <v>1296</v>
      </c>
      <c r="U112" s="10">
        <v>65800190.439999998</v>
      </c>
      <c r="V112" s="10">
        <v>65759694.969999999</v>
      </c>
    </row>
    <row r="113" spans="1:23">
      <c r="A113" s="147" t="s">
        <v>51</v>
      </c>
      <c r="B113" s="147"/>
      <c r="C113" s="147"/>
      <c r="D113" s="147"/>
      <c r="E113" s="147"/>
      <c r="F113" s="147"/>
      <c r="G113" s="147"/>
      <c r="H113" s="147"/>
      <c r="I113" s="37">
        <f>SUM(I74:I112)</f>
        <v>241372875764.14999</v>
      </c>
      <c r="J113" s="35">
        <f>(I113/$I$239)</f>
        <v>3.2740927422144211E-2</v>
      </c>
      <c r="K113" s="37">
        <f>SUM(K74:K112)</f>
        <v>239333174889.23999</v>
      </c>
      <c r="L113" s="35">
        <f>(K113/$K$239)</f>
        <v>3.0684526892081579E-2</v>
      </c>
      <c r="M113" s="35">
        <f t="shared" si="33"/>
        <v>-8.4504146062502651E-3</v>
      </c>
      <c r="N113" s="20"/>
      <c r="O113" s="20"/>
      <c r="P113" s="38"/>
      <c r="Q113" s="38"/>
      <c r="R113" s="37"/>
      <c r="S113" s="37"/>
      <c r="T113" s="37">
        <f>SUM(T74:T112)</f>
        <v>52751</v>
      </c>
      <c r="U113" s="37"/>
      <c r="V113" s="10"/>
    </row>
    <row r="114" spans="1:23" ht="7.2" customHeight="1">
      <c r="A114" s="164"/>
      <c r="B114" s="164"/>
      <c r="C114" s="164"/>
      <c r="D114" s="164"/>
      <c r="E114" s="164"/>
      <c r="F114" s="164"/>
      <c r="G114" s="164"/>
      <c r="H114" s="164"/>
      <c r="I114" s="164"/>
      <c r="J114" s="164"/>
      <c r="K114" s="164"/>
      <c r="L114" s="164"/>
      <c r="M114" s="164"/>
      <c r="N114" s="164"/>
      <c r="O114" s="164"/>
      <c r="P114" s="164"/>
      <c r="Q114" s="164"/>
      <c r="R114" s="164"/>
      <c r="S114" s="164"/>
      <c r="T114" s="164"/>
      <c r="U114" s="164"/>
      <c r="V114" s="164"/>
      <c r="W114" s="5"/>
    </row>
    <row r="115" spans="1:23">
      <c r="A115" s="146" t="s">
        <v>130</v>
      </c>
      <c r="B115" s="146"/>
      <c r="C115" s="146"/>
      <c r="D115" s="146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  <c r="R115" s="146"/>
      <c r="S115" s="146"/>
      <c r="T115" s="146"/>
      <c r="U115" s="146"/>
      <c r="V115" s="146"/>
    </row>
    <row r="116" spans="1:23">
      <c r="A116" s="157" t="s">
        <v>131</v>
      </c>
      <c r="B116" s="157"/>
      <c r="C116" s="157"/>
      <c r="D116" s="157"/>
      <c r="E116" s="157"/>
      <c r="F116" s="157"/>
      <c r="G116" s="157"/>
      <c r="H116" s="157"/>
      <c r="I116" s="157"/>
      <c r="J116" s="157"/>
      <c r="K116" s="157"/>
      <c r="L116" s="157"/>
      <c r="M116" s="157"/>
      <c r="N116" s="157"/>
      <c r="O116" s="157"/>
      <c r="P116" s="157"/>
      <c r="Q116" s="157"/>
      <c r="R116" s="157"/>
      <c r="S116" s="157"/>
      <c r="T116" s="157"/>
      <c r="U116" s="157"/>
      <c r="V116" s="157"/>
    </row>
    <row r="117" spans="1:23">
      <c r="A117" s="145">
        <v>103</v>
      </c>
      <c r="B117" s="19" t="s">
        <v>132</v>
      </c>
      <c r="C117" s="19" t="s">
        <v>22</v>
      </c>
      <c r="D117" s="17">
        <v>3536208201.48</v>
      </c>
      <c r="E117" s="17">
        <v>21677264.09</v>
      </c>
      <c r="F117" s="17">
        <v>5557875.2400000002</v>
      </c>
      <c r="G117" s="17">
        <v>5494867.4500000002</v>
      </c>
      <c r="H117" s="12">
        <f t="shared" ref="H117:H133" si="46">(E117+F117)-G117</f>
        <v>21740271.879999999</v>
      </c>
      <c r="I117" s="29">
        <v>2824628314.0100002</v>
      </c>
      <c r="J117" s="13">
        <f t="shared" ref="J117:J133" si="47">(I117/$I$155)</f>
        <v>1.4838795342742802E-3</v>
      </c>
      <c r="K117" s="29">
        <v>3508647174.6700001</v>
      </c>
      <c r="L117" s="13">
        <f t="shared" ref="L117" si="48">(K117/$K$155)</f>
        <v>1.790954796168991E-3</v>
      </c>
      <c r="M117" s="13">
        <f t="shared" ref="M117" si="49">((K117-I117)/I117)</f>
        <v>0.24216243151968142</v>
      </c>
      <c r="N117" s="20">
        <f t="shared" ref="N117" si="50">(G117/K117)</f>
        <v>1.5660929060263265E-3</v>
      </c>
      <c r="O117" s="21">
        <f t="shared" ref="O117" si="51">H117/K117</f>
        <v>6.1961977929698058E-3</v>
      </c>
      <c r="P117" s="24">
        <f t="shared" ref="P117" si="52">K117/V117</f>
        <v>165097.0365969745</v>
      </c>
      <c r="Q117" s="24">
        <f t="shared" ref="Q117" si="53">H117/V117</f>
        <v>1022.9738937880287</v>
      </c>
      <c r="R117" s="10">
        <f>115.0296*FX_RATE</f>
        <v>165154.56491016</v>
      </c>
      <c r="S117" s="10">
        <f>115.0296*FX_RATE</f>
        <v>165154.56491016</v>
      </c>
      <c r="T117" s="10">
        <v>191</v>
      </c>
      <c r="U117" s="10">
        <v>17048.62</v>
      </c>
      <c r="V117" s="10">
        <v>21252.03</v>
      </c>
    </row>
    <row r="118" spans="1:23">
      <c r="A118" s="145">
        <v>104</v>
      </c>
      <c r="B118" s="91" t="s">
        <v>230</v>
      </c>
      <c r="C118" s="92" t="s">
        <v>55</v>
      </c>
      <c r="D118" s="17">
        <f>4012938.11*C241</f>
        <v>5761604383.2930813</v>
      </c>
      <c r="E118" s="17">
        <f>188085.44*FX_RATE</f>
        <v>270045005.88662404</v>
      </c>
      <c r="F118" s="17">
        <v>0</v>
      </c>
      <c r="G118" s="17">
        <f>7044.76*C241</f>
        <v>10114564.187796</v>
      </c>
      <c r="H118" s="12">
        <f t="shared" si="46"/>
        <v>259930441.69882804</v>
      </c>
      <c r="I118" s="29">
        <v>5579144056.4766302</v>
      </c>
      <c r="J118" s="13">
        <f t="shared" si="47"/>
        <v>2.930926395912475E-3</v>
      </c>
      <c r="K118" s="29">
        <f>4585624.09*FX_RATE</f>
        <v>6583842345.1485386</v>
      </c>
      <c r="L118" s="13">
        <f t="shared" ref="L118:L133" si="54">(K118/$K$155)</f>
        <v>3.3606582361400557E-3</v>
      </c>
      <c r="M118" s="13">
        <f t="shared" ref="M118:M133" si="55">((K118-I118)/I118)</f>
        <v>0.18008108026993672</v>
      </c>
      <c r="N118" s="20">
        <f t="shared" ref="N118:N133" si="56">(G118/K118)</f>
        <v>1.5362707151165547E-3</v>
      </c>
      <c r="O118" s="21">
        <f t="shared" ref="O118:O133" si="57">H118/K118</f>
        <v>3.9480052539587918E-2</v>
      </c>
      <c r="P118" s="24">
        <f t="shared" ref="P118:P133" si="58">K118/V118</f>
        <v>157440.39277699887</v>
      </c>
      <c r="Q118" s="24">
        <f t="shared" ref="Q118:Q133" si="59">H118/V118</f>
        <v>6215.7549786892732</v>
      </c>
      <c r="R118" s="10">
        <f>100*C241</f>
        <v>143575.71</v>
      </c>
      <c r="S118" s="10">
        <f>100*C241</f>
        <v>143575.71</v>
      </c>
      <c r="T118" s="10">
        <v>99</v>
      </c>
      <c r="U118" s="25">
        <v>35448.46</v>
      </c>
      <c r="V118" s="10">
        <v>41818</v>
      </c>
    </row>
    <row r="119" spans="1:23" ht="13.2" customHeight="1">
      <c r="A119" s="145">
        <v>105</v>
      </c>
      <c r="B119" s="19" t="s">
        <v>133</v>
      </c>
      <c r="C119" s="96" t="s">
        <v>26</v>
      </c>
      <c r="D119" s="17">
        <f>8096738.54*FX_RATE</f>
        <v>11624949845.648634</v>
      </c>
      <c r="E119" s="17">
        <f>64016.98*FX_RATE</f>
        <v>91912833.555558011</v>
      </c>
      <c r="F119" s="17">
        <f>26153.3*C241</f>
        <v>37549786.163429998</v>
      </c>
      <c r="G119" s="17">
        <f>34286.77*FX_RATE</f>
        <v>49227473.463566996</v>
      </c>
      <c r="H119" s="12">
        <f t="shared" si="46"/>
        <v>80235146.255421013</v>
      </c>
      <c r="I119" s="29">
        <v>17213936457.0294</v>
      </c>
      <c r="J119" s="13">
        <f t="shared" si="47"/>
        <v>9.0431041444249318E-3</v>
      </c>
      <c r="K119" s="29">
        <f>12073137*FX_RATE</f>
        <v>17334092167.022701</v>
      </c>
      <c r="L119" s="13">
        <f t="shared" si="54"/>
        <v>8.8480186118128253E-3</v>
      </c>
      <c r="M119" s="13">
        <f t="shared" si="55"/>
        <v>6.9801413693632627E-3</v>
      </c>
      <c r="N119" s="20">
        <f t="shared" si="56"/>
        <v>2.8399222173988415E-3</v>
      </c>
      <c r="O119" s="21">
        <f t="shared" si="57"/>
        <v>4.628748104158845E-3</v>
      </c>
      <c r="P119" s="24">
        <f t="shared" si="58"/>
        <v>1733.381309263191</v>
      </c>
      <c r="Q119" s="24">
        <f t="shared" si="59"/>
        <v>8.0233854490363719</v>
      </c>
      <c r="R119" s="10">
        <f>1.2073*FX_RATE</f>
        <v>1733.3895468300002</v>
      </c>
      <c r="S119" s="10">
        <f>1.2073*FX_RATE</f>
        <v>1733.3895468300002</v>
      </c>
      <c r="T119" s="10">
        <v>321</v>
      </c>
      <c r="U119" s="10">
        <v>9748469</v>
      </c>
      <c r="V119" s="10">
        <v>10000161</v>
      </c>
    </row>
    <row r="120" spans="1:23" ht="13.2" customHeight="1">
      <c r="A120" s="145">
        <v>106</v>
      </c>
      <c r="B120" s="19" t="s">
        <v>270</v>
      </c>
      <c r="C120" s="96" t="s">
        <v>26</v>
      </c>
      <c r="D120" s="17">
        <f>1992459.9*FX_RATE</f>
        <v>2860688447.8902898</v>
      </c>
      <c r="E120" s="17">
        <f>13200.31*FX_RATE</f>
        <v>18952438.804701</v>
      </c>
      <c r="F120" s="17">
        <f>3951.34*FX_RATE</f>
        <v>5673164.4595140005</v>
      </c>
      <c r="G120" s="17">
        <f>9465.63*FX_RATE</f>
        <v>13590345.478472998</v>
      </c>
      <c r="H120" s="12">
        <f t="shared" si="46"/>
        <v>11035257.785742002</v>
      </c>
      <c r="I120" s="29">
        <v>4139829371.2763996</v>
      </c>
      <c r="J120" s="13">
        <f t="shared" si="47"/>
        <v>2.1748022736144184E-3</v>
      </c>
      <c r="K120" s="29">
        <f>2909283*FX_RATE</f>
        <v>4177023723.1593003</v>
      </c>
      <c r="L120" s="13">
        <f t="shared" si="54"/>
        <v>2.1321210991833068E-3</v>
      </c>
      <c r="M120" s="13">
        <f t="shared" si="55"/>
        <v>8.9845132606112422E-3</v>
      </c>
      <c r="N120" s="20">
        <f t="shared" si="56"/>
        <v>3.2535954735238883E-3</v>
      </c>
      <c r="O120" s="21">
        <f t="shared" si="57"/>
        <v>2.641894927375577E-3</v>
      </c>
      <c r="P120" s="24">
        <f t="shared" si="58"/>
        <v>1499.5027018032342</v>
      </c>
      <c r="Q120" s="24">
        <f t="shared" si="59"/>
        <v>3.961528581479937</v>
      </c>
      <c r="R120" s="10">
        <f>1.0444*FX_RATE</f>
        <v>1499.50471524</v>
      </c>
      <c r="S120" s="10">
        <f>1.0444*FX_RATE</f>
        <v>1499.50471524</v>
      </c>
      <c r="T120" s="10">
        <v>103</v>
      </c>
      <c r="U120" s="10">
        <v>2736884</v>
      </c>
      <c r="V120" s="10">
        <v>2785606</v>
      </c>
    </row>
    <row r="121" spans="1:23" ht="13.2" customHeight="1">
      <c r="A121" s="145">
        <v>107</v>
      </c>
      <c r="B121" s="92" t="s">
        <v>235</v>
      </c>
      <c r="C121" s="92" t="s">
        <v>103</v>
      </c>
      <c r="D121" s="17">
        <f>34062340.26*FX_RATE</f>
        <v>48905246870.910843</v>
      </c>
      <c r="E121" s="17">
        <f>3743523.11*FX_RATE</f>
        <v>5374789884.1965809</v>
      </c>
      <c r="F121" s="17">
        <v>0</v>
      </c>
      <c r="G121" s="17">
        <f>36851.64*FX_RATE</f>
        <v>52910003.776643999</v>
      </c>
      <c r="H121" s="12">
        <f t="shared" si="46"/>
        <v>5321879880.4199371</v>
      </c>
      <c r="I121" s="29">
        <v>38902539387.454712</v>
      </c>
      <c r="J121" s="13">
        <f t="shared" si="47"/>
        <v>2.0436912616793507E-2</v>
      </c>
      <c r="K121" s="29">
        <f>34100244.74*FX_RATE</f>
        <v>48959668497.192657</v>
      </c>
      <c r="L121" s="13">
        <f t="shared" si="54"/>
        <v>2.4990986197447475E-2</v>
      </c>
      <c r="M121" s="13">
        <f t="shared" si="55"/>
        <v>0.25852114715630026</v>
      </c>
      <c r="N121" s="20">
        <f t="shared" si="56"/>
        <v>1.0806854989158649E-3</v>
      </c>
      <c r="O121" s="21">
        <f t="shared" si="57"/>
        <v>0.10869926296018718</v>
      </c>
      <c r="P121" s="24">
        <f t="shared" si="58"/>
        <v>1791.071897973065</v>
      </c>
      <c r="Q121" s="24">
        <f t="shared" si="59"/>
        <v>194.68819521837574</v>
      </c>
      <c r="R121" s="10">
        <f>1.2471*FX_RATE</f>
        <v>1790.5326794100001</v>
      </c>
      <c r="S121" s="10">
        <f>1.2471*FX_RATE</f>
        <v>1790.5326794100001</v>
      </c>
      <c r="T121" s="10">
        <v>605</v>
      </c>
      <c r="U121" s="10">
        <v>24375587.600000001</v>
      </c>
      <c r="V121" s="10">
        <v>27335400.969999999</v>
      </c>
    </row>
    <row r="122" spans="1:23" ht="13.2" customHeight="1">
      <c r="A122" s="145">
        <v>108</v>
      </c>
      <c r="B122" s="91" t="s">
        <v>236</v>
      </c>
      <c r="C122" s="92" t="s">
        <v>214</v>
      </c>
      <c r="D122" s="17">
        <f xml:space="preserve"> 1025907.52*FX_RATE</f>
        <v>1472954005.783392</v>
      </c>
      <c r="E122" s="17">
        <f>14299.87*FX_RATE</f>
        <v>20531139.881577</v>
      </c>
      <c r="F122" s="17">
        <v>0</v>
      </c>
      <c r="G122" s="17">
        <f>1815.11*FX_RATE</f>
        <v>2606057.0697809998</v>
      </c>
      <c r="H122" s="12">
        <f t="shared" si="46"/>
        <v>17925082.811796002</v>
      </c>
      <c r="I122" s="29">
        <v>1376723095.3994091</v>
      </c>
      <c r="J122" s="13">
        <f t="shared" si="47"/>
        <v>7.2324249370909902E-4</v>
      </c>
      <c r="K122" s="29">
        <f>1010949.61*FX_RATE</f>
        <v>1451478080.299731</v>
      </c>
      <c r="L122" s="13">
        <f t="shared" si="54"/>
        <v>7.4089285700020772E-4</v>
      </c>
      <c r="M122" s="13">
        <f t="shared" si="55"/>
        <v>5.4299216124237652E-2</v>
      </c>
      <c r="N122" s="20">
        <f t="shared" si="56"/>
        <v>1.7954505170638523E-3</v>
      </c>
      <c r="O122" s="21">
        <f t="shared" si="57"/>
        <v>1.2349537381986825E-2</v>
      </c>
      <c r="P122" s="24">
        <f t="shared" si="58"/>
        <v>1634.0840108164045</v>
      </c>
      <c r="Q122" s="24">
        <f t="shared" si="59"/>
        <v>20.180181576884152</v>
      </c>
      <c r="R122" s="10">
        <f>1.1381*FX_RATE</f>
        <v>1634.0351555099999</v>
      </c>
      <c r="S122" s="10">
        <f>1.1442*C241</f>
        <v>1642.7932738200002</v>
      </c>
      <c r="T122" s="10">
        <v>63</v>
      </c>
      <c r="U122" s="10">
        <v>853307.79</v>
      </c>
      <c r="V122" s="10">
        <v>888251.81</v>
      </c>
    </row>
    <row r="123" spans="1:23" ht="13.2" customHeight="1">
      <c r="A123" s="145">
        <v>109</v>
      </c>
      <c r="B123" s="91" t="s">
        <v>237</v>
      </c>
      <c r="C123" s="92" t="s">
        <v>48</v>
      </c>
      <c r="D123" s="17">
        <f>547511.09*FX_RATE</f>
        <v>786092934.79623902</v>
      </c>
      <c r="E123" s="17">
        <f>3123.31*FX_RATE</f>
        <v>4484314.5080009997</v>
      </c>
      <c r="F123" s="17">
        <v>0</v>
      </c>
      <c r="G123" s="17">
        <f>1122.45*FX_RATE</f>
        <v>1611565.5568950002</v>
      </c>
      <c r="H123" s="12">
        <f t="shared" si="46"/>
        <v>2872748.9511059998</v>
      </c>
      <c r="I123" s="29">
        <v>647483480.74496901</v>
      </c>
      <c r="J123" s="13">
        <f t="shared" si="47"/>
        <v>3.4014651807201741E-4</v>
      </c>
      <c r="K123" s="29">
        <f>544754.54*FX_RATE</f>
        <v>782135198.56223404</v>
      </c>
      <c r="L123" s="13">
        <f t="shared" si="54"/>
        <v>3.9923329858590473E-4</v>
      </c>
      <c r="M123" s="13">
        <f t="shared" si="55"/>
        <v>0.20796162654580788</v>
      </c>
      <c r="N123" s="20">
        <f t="shared" si="56"/>
        <v>2.0604692895262516E-3</v>
      </c>
      <c r="O123" s="21">
        <f t="shared" si="57"/>
        <v>3.6729569982106064E-3</v>
      </c>
      <c r="P123" s="24">
        <f t="shared" si="58"/>
        <v>1970.2481447784176</v>
      </c>
      <c r="Q123" s="24">
        <f t="shared" si="59"/>
        <v>7.2366367115753523</v>
      </c>
      <c r="R123" s="10">
        <f>1.37*FX_RATE</f>
        <v>1966.9872270000003</v>
      </c>
      <c r="S123" s="10">
        <f>1.37*FX_RATE</f>
        <v>1966.9872270000003</v>
      </c>
      <c r="T123" s="10">
        <v>62</v>
      </c>
      <c r="U123" s="10">
        <v>337825.5</v>
      </c>
      <c r="V123" s="10">
        <v>396972.94</v>
      </c>
    </row>
    <row r="124" spans="1:23" ht="13.2" customHeight="1">
      <c r="A124" s="145">
        <v>110</v>
      </c>
      <c r="B124" s="91" t="s">
        <v>238</v>
      </c>
      <c r="C124" s="92" t="s">
        <v>168</v>
      </c>
      <c r="D124" s="17">
        <f>496645.09*C241</f>
        <v>713061714.14763904</v>
      </c>
      <c r="E124" s="17">
        <f>7232.89*C241</f>
        <v>10384673.171019001</v>
      </c>
      <c r="F124" s="17">
        <v>0</v>
      </c>
      <c r="G124" s="17">
        <f>2396.84*C241</f>
        <v>3441280.0475640004</v>
      </c>
      <c r="H124" s="12">
        <f t="shared" si="46"/>
        <v>6943393.123455001</v>
      </c>
      <c r="I124" s="29">
        <v>2044162676.2581999</v>
      </c>
      <c r="J124" s="13">
        <f t="shared" si="47"/>
        <v>1.0738726737893009E-3</v>
      </c>
      <c r="K124" s="29">
        <f xml:space="preserve"> 1405829.06*C241</f>
        <v>2018429054.2813261</v>
      </c>
      <c r="L124" s="13">
        <f t="shared" si="54"/>
        <v>1.0302874628116394E-3</v>
      </c>
      <c r="M124" s="13">
        <f t="shared" si="55"/>
        <v>-1.2588832716571643E-2</v>
      </c>
      <c r="N124" s="20">
        <f t="shared" si="56"/>
        <v>1.7049299009368893E-3</v>
      </c>
      <c r="O124" s="21">
        <f t="shared" si="57"/>
        <v>3.4399986012524173E-3</v>
      </c>
      <c r="P124" s="24">
        <f t="shared" si="58"/>
        <v>155646.90424748042</v>
      </c>
      <c r="Q124" s="24">
        <f t="shared" si="59"/>
        <v>535.42513290060151</v>
      </c>
      <c r="R124" s="10">
        <f>109.54 *FX_RATE</f>
        <v>157272.83273400003</v>
      </c>
      <c r="S124" s="10">
        <f>110.22*FX_RATE</f>
        <v>158249.147562</v>
      </c>
      <c r="T124" s="10">
        <v>107</v>
      </c>
      <c r="U124" s="10">
        <v>13318</v>
      </c>
      <c r="V124" s="10">
        <v>12968</v>
      </c>
    </row>
    <row r="125" spans="1:23" ht="15" customHeight="1">
      <c r="A125" s="145">
        <v>111</v>
      </c>
      <c r="B125" s="19" t="s">
        <v>134</v>
      </c>
      <c r="C125" s="96" t="s">
        <v>69</v>
      </c>
      <c r="D125" s="17">
        <f>3503962.78*FX_RATE</f>
        <v>5030839439.5207376</v>
      </c>
      <c r="E125" s="17">
        <f>29286.23*FX_RATE</f>
        <v>42047912.654733002</v>
      </c>
      <c r="F125" s="17">
        <v>0</v>
      </c>
      <c r="G125" s="17">
        <f>7142.42*FX_RATE</f>
        <v>10254780.226182001</v>
      </c>
      <c r="H125" s="12">
        <f t="shared" si="46"/>
        <v>31793132.428551003</v>
      </c>
      <c r="I125" s="29">
        <v>4349657004.1182175</v>
      </c>
      <c r="J125" s="13">
        <f t="shared" si="47"/>
        <v>2.2850323270890184E-3</v>
      </c>
      <c r="K125" s="29">
        <f>3475663.13*FX_RATE</f>
        <v>4990208016.1057234</v>
      </c>
      <c r="L125" s="13">
        <f t="shared" si="54"/>
        <v>2.5472031057571548E-3</v>
      </c>
      <c r="M125" s="13">
        <f t="shared" si="55"/>
        <v>0.14726471797225341</v>
      </c>
      <c r="N125" s="20">
        <f t="shared" si="56"/>
        <v>2.0549805124525978E-3</v>
      </c>
      <c r="O125" s="21">
        <f t="shared" si="57"/>
        <v>6.3711036345458485E-3</v>
      </c>
      <c r="P125" s="24">
        <f t="shared" si="58"/>
        <v>166775.55139265896</v>
      </c>
      <c r="Q125" s="24">
        <f t="shared" si="59"/>
        <v>1062.5443216311573</v>
      </c>
      <c r="R125" s="10">
        <f>116.94*FX_RATE</f>
        <v>167897.43527399999</v>
      </c>
      <c r="S125" s="10">
        <f>116.94*FX_RATE</f>
        <v>167897.43527399999</v>
      </c>
      <c r="T125" s="10">
        <v>62</v>
      </c>
      <c r="U125" s="10">
        <v>28833.83</v>
      </c>
      <c r="V125" s="10">
        <v>29921.7</v>
      </c>
    </row>
    <row r="126" spans="1:23" ht="15" customHeight="1">
      <c r="A126" s="145">
        <v>112</v>
      </c>
      <c r="B126" s="19" t="s">
        <v>317</v>
      </c>
      <c r="C126" s="19" t="s">
        <v>135</v>
      </c>
      <c r="D126" s="17">
        <v>58258667517.82</v>
      </c>
      <c r="E126" s="17">
        <v>432366397.12</v>
      </c>
      <c r="F126" s="17">
        <v>0</v>
      </c>
      <c r="G126" s="17">
        <v>94583177.510000005</v>
      </c>
      <c r="H126" s="12">
        <f t="shared" si="46"/>
        <v>337783219.61000001</v>
      </c>
      <c r="I126" s="29">
        <v>58899631255.760002</v>
      </c>
      <c r="J126" s="13">
        <f t="shared" si="47"/>
        <v>3.0942109077936038E-2</v>
      </c>
      <c r="K126" s="29">
        <v>57839014046.150002</v>
      </c>
      <c r="L126" s="13">
        <f t="shared" si="54"/>
        <v>2.9523361698909123E-2</v>
      </c>
      <c r="M126" s="13">
        <f t="shared" si="55"/>
        <v>-1.8007196089301139E-2</v>
      </c>
      <c r="N126" s="20">
        <f t="shared" si="56"/>
        <v>1.635283364867383E-3</v>
      </c>
      <c r="O126" s="21">
        <f t="shared" si="57"/>
        <v>5.840058396232019E-3</v>
      </c>
      <c r="P126" s="24">
        <f t="shared" si="58"/>
        <v>184152.83126320774</v>
      </c>
      <c r="Q126" s="24">
        <f t="shared" si="59"/>
        <v>1075.4632884085947</v>
      </c>
      <c r="R126" s="10">
        <f>127.89*C241</f>
        <v>183618.975519</v>
      </c>
      <c r="S126" s="10">
        <f>127.89*C241</f>
        <v>183618.975519</v>
      </c>
      <c r="T126" s="10">
        <v>2547</v>
      </c>
      <c r="U126" s="10">
        <v>320142.2</v>
      </c>
      <c r="V126" s="10">
        <v>314081.59000000003</v>
      </c>
    </row>
    <row r="127" spans="1:23">
      <c r="A127" s="145">
        <v>113</v>
      </c>
      <c r="B127" s="19" t="s">
        <v>136</v>
      </c>
      <c r="C127" s="19" t="s">
        <v>135</v>
      </c>
      <c r="D127" s="17">
        <v>164585704942.04999</v>
      </c>
      <c r="E127" s="17">
        <v>1366009180.7</v>
      </c>
      <c r="F127" s="17">
        <v>0</v>
      </c>
      <c r="G127" s="17">
        <v>268290490.59</v>
      </c>
      <c r="H127" s="12">
        <f t="shared" si="46"/>
        <v>1097718690.1100001</v>
      </c>
      <c r="I127" s="29">
        <v>167153210449.51001</v>
      </c>
      <c r="J127" s="13">
        <f t="shared" si="47"/>
        <v>8.7811634133959732E-2</v>
      </c>
      <c r="K127" s="29">
        <v>162681181327.67999</v>
      </c>
      <c r="L127" s="13">
        <f t="shared" si="54"/>
        <v>8.3039025425133736E-2</v>
      </c>
      <c r="M127" s="13">
        <f t="shared" si="55"/>
        <v>-2.6754072564946815E-2</v>
      </c>
      <c r="N127" s="20">
        <f t="shared" si="56"/>
        <v>1.6491796309838496E-3</v>
      </c>
      <c r="O127" s="21">
        <f t="shared" si="57"/>
        <v>6.7476685450108959E-3</v>
      </c>
      <c r="P127" s="24">
        <f t="shared" si="58"/>
        <v>179524.18527083617</v>
      </c>
      <c r="Q127" s="24">
        <f t="shared" si="59"/>
        <v>1211.3696980207294</v>
      </c>
      <c r="R127" s="10">
        <f>124.68*C241</f>
        <v>179010.19522800003</v>
      </c>
      <c r="S127" s="10">
        <f>124.68*C241</f>
        <v>179010.19522800003</v>
      </c>
      <c r="T127" s="10">
        <v>971</v>
      </c>
      <c r="U127" s="10">
        <v>932575.97</v>
      </c>
      <c r="V127" s="10">
        <v>906179.75</v>
      </c>
    </row>
    <row r="128" spans="1:23">
      <c r="A128" s="145">
        <v>114</v>
      </c>
      <c r="B128" s="91" t="s">
        <v>272</v>
      </c>
      <c r="C128" s="92" t="s">
        <v>273</v>
      </c>
      <c r="D128" s="17">
        <f>1642987.69*FX_RATE</f>
        <v>2358931241.1300988</v>
      </c>
      <c r="E128" s="17">
        <f>20561.26*FX_RATE</f>
        <v>29520975.029945999</v>
      </c>
      <c r="F128" s="17">
        <v>0</v>
      </c>
      <c r="G128" s="17">
        <f>1979.54*FX_RATE</f>
        <v>2842138.6097340002</v>
      </c>
      <c r="H128" s="12">
        <f>(E128+F128)-G128</f>
        <v>26678836.420212001</v>
      </c>
      <c r="I128" s="46">
        <v>2261048269.36971</v>
      </c>
      <c r="J128" s="13">
        <f t="shared" si="47"/>
        <v>1.187810529365144E-3</v>
      </c>
      <c r="K128" s="29">
        <f>1623423.86*FX_RATE</f>
        <v>2330842333.3044062</v>
      </c>
      <c r="L128" s="13">
        <f t="shared" si="54"/>
        <v>1.1897557799717686E-3</v>
      </c>
      <c r="M128" s="13">
        <f t="shared" si="55"/>
        <v>3.086801147953909E-2</v>
      </c>
      <c r="N128" s="20">
        <f t="shared" si="56"/>
        <v>1.2193611593216327E-3</v>
      </c>
      <c r="O128" s="21">
        <f t="shared" si="57"/>
        <v>1.1446006466850869E-2</v>
      </c>
      <c r="P128" s="24">
        <f t="shared" si="58"/>
        <v>153531.85578651412</v>
      </c>
      <c r="Q128" s="24">
        <f t="shared" si="59"/>
        <v>1757.3266142000555</v>
      </c>
      <c r="R128" s="10">
        <f>1*FX_RATE</f>
        <v>1435.7571</v>
      </c>
      <c r="S128" s="10">
        <f>1*FX_RATE</f>
        <v>1435.7571</v>
      </c>
      <c r="T128" s="10">
        <v>16</v>
      </c>
      <c r="U128" s="10">
        <v>15181.49</v>
      </c>
      <c r="V128" s="10">
        <v>15181.49</v>
      </c>
    </row>
    <row r="129" spans="1:24" s="3" customFormat="1">
      <c r="A129" s="145">
        <v>115</v>
      </c>
      <c r="B129" s="91" t="s">
        <v>137</v>
      </c>
      <c r="C129" s="92" t="s">
        <v>138</v>
      </c>
      <c r="D129" s="17">
        <f>192765.23*FX_RATE</f>
        <v>276764047.60563302</v>
      </c>
      <c r="E129" s="17">
        <v>0</v>
      </c>
      <c r="F129" s="17">
        <v>0</v>
      </c>
      <c r="G129" s="17">
        <f>4379.78*FX_RATE</f>
        <v>6288300.2314379998</v>
      </c>
      <c r="H129" s="12">
        <f t="shared" si="46"/>
        <v>-6288300.2314379998</v>
      </c>
      <c r="I129" s="29">
        <v>203123227.406524</v>
      </c>
      <c r="J129" s="13">
        <f t="shared" si="47"/>
        <v>1.0670798653022865E-4</v>
      </c>
      <c r="K129" s="29">
        <f>181363.26*FX_RATE</f>
        <v>260393588.22414601</v>
      </c>
      <c r="L129" s="13">
        <f t="shared" si="54"/>
        <v>1.3291537236586056E-4</v>
      </c>
      <c r="M129" s="13">
        <f t="shared" si="55"/>
        <v>0.28194885217633447</v>
      </c>
      <c r="N129" s="20">
        <f t="shared" si="56"/>
        <v>2.4149213021424514E-2</v>
      </c>
      <c r="O129" s="21">
        <f t="shared" si="57"/>
        <v>-2.4149213021424514E-2</v>
      </c>
      <c r="P129" s="24">
        <f t="shared" si="58"/>
        <v>194227.90880920293</v>
      </c>
      <c r="Q129" s="24">
        <f t="shared" si="59"/>
        <v>-4690.4511445392563</v>
      </c>
      <c r="R129" s="10">
        <f>135.2794*FX_RATE</f>
        <v>194228.35903374001</v>
      </c>
      <c r="S129" s="10">
        <f>135.2794*FX_RATE</f>
        <v>194228.35903374001</v>
      </c>
      <c r="T129" s="10">
        <v>10</v>
      </c>
      <c r="U129" s="10">
        <v>1043.0899999999999</v>
      </c>
      <c r="V129" s="10">
        <v>1340.66</v>
      </c>
      <c r="W129" s="6"/>
      <c r="X129" s="6"/>
    </row>
    <row r="130" spans="1:24">
      <c r="A130" s="145">
        <v>116</v>
      </c>
      <c r="B130" s="19" t="s">
        <v>139</v>
      </c>
      <c r="C130" s="19" t="s">
        <v>140</v>
      </c>
      <c r="D130" s="17">
        <f>10253231.5*FX_RATE</f>
        <v>14721149924.068651</v>
      </c>
      <c r="E130" s="17">
        <f>61268*FX_RATE</f>
        <v>87965966.002800003</v>
      </c>
      <c r="F130" s="17">
        <v>0</v>
      </c>
      <c r="G130" s="17">
        <f>17030.17*FX_RATE</f>
        <v>24451187.491706997</v>
      </c>
      <c r="H130" s="12">
        <f t="shared" si="46"/>
        <v>63514778.511093006</v>
      </c>
      <c r="I130" s="29">
        <v>14907640648.513401</v>
      </c>
      <c r="J130" s="13">
        <f t="shared" si="47"/>
        <v>7.8315234443146909E-3</v>
      </c>
      <c r="K130" s="29">
        <f>10178106.51*FX_RATE</f>
        <v>14613288686.288721</v>
      </c>
      <c r="L130" s="13">
        <f t="shared" si="54"/>
        <v>7.4592109601252163E-3</v>
      </c>
      <c r="M130" s="13">
        <f t="shared" si="55"/>
        <v>-1.9745040088153247E-2</v>
      </c>
      <c r="N130" s="20">
        <f t="shared" si="56"/>
        <v>1.6732159349352297E-3</v>
      </c>
      <c r="O130" s="21">
        <f t="shared" si="57"/>
        <v>4.3463712977002446E-3</v>
      </c>
      <c r="P130" s="24">
        <f t="shared" si="58"/>
        <v>2127.4863220441871</v>
      </c>
      <c r="Q130" s="24">
        <f t="shared" si="59"/>
        <v>9.2468454863827123</v>
      </c>
      <c r="R130" s="10">
        <f>1.48*FX_RATE</f>
        <v>2124.9205080000002</v>
      </c>
      <c r="S130" s="10">
        <f>1.48*FX_RATE</f>
        <v>2124.9205080000002</v>
      </c>
      <c r="T130" s="10">
        <v>112</v>
      </c>
      <c r="U130" s="10">
        <v>7064704</v>
      </c>
      <c r="V130" s="10">
        <v>6868805</v>
      </c>
    </row>
    <row r="131" spans="1:24">
      <c r="A131" s="145">
        <v>117</v>
      </c>
      <c r="B131" s="19" t="s">
        <v>141</v>
      </c>
      <c r="C131" s="19" t="s">
        <v>50</v>
      </c>
      <c r="D131" s="17">
        <f>101631877*FX_RATE</f>
        <v>145918688989.07669</v>
      </c>
      <c r="E131" s="17">
        <f>961529*FX_RATE</f>
        <v>1380522088.6059</v>
      </c>
      <c r="F131" s="17">
        <v>0</v>
      </c>
      <c r="G131" s="17">
        <f>159829*FX_RATE</f>
        <v>229475621.5359</v>
      </c>
      <c r="H131" s="12">
        <f t="shared" si="46"/>
        <v>1151046467.0700002</v>
      </c>
      <c r="I131" s="29">
        <v>158870816793.04309</v>
      </c>
      <c r="J131" s="13">
        <f t="shared" si="47"/>
        <v>8.3460592837419481E-2</v>
      </c>
      <c r="K131" s="29">
        <f>111394319*FX_RATE</f>
        <v>159935184403.91492</v>
      </c>
      <c r="L131" s="13">
        <f t="shared" si="54"/>
        <v>8.1637358025690845E-2</v>
      </c>
      <c r="M131" s="13">
        <f t="shared" si="55"/>
        <v>6.6995791445974015E-3</v>
      </c>
      <c r="N131" s="20">
        <f t="shared" si="56"/>
        <v>1.4348038700250053E-3</v>
      </c>
      <c r="O131" s="21">
        <f t="shared" si="57"/>
        <v>7.1969558878491819E-3</v>
      </c>
      <c r="P131" s="24">
        <f t="shared" si="58"/>
        <v>179144.71649810317</v>
      </c>
      <c r="Q131" s="24">
        <f t="shared" si="59"/>
        <v>1289.2966221780962</v>
      </c>
      <c r="R131" s="10">
        <f>124.8*FX_RATE</f>
        <v>179182.48608</v>
      </c>
      <c r="S131" s="10">
        <f>124.8*FX_RATE</f>
        <v>179182.48608</v>
      </c>
      <c r="T131" s="10">
        <v>904</v>
      </c>
      <c r="U131" s="10">
        <v>892022.12</v>
      </c>
      <c r="V131" s="10">
        <v>892770.87</v>
      </c>
    </row>
    <row r="132" spans="1:24" ht="13.95" customHeight="1">
      <c r="A132" s="145">
        <v>118</v>
      </c>
      <c r="B132" s="19" t="s">
        <v>142</v>
      </c>
      <c r="C132" s="19" t="s">
        <v>143</v>
      </c>
      <c r="D132" s="17">
        <v>37334976133.940002</v>
      </c>
      <c r="E132" s="17">
        <v>2002782304.3099999</v>
      </c>
      <c r="F132" s="17">
        <v>-26324105.859999999</v>
      </c>
      <c r="G132" s="17">
        <v>70700248.829999998</v>
      </c>
      <c r="H132" s="12">
        <f t="shared" si="46"/>
        <v>1905757949.6200001</v>
      </c>
      <c r="I132" s="29">
        <v>35646017596.760002</v>
      </c>
      <c r="J132" s="13">
        <f t="shared" si="47"/>
        <v>1.8726143800180631E-2</v>
      </c>
      <c r="K132" s="29">
        <v>39121447841.470001</v>
      </c>
      <c r="L132" s="13">
        <f t="shared" si="54"/>
        <v>1.9969162231692771E-2</v>
      </c>
      <c r="M132" s="13">
        <f t="shared" si="55"/>
        <v>9.7498415784485662E-2</v>
      </c>
      <c r="N132" s="20">
        <f t="shared" si="56"/>
        <v>1.8071991894700646E-3</v>
      </c>
      <c r="O132" s="21">
        <f t="shared" si="57"/>
        <v>4.8713891094793148E-2</v>
      </c>
      <c r="P132" s="24">
        <f t="shared" si="58"/>
        <v>158728.94887132963</v>
      </c>
      <c r="Q132" s="24">
        <f t="shared" si="59"/>
        <v>7732.3047289089418</v>
      </c>
      <c r="R132" s="10">
        <v>158728.95000000001</v>
      </c>
      <c r="S132" s="10">
        <v>158728.95000000001</v>
      </c>
      <c r="T132" s="10">
        <v>839</v>
      </c>
      <c r="U132" s="10">
        <v>234348</v>
      </c>
      <c r="V132" s="10">
        <v>246467</v>
      </c>
    </row>
    <row r="133" spans="1:24">
      <c r="A133" s="145">
        <v>119</v>
      </c>
      <c r="B133" s="19" t="s">
        <v>144</v>
      </c>
      <c r="C133" s="19" t="s">
        <v>42</v>
      </c>
      <c r="D133" s="17">
        <f>1948389.86*FX_RATE</f>
        <v>2797414575.0630064</v>
      </c>
      <c r="E133" s="17">
        <f>52413.08*FX_RATE</f>
        <v>75252451.742868006</v>
      </c>
      <c r="F133" s="17">
        <v>0</v>
      </c>
      <c r="G133" s="17">
        <f>2555.56*FX_RATE</f>
        <v>3669163.4144760002</v>
      </c>
      <c r="H133" s="12">
        <f t="shared" si="46"/>
        <v>71583288.328391999</v>
      </c>
      <c r="I133" s="29">
        <v>2642889704.0349631</v>
      </c>
      <c r="J133" s="13">
        <f t="shared" si="47"/>
        <v>1.3884056616263909E-3</v>
      </c>
      <c r="K133" s="29">
        <f>1925571.03*FX_RATE</f>
        <v>2764652277.8768129</v>
      </c>
      <c r="L133" s="13">
        <f t="shared" si="54"/>
        <v>1.4111898433528578E-3</v>
      </c>
      <c r="M133" s="13">
        <f t="shared" si="55"/>
        <v>4.6071757612870474E-2</v>
      </c>
      <c r="N133" s="20">
        <f t="shared" si="56"/>
        <v>1.3271699460497182E-3</v>
      </c>
      <c r="O133" s="21">
        <f t="shared" si="57"/>
        <v>2.589232971582461E-2</v>
      </c>
      <c r="P133" s="24">
        <f t="shared" si="58"/>
        <v>221141.57623599397</v>
      </c>
      <c r="Q133" s="24">
        <f t="shared" si="59"/>
        <v>5725.8706057795198</v>
      </c>
      <c r="R133" s="10">
        <f>154.19*FX_RATE</f>
        <v>221379.38724899999</v>
      </c>
      <c r="S133" s="10">
        <f>160.37*FX_RATE</f>
        <v>230252.36612700002</v>
      </c>
      <c r="T133" s="10">
        <v>48</v>
      </c>
      <c r="U133" s="10">
        <v>12501.73</v>
      </c>
      <c r="V133" s="10">
        <v>12501.73</v>
      </c>
    </row>
    <row r="134" spans="1:24" ht="5.7" customHeight="1">
      <c r="A134" s="149"/>
      <c r="B134" s="149"/>
      <c r="C134" s="149"/>
      <c r="D134" s="149"/>
      <c r="E134" s="149"/>
      <c r="F134" s="149"/>
      <c r="G134" s="149"/>
      <c r="H134" s="149"/>
      <c r="I134" s="149"/>
      <c r="J134" s="149"/>
      <c r="K134" s="149"/>
      <c r="L134" s="149"/>
      <c r="M134" s="149"/>
      <c r="N134" s="149"/>
      <c r="O134" s="149"/>
      <c r="P134" s="149"/>
      <c r="Q134" s="149"/>
      <c r="R134" s="149"/>
      <c r="S134" s="149"/>
      <c r="T134" s="149"/>
      <c r="U134" s="149"/>
      <c r="V134" s="149"/>
    </row>
    <row r="135" spans="1:24">
      <c r="A135" s="157" t="s">
        <v>145</v>
      </c>
      <c r="B135" s="157"/>
      <c r="C135" s="157"/>
      <c r="D135" s="157"/>
      <c r="E135" s="157"/>
      <c r="F135" s="157"/>
      <c r="G135" s="157"/>
      <c r="H135" s="157"/>
      <c r="I135" s="157"/>
      <c r="J135" s="157"/>
      <c r="K135" s="157"/>
      <c r="L135" s="157"/>
      <c r="M135" s="157"/>
      <c r="N135" s="157"/>
      <c r="O135" s="157"/>
      <c r="P135" s="157"/>
      <c r="Q135" s="157"/>
      <c r="R135" s="157"/>
      <c r="S135" s="157"/>
      <c r="T135" s="157"/>
      <c r="U135" s="157"/>
      <c r="V135" s="157"/>
    </row>
    <row r="136" spans="1:24">
      <c r="A136" s="103">
        <v>120</v>
      </c>
      <c r="B136" s="25" t="s">
        <v>146</v>
      </c>
      <c r="C136" s="10" t="s">
        <v>101</v>
      </c>
      <c r="D136" s="44">
        <f>898000*FX_RATE</f>
        <v>1289309875.8</v>
      </c>
      <c r="E136" s="10">
        <f>7860.86*FX_RATE</f>
        <v>11286285.557105999</v>
      </c>
      <c r="F136" s="10">
        <v>0</v>
      </c>
      <c r="G136" s="10">
        <f>2182.64*FX_RATE</f>
        <v>3133740.8767439998</v>
      </c>
      <c r="H136" s="12">
        <f>(E136+F136)-G136</f>
        <v>8152544.6803619992</v>
      </c>
      <c r="I136" s="10">
        <v>1517065889.7587979</v>
      </c>
      <c r="J136" s="13">
        <f t="shared" ref="J136:J154" si="60">(I136/$I$155)</f>
        <v>7.9696964545499199E-4</v>
      </c>
      <c r="K136" s="10">
        <f>1055316.22*FX_RATE</f>
        <v>1515177755.610162</v>
      </c>
      <c r="L136" s="13">
        <f t="shared" ref="L136" si="61">(K136/$K$155)</f>
        <v>7.7340773619217259E-4</v>
      </c>
      <c r="M136" s="13">
        <f t="shared" ref="M136:M155" si="62">((K136-I136)/I136)</f>
        <v>-1.2445960069249618E-3</v>
      </c>
      <c r="N136" s="20">
        <f t="shared" ref="N136" si="63">(G136/K136)</f>
        <v>2.0682331595358212E-3</v>
      </c>
      <c r="O136" s="21">
        <f t="shared" ref="O136" si="64">H136/K136</f>
        <v>5.380586304264327E-3</v>
      </c>
      <c r="P136" s="22">
        <f t="shared" ref="P136" si="65">K136/V136</f>
        <v>170321.24051373225</v>
      </c>
      <c r="Q136" s="22">
        <f t="shared" ref="Q136" si="66">H136/V136</f>
        <v>916.42813403349817</v>
      </c>
      <c r="R136" s="10">
        <f>118.62*FX_RATE</f>
        <v>170309.50720200001</v>
      </c>
      <c r="S136" s="10">
        <f>118.62*FX_RATE</f>
        <v>170309.50720200001</v>
      </c>
      <c r="T136" s="10">
        <v>27</v>
      </c>
      <c r="U136" s="17">
        <v>8936</v>
      </c>
      <c r="V136" s="17">
        <v>8896</v>
      </c>
    </row>
    <row r="137" spans="1:24">
      <c r="A137" s="103">
        <v>121</v>
      </c>
      <c r="B137" s="25" t="s">
        <v>147</v>
      </c>
      <c r="C137" s="10" t="s">
        <v>28</v>
      </c>
      <c r="D137" s="44">
        <f>6111295.6*FX_RATE</f>
        <v>8774336047.8987598</v>
      </c>
      <c r="E137" s="10">
        <f>108455.44*FX_RATE</f>
        <v>155715668.01362401</v>
      </c>
      <c r="F137" s="10">
        <v>0</v>
      </c>
      <c r="G137" s="10">
        <f>20335.34*FX_RATE</f>
        <v>29196608.785914</v>
      </c>
      <c r="H137" s="12">
        <f t="shared" ref="H137:H154" si="67">(E137+F137)-G137</f>
        <v>126519059.22771001</v>
      </c>
      <c r="I137" s="10">
        <v>25470238199.411644</v>
      </c>
      <c r="J137" s="13">
        <f t="shared" si="60"/>
        <v>1.3380438413697827E-2</v>
      </c>
      <c r="K137" s="10">
        <f>18395004.82*FX_RATE</f>
        <v>26410758774.849224</v>
      </c>
      <c r="L137" s="13">
        <f t="shared" ref="L137:L154" si="68">(K137/$K$155)</f>
        <v>1.3481114726996524E-2</v>
      </c>
      <c r="M137" s="13">
        <f t="shared" ref="M137:M154" si="69">((K137-I137)/I137)</f>
        <v>3.6926257543178603E-2</v>
      </c>
      <c r="N137" s="20">
        <f t="shared" ref="N137:N154" si="70">(G137/K137)</f>
        <v>1.1054816347691502E-3</v>
      </c>
      <c r="O137" s="21">
        <f t="shared" ref="O137:O154" si="71">H137/K137</f>
        <v>4.790436363691042E-3</v>
      </c>
      <c r="P137" s="22">
        <f t="shared" ref="P137:P154" si="72">K137/V137</f>
        <v>194321.76460319379</v>
      </c>
      <c r="Q137" s="22">
        <f t="shared" ref="Q137:Q154" si="73">H137/V137</f>
        <v>930.88604741175038</v>
      </c>
      <c r="R137" s="10">
        <f>135.2764*FX_RATE</f>
        <v>194224.05176244001</v>
      </c>
      <c r="S137" s="10">
        <f>135.4121*FX_RATE</f>
        <v>194418.88400091001</v>
      </c>
      <c r="T137" s="10">
        <v>652</v>
      </c>
      <c r="U137" s="17">
        <v>130304.17</v>
      </c>
      <c r="V137" s="17">
        <v>135912.51</v>
      </c>
    </row>
    <row r="138" spans="1:24">
      <c r="A138" s="103">
        <v>122</v>
      </c>
      <c r="B138" s="25" t="s">
        <v>312</v>
      </c>
      <c r="C138" s="25" t="s">
        <v>309</v>
      </c>
      <c r="D138" s="44">
        <f>245776.32*FX_RATE</f>
        <v>352875096.45187199</v>
      </c>
      <c r="E138" s="10">
        <f xml:space="preserve"> 2374.8*FX_RATE</f>
        <v>3409635.9610800003</v>
      </c>
      <c r="F138" s="10">
        <v>0</v>
      </c>
      <c r="G138" s="10">
        <f>1396.84*FX_RATE</f>
        <v>2005522.947564</v>
      </c>
      <c r="H138" s="12">
        <f t="shared" ref="H138" si="74">(E138+F138)-G138</f>
        <v>1404113.0135160002</v>
      </c>
      <c r="I138" s="10">
        <v>387549685.82759202</v>
      </c>
      <c r="J138" s="13">
        <f t="shared" si="60"/>
        <v>2.0359388329488893E-4</v>
      </c>
      <c r="K138" s="10">
        <f>274319.86*FX_RATE</f>
        <v>393856686.66600597</v>
      </c>
      <c r="L138" s="13">
        <f t="shared" si="68"/>
        <v>2.0104031179882148E-4</v>
      </c>
      <c r="M138" s="13">
        <f t="shared" si="69"/>
        <v>1.6274044513661996E-2</v>
      </c>
      <c r="N138" s="20">
        <f t="shared" si="70"/>
        <v>5.0920119308897286E-3</v>
      </c>
      <c r="O138" s="21">
        <f t="shared" si="71"/>
        <v>3.5650353569005185E-3</v>
      </c>
      <c r="P138" s="22">
        <f t="shared" si="72"/>
        <v>147236.14454803962</v>
      </c>
      <c r="Q138" s="22">
        <f t="shared" si="73"/>
        <v>524.90206112747671</v>
      </c>
      <c r="R138" s="10">
        <f>100*FX_RATE</f>
        <v>143575.71</v>
      </c>
      <c r="S138" s="10">
        <f>100*FX_RATE</f>
        <v>143575.71</v>
      </c>
      <c r="T138" s="10">
        <v>14</v>
      </c>
      <c r="U138" s="17">
        <v>2440</v>
      </c>
      <c r="V138" s="17">
        <v>2675</v>
      </c>
    </row>
    <row r="139" spans="1:24" ht="14.1" customHeight="1">
      <c r="A139" s="103">
        <v>123</v>
      </c>
      <c r="B139" s="25" t="s">
        <v>148</v>
      </c>
      <c r="C139" s="25" t="s">
        <v>62</v>
      </c>
      <c r="D139" s="44">
        <f>11918551.72*C241</f>
        <v>17112145253.707212</v>
      </c>
      <c r="E139" s="10">
        <f>86447.42*C241</f>
        <v>124117497.041682</v>
      </c>
      <c r="F139" s="10">
        <v>0</v>
      </c>
      <c r="G139" s="10">
        <f>21209.72*C241</f>
        <v>30452006.079012003</v>
      </c>
      <c r="H139" s="12">
        <f t="shared" si="67"/>
        <v>93665490.962669998</v>
      </c>
      <c r="I139" s="10">
        <v>16777021485.755657</v>
      </c>
      <c r="J139" s="13">
        <f t="shared" si="60"/>
        <v>8.8135768891483834E-3</v>
      </c>
      <c r="K139" s="10">
        <f>12237490.25*C241</f>
        <v>17570063512.618275</v>
      </c>
      <c r="L139" s="13">
        <f t="shared" si="68"/>
        <v>8.9684678881617914E-3</v>
      </c>
      <c r="M139" s="13">
        <f t="shared" si="69"/>
        <v>4.7269536343858234E-2</v>
      </c>
      <c r="N139" s="20">
        <f t="shared" si="70"/>
        <v>1.7331756403237994E-3</v>
      </c>
      <c r="O139" s="21">
        <f t="shared" si="71"/>
        <v>5.3309705394862317E-3</v>
      </c>
      <c r="P139" s="22">
        <f t="shared" si="72"/>
        <v>171219.81262966443</v>
      </c>
      <c r="Q139" s="22">
        <f t="shared" si="73"/>
        <v>912.76777690509368</v>
      </c>
      <c r="R139" s="10">
        <f>118.88*FX_RATE</f>
        <v>170682.80404799999</v>
      </c>
      <c r="S139" s="10">
        <f>118.88*FX_RATE</f>
        <v>170682.80404799999</v>
      </c>
      <c r="T139" s="10">
        <v>457</v>
      </c>
      <c r="U139" s="17">
        <v>97355</v>
      </c>
      <c r="V139" s="17">
        <v>102617</v>
      </c>
    </row>
    <row r="140" spans="1:24" ht="14.1" customHeight="1">
      <c r="A140" s="103">
        <v>124</v>
      </c>
      <c r="B140" s="25" t="s">
        <v>256</v>
      </c>
      <c r="C140" s="25" t="s">
        <v>64</v>
      </c>
      <c r="D140" s="44">
        <v>221060423.97</v>
      </c>
      <c r="E140" s="10">
        <v>1467677.45</v>
      </c>
      <c r="F140" s="10">
        <v>7397136.4000000004</v>
      </c>
      <c r="G140" s="10">
        <v>737877.73</v>
      </c>
      <c r="H140" s="12">
        <f t="shared" si="67"/>
        <v>8126936.1199999992</v>
      </c>
      <c r="I140" s="10">
        <v>190602964.13</v>
      </c>
      <c r="J140" s="13">
        <f t="shared" si="60"/>
        <v>1.0013063886731272E-4</v>
      </c>
      <c r="K140" s="10">
        <v>214481987.22999999</v>
      </c>
      <c r="L140" s="13">
        <f t="shared" si="68"/>
        <v>1.0948024255461173E-4</v>
      </c>
      <c r="M140" s="13">
        <f t="shared" si="69"/>
        <v>0.12528148871658365</v>
      </c>
      <c r="N140" s="20">
        <f t="shared" si="70"/>
        <v>3.4402783167461798E-3</v>
      </c>
      <c r="O140" s="21">
        <f t="shared" si="71"/>
        <v>3.7890995999048958E-2</v>
      </c>
      <c r="P140" s="22">
        <f t="shared" si="72"/>
        <v>1443.1711361852967</v>
      </c>
      <c r="Q140" s="22">
        <f t="shared" si="73"/>
        <v>54.683191747140022</v>
      </c>
      <c r="R140" s="10">
        <f>1.0022*FX_RATE</f>
        <v>1438.91576562</v>
      </c>
      <c r="S140" s="10">
        <f>1.0022*FX_RATE</f>
        <v>1438.91576562</v>
      </c>
      <c r="T140" s="10">
        <v>5</v>
      </c>
      <c r="U140" s="17">
        <v>128624.29</v>
      </c>
      <c r="V140" s="17">
        <v>148618.54</v>
      </c>
    </row>
    <row r="141" spans="1:24" ht="15" customHeight="1">
      <c r="A141" s="103">
        <v>125</v>
      </c>
      <c r="B141" s="25" t="s">
        <v>149</v>
      </c>
      <c r="C141" s="10" t="s">
        <v>60</v>
      </c>
      <c r="D141" s="44">
        <f>7678188.93*FX_RATE</f>
        <v>11024014271.388903</v>
      </c>
      <c r="E141" s="10">
        <f>53914.61*FX_RATE</f>
        <v>77408284.101231009</v>
      </c>
      <c r="F141" s="10">
        <v>0</v>
      </c>
      <c r="G141" s="10">
        <f>9303.04*FX_RATE</f>
        <v>13356905.731584001</v>
      </c>
      <c r="H141" s="12">
        <f t="shared" si="67"/>
        <v>64051378.369647011</v>
      </c>
      <c r="I141" s="10">
        <v>10466503493.874142</v>
      </c>
      <c r="J141" s="13">
        <f t="shared" si="60"/>
        <v>5.4984332816240059E-3</v>
      </c>
      <c r="K141" s="10">
        <f>7656725.76*FX_RATE</f>
        <v>10993198372.672895</v>
      </c>
      <c r="L141" s="13">
        <f t="shared" si="68"/>
        <v>5.6113710984996438E-3</v>
      </c>
      <c r="M141" s="13">
        <f t="shared" si="69"/>
        <v>5.0321951271216685E-2</v>
      </c>
      <c r="N141" s="20">
        <f t="shared" si="70"/>
        <v>1.2150154376170319E-3</v>
      </c>
      <c r="O141" s="21">
        <f t="shared" si="71"/>
        <v>5.8264552497176037E-3</v>
      </c>
      <c r="P141" s="22">
        <f t="shared" si="72"/>
        <v>1922.4745148533702</v>
      </c>
      <c r="Q141" s="22">
        <f t="shared" si="73"/>
        <v>11.201211729515723</v>
      </c>
      <c r="R141" s="10">
        <f>1.34*FX_RATE</f>
        <v>1923.9145140000001</v>
      </c>
      <c r="S141" s="10">
        <f>1.34*FX_RATE</f>
        <v>1923.9145140000001</v>
      </c>
      <c r="T141" s="10">
        <v>309</v>
      </c>
      <c r="U141" s="17">
        <v>5436753.4199999999</v>
      </c>
      <c r="V141" s="17">
        <v>5718254.4100000001</v>
      </c>
    </row>
    <row r="142" spans="1:24" ht="15" customHeight="1">
      <c r="A142" s="103">
        <v>126</v>
      </c>
      <c r="B142" s="25" t="s">
        <v>313</v>
      </c>
      <c r="C142" s="10" t="s">
        <v>77</v>
      </c>
      <c r="D142" s="44" t="s">
        <v>321</v>
      </c>
      <c r="E142" s="10">
        <f>244.66*FX_RATE</f>
        <v>351272.33208600001</v>
      </c>
      <c r="F142" s="10"/>
      <c r="G142" s="10">
        <f>533.27*FX_RATE</f>
        <v>765646.18871699995</v>
      </c>
      <c r="H142" s="12">
        <f t="shared" ref="H142:H143" si="75">(E142+F142)-G142</f>
        <v>-414373.85663099994</v>
      </c>
      <c r="I142" s="10">
        <v>487736200.09964597</v>
      </c>
      <c r="J142" s="13">
        <f t="shared" si="60"/>
        <v>2.5622548703588743E-4</v>
      </c>
      <c r="K142" s="10">
        <f>292055.12*FX_RATE</f>
        <v>419320212.13135201</v>
      </c>
      <c r="L142" s="13">
        <f t="shared" si="68"/>
        <v>2.1403792050361293E-4</v>
      </c>
      <c r="M142" s="13">
        <f t="shared" si="69"/>
        <v>-0.14027252427504125</v>
      </c>
      <c r="N142" s="20">
        <f t="shared" si="70"/>
        <v>1.8259224491595969E-3</v>
      </c>
      <c r="O142" s="21">
        <f t="shared" si="71"/>
        <v>-9.8820387055703726E-4</v>
      </c>
      <c r="P142" s="22">
        <f t="shared" si="72"/>
        <v>1489.1584409917964</v>
      </c>
      <c r="Q142" s="22">
        <f t="shared" si="73"/>
        <v>-1.4715921352607764</v>
      </c>
      <c r="R142" s="10">
        <f>1.04*FX_RATE</f>
        <v>1493.1873840000001</v>
      </c>
      <c r="S142" s="10">
        <f>1.04*FX_RATE</f>
        <v>1493.1873840000001</v>
      </c>
      <c r="T142" s="10">
        <v>15</v>
      </c>
      <c r="U142" s="17">
        <v>281582</v>
      </c>
      <c r="V142" s="17">
        <v>281582</v>
      </c>
    </row>
    <row r="143" spans="1:24" ht="15" customHeight="1">
      <c r="A143" s="103">
        <v>127</v>
      </c>
      <c r="B143" s="10" t="s">
        <v>268</v>
      </c>
      <c r="C143" s="10" t="s">
        <v>36</v>
      </c>
      <c r="D143" s="44">
        <f>85076825.47*C241</f>
        <v>122149656214.01334</v>
      </c>
      <c r="E143" s="10">
        <f>476775.94*C241</f>
        <v>684534440.96417403</v>
      </c>
      <c r="F143" s="10">
        <v>0</v>
      </c>
      <c r="G143" s="10">
        <f>70527.47*C241</f>
        <v>101260315.797537</v>
      </c>
      <c r="H143" s="12">
        <f t="shared" si="75"/>
        <v>583274125.16663706</v>
      </c>
      <c r="I143" s="10">
        <v>113086899459.9232</v>
      </c>
      <c r="J143" s="13">
        <f t="shared" si="60"/>
        <v>5.9408643208311018E-2</v>
      </c>
      <c r="K143" s="10">
        <f>82134631*C241</f>
        <v>117925379614.1301</v>
      </c>
      <c r="L143" s="13">
        <f t="shared" si="68"/>
        <v>6.0193862105795581E-2</v>
      </c>
      <c r="M143" s="13">
        <f t="shared" si="69"/>
        <v>4.278550545920308E-2</v>
      </c>
      <c r="N143" s="20">
        <f t="shared" si="70"/>
        <v>8.5868127903320098E-4</v>
      </c>
      <c r="O143" s="21">
        <f t="shared" si="71"/>
        <v>4.9461288746765059E-3</v>
      </c>
      <c r="P143" s="22">
        <f t="shared" si="72"/>
        <v>143575.71</v>
      </c>
      <c r="Q143" s="22">
        <f t="shared" si="73"/>
        <v>710.14396493318031</v>
      </c>
      <c r="R143" s="10">
        <f>100*C241</f>
        <v>143575.71</v>
      </c>
      <c r="S143" s="10">
        <f>100*C241</f>
        <v>143575.71</v>
      </c>
      <c r="T143" s="10">
        <v>2187</v>
      </c>
      <c r="U143" s="17">
        <v>781665.92</v>
      </c>
      <c r="V143" s="17">
        <v>821346.31</v>
      </c>
    </row>
    <row r="144" spans="1:24" ht="15" customHeight="1">
      <c r="A144" s="103">
        <v>128</v>
      </c>
      <c r="B144" s="25" t="s">
        <v>232</v>
      </c>
      <c r="C144" s="25" t="s">
        <v>233</v>
      </c>
      <c r="D144" s="44">
        <f>1075073*FX_RATE</f>
        <v>1543543692.7683001</v>
      </c>
      <c r="E144" s="10">
        <f>6942.48*FX_RATE</f>
        <v>9967714.9516080003</v>
      </c>
      <c r="F144" s="10">
        <v>0</v>
      </c>
      <c r="G144" s="10">
        <f>2830.99*FX_RATE</f>
        <v>4064613.9925289997</v>
      </c>
      <c r="H144" s="12">
        <f t="shared" si="67"/>
        <v>5903100.9590790011</v>
      </c>
      <c r="I144" s="10">
        <v>1455360386.0919631</v>
      </c>
      <c r="J144" s="13">
        <f t="shared" si="60"/>
        <v>7.6455350999775232E-4</v>
      </c>
      <c r="K144" s="10">
        <f>1049573.08*FX_RATE</f>
        <v>1506932001.5788682</v>
      </c>
      <c r="L144" s="13">
        <f t="shared" si="68"/>
        <v>7.691987713133473E-4</v>
      </c>
      <c r="M144" s="13">
        <f t="shared" si="69"/>
        <v>3.5435632287195103E-2</v>
      </c>
      <c r="N144" s="20">
        <f t="shared" si="70"/>
        <v>2.6972776397809284E-3</v>
      </c>
      <c r="O144" s="21">
        <f t="shared" si="71"/>
        <v>3.9172974977597563E-3</v>
      </c>
      <c r="P144" s="22">
        <f t="shared" si="72"/>
        <v>1650.2269685502024</v>
      </c>
      <c r="Q144" s="22">
        <f t="shared" si="73"/>
        <v>6.4644299746373761</v>
      </c>
      <c r="R144" s="10">
        <f>1.15*FX_RATE</f>
        <v>1651.1206649999999</v>
      </c>
      <c r="S144" s="10">
        <f>1.15*FX_RATE</f>
        <v>1651.1206649999999</v>
      </c>
      <c r="T144" s="10">
        <v>62</v>
      </c>
      <c r="U144" s="17">
        <v>884196.95</v>
      </c>
      <c r="V144" s="17">
        <v>913166.51</v>
      </c>
    </row>
    <row r="145" spans="1:22" ht="15" customHeight="1">
      <c r="A145" s="103">
        <v>129</v>
      </c>
      <c r="B145" s="25" t="s">
        <v>234</v>
      </c>
      <c r="C145" s="25" t="s">
        <v>40</v>
      </c>
      <c r="D145" s="44">
        <f>4387036.86*FX_RATE</f>
        <v>6298719319.706707</v>
      </c>
      <c r="E145" s="10">
        <f>42327.86*FX_RATE</f>
        <v>60772525.522806004</v>
      </c>
      <c r="F145" s="10">
        <f>16506*FX_RATE</f>
        <v>23698606.692600001</v>
      </c>
      <c r="G145" s="10">
        <f>9739.8*FX_RATE</f>
        <v>13983987.00258</v>
      </c>
      <c r="H145" s="12">
        <f t="shared" si="67"/>
        <v>70487145.212825999</v>
      </c>
      <c r="I145" s="10">
        <v>7547556647.3815632</v>
      </c>
      <c r="J145" s="13">
        <f t="shared" si="60"/>
        <v>3.965004806924714E-3</v>
      </c>
      <c r="K145" s="10">
        <f>6211478.46*FX_RATE</f>
        <v>8918174300.4420662</v>
      </c>
      <c r="L145" s="13">
        <f t="shared" si="68"/>
        <v>4.5521952596872268E-3</v>
      </c>
      <c r="M145" s="13">
        <f t="shared" si="69"/>
        <v>0.18159753110776647</v>
      </c>
      <c r="N145" s="20">
        <f t="shared" si="70"/>
        <v>1.5680324841696384E-3</v>
      </c>
      <c r="O145" s="21">
        <f t="shared" si="71"/>
        <v>7.90376402593208E-3</v>
      </c>
      <c r="P145" s="22">
        <f t="shared" si="72"/>
        <v>15702.632499715097</v>
      </c>
      <c r="Q145" s="22">
        <f t="shared" si="73"/>
        <v>124.10990186368012</v>
      </c>
      <c r="R145" s="10">
        <f>10.94*FX_RATE</f>
        <v>15707.182674</v>
      </c>
      <c r="S145" s="10">
        <f>10.94*FX_RATE</f>
        <v>15707.182674</v>
      </c>
      <c r="T145" s="10">
        <v>170</v>
      </c>
      <c r="U145" s="17">
        <v>481056.02</v>
      </c>
      <c r="V145" s="17">
        <v>567941.35</v>
      </c>
    </row>
    <row r="146" spans="1:22">
      <c r="A146" s="103">
        <v>130</v>
      </c>
      <c r="B146" s="10" t="s">
        <v>150</v>
      </c>
      <c r="C146" s="10" t="s">
        <v>44</v>
      </c>
      <c r="D146" s="44">
        <f>19687844.59*FX_RATE</f>
        <v>28266962653.789089</v>
      </c>
      <c r="E146" s="10">
        <f>217646.22*FX_RATE</f>
        <v>312487105.653162</v>
      </c>
      <c r="F146" s="10">
        <f>316464.29*FX_RATE</f>
        <v>454365851.26395899</v>
      </c>
      <c r="G146" s="10">
        <f>33468.51*FX_RATE</f>
        <v>48052650.858921006</v>
      </c>
      <c r="H146" s="12">
        <f t="shared" si="67"/>
        <v>718800306.05819988</v>
      </c>
      <c r="I146" s="10">
        <v>28214652162.268845</v>
      </c>
      <c r="J146" s="13">
        <f t="shared" si="60"/>
        <v>1.4822178444717695E-2</v>
      </c>
      <c r="K146" s="10">
        <f>19605327.37*FX_RATE</f>
        <v>28148487969.30183</v>
      </c>
      <c r="L146" s="13">
        <f t="shared" si="68"/>
        <v>1.4368121678768608E-2</v>
      </c>
      <c r="M146" s="13">
        <f t="shared" si="69"/>
        <v>-2.3450295465805879E-3</v>
      </c>
      <c r="N146" s="20">
        <f t="shared" si="70"/>
        <v>1.7071130396533645E-3</v>
      </c>
      <c r="O146" s="21">
        <f t="shared" si="71"/>
        <v>2.5536018376621471E-2</v>
      </c>
      <c r="P146" s="22">
        <f t="shared" si="72"/>
        <v>1624.2642434594077</v>
      </c>
      <c r="Q146" s="22">
        <f t="shared" si="73"/>
        <v>41.477241569468603</v>
      </c>
      <c r="R146" s="10">
        <f>1.13*FX_RATE</f>
        <v>1622.4055229999999</v>
      </c>
      <c r="S146" s="10">
        <f>1.14*FX_RATE</f>
        <v>1636.7630939999999</v>
      </c>
      <c r="T146" s="10">
        <v>678</v>
      </c>
      <c r="U146" s="17">
        <v>17603097</v>
      </c>
      <c r="V146" s="17">
        <v>17329993</v>
      </c>
    </row>
    <row r="147" spans="1:22">
      <c r="A147" s="103">
        <v>131</v>
      </c>
      <c r="B147" s="25" t="s">
        <v>151</v>
      </c>
      <c r="C147" s="10" t="s">
        <v>83</v>
      </c>
      <c r="D147" s="44">
        <f>297064.73*FX_RATE</f>
        <v>426512795.257083</v>
      </c>
      <c r="E147" s="10">
        <f>1755.38*FX_RATE</f>
        <v>2520299.2981980001</v>
      </c>
      <c r="F147" s="10">
        <f>14814.79*FX_RATE</f>
        <v>21270439.927509002</v>
      </c>
      <c r="G147" s="10">
        <f>112.86*FX_RATE</f>
        <v>162039.546306</v>
      </c>
      <c r="H147" s="12">
        <f t="shared" si="67"/>
        <v>23628699.679401003</v>
      </c>
      <c r="I147" s="10">
        <v>454630979.32218593</v>
      </c>
      <c r="J147" s="13">
        <f t="shared" si="60"/>
        <v>2.3883411580815755E-4</v>
      </c>
      <c r="K147" s="10">
        <f>321590.62*FX_RATE</f>
        <v>461726015.95840198</v>
      </c>
      <c r="L147" s="13">
        <f t="shared" si="68"/>
        <v>2.3568355027731613E-4</v>
      </c>
      <c r="M147" s="13">
        <f t="shared" si="69"/>
        <v>1.5606144233272683E-2</v>
      </c>
      <c r="N147" s="20">
        <f t="shared" si="70"/>
        <v>3.5094307166048564E-4</v>
      </c>
      <c r="O147" s="21">
        <f t="shared" si="71"/>
        <v>5.1174720207946375E-2</v>
      </c>
      <c r="P147" s="22">
        <f t="shared" si="72"/>
        <v>1923.738166191288</v>
      </c>
      <c r="Q147" s="22">
        <f t="shared" si="73"/>
        <v>98.446762408186999</v>
      </c>
      <c r="R147" s="10">
        <f>1.33*FX_RATE</f>
        <v>1909.556943</v>
      </c>
      <c r="S147" s="10">
        <f>1.33*FX_RATE</f>
        <v>1909.556943</v>
      </c>
      <c r="T147" s="10">
        <v>2</v>
      </c>
      <c r="U147" s="17">
        <v>240015</v>
      </c>
      <c r="V147" s="17">
        <v>240015</v>
      </c>
    </row>
    <row r="148" spans="1:22">
      <c r="A148" s="103">
        <v>132</v>
      </c>
      <c r="B148" s="25" t="s">
        <v>301</v>
      </c>
      <c r="C148" s="10" t="s">
        <v>296</v>
      </c>
      <c r="D148" s="44">
        <f>540931.57*FX_RATE</f>
        <v>776646342.24164701</v>
      </c>
      <c r="E148" s="10">
        <f>4234.38 *FX_RATE</f>
        <v>6079541.1490980005</v>
      </c>
      <c r="F148" s="10">
        <v>0</v>
      </c>
      <c r="G148" s="10">
        <v>0</v>
      </c>
      <c r="H148" s="12">
        <f t="shared" si="67"/>
        <v>6079541.1490980005</v>
      </c>
      <c r="I148" s="10">
        <v>877094038.6712389</v>
      </c>
      <c r="J148" s="13">
        <f t="shared" si="60"/>
        <v>4.6076925844113653E-4</v>
      </c>
      <c r="K148" s="10">
        <f>645006.6105*FX_RATE</f>
        <v>926072820.57230949</v>
      </c>
      <c r="L148" s="13">
        <f t="shared" si="68"/>
        <v>4.7270485661235392E-4</v>
      </c>
      <c r="M148" s="13">
        <f t="shared" si="69"/>
        <v>5.5842110129116163E-2</v>
      </c>
      <c r="N148" s="20">
        <f t="shared" si="70"/>
        <v>0</v>
      </c>
      <c r="O148" s="21">
        <f t="shared" si="71"/>
        <v>6.5648629503464607E-3</v>
      </c>
      <c r="P148" s="22">
        <f t="shared" si="72"/>
        <v>1533.8895701132324</v>
      </c>
      <c r="Q148" s="22">
        <f t="shared" si="73"/>
        <v>10.069774808759218</v>
      </c>
      <c r="R148" s="10">
        <f>1.0683*FX_RATE</f>
        <v>1533.8193099300001</v>
      </c>
      <c r="S148" s="10">
        <f>1.0683*FX_RATE</f>
        <v>1533.8193099300001</v>
      </c>
      <c r="T148" s="10">
        <v>10</v>
      </c>
      <c r="U148" s="17">
        <v>581199.34</v>
      </c>
      <c r="V148" s="17">
        <v>603741.52</v>
      </c>
    </row>
    <row r="149" spans="1:22">
      <c r="A149" s="103">
        <v>133</v>
      </c>
      <c r="B149" s="25" t="s">
        <v>152</v>
      </c>
      <c r="C149" s="25" t="s">
        <v>46</v>
      </c>
      <c r="D149" s="44">
        <f>678795846.27*FX_RATE</f>
        <v>974585955732.66101</v>
      </c>
      <c r="E149" s="10">
        <f>3816049.33*FX_RATE</f>
        <v>5478919919.4977436</v>
      </c>
      <c r="F149" s="10">
        <v>0</v>
      </c>
      <c r="G149" s="10">
        <f>1123270.85*FX_RATE</f>
        <v>1612744098.1105351</v>
      </c>
      <c r="H149" s="12">
        <f t="shared" si="67"/>
        <v>3866175821.3872085</v>
      </c>
      <c r="I149" s="10">
        <v>1009678419335.5308</v>
      </c>
      <c r="J149" s="13">
        <f t="shared" si="60"/>
        <v>0.53042063453772148</v>
      </c>
      <c r="K149" s="10">
        <f>703700885.75*FX_RATE</f>
        <v>1010343542991.8513</v>
      </c>
      <c r="L149" s="13">
        <f t="shared" si="68"/>
        <v>0.51572002655690652</v>
      </c>
      <c r="M149" s="13">
        <f t="shared" si="69"/>
        <v>6.5874801677773254E-4</v>
      </c>
      <c r="N149" s="20">
        <f t="shared" si="70"/>
        <v>1.5962333894220199E-3</v>
      </c>
      <c r="O149" s="21">
        <f t="shared" si="71"/>
        <v>3.8265952687128622E-3</v>
      </c>
      <c r="P149" s="22">
        <f t="shared" si="72"/>
        <v>2401.7334792357765</v>
      </c>
      <c r="Q149" s="22">
        <f t="shared" si="73"/>
        <v>9.1904619683529027</v>
      </c>
      <c r="R149" s="10">
        <f>1.6728*FX_RATE</f>
        <v>2401.7344768800003</v>
      </c>
      <c r="S149" s="10">
        <f>1.6728*FX_RATE</f>
        <v>2401.7344768800003</v>
      </c>
      <c r="T149" s="10">
        <v>12865</v>
      </c>
      <c r="U149" s="17">
        <v>418670377.56999999</v>
      </c>
      <c r="V149" s="17">
        <v>420672631.55000001</v>
      </c>
    </row>
    <row r="150" spans="1:22">
      <c r="A150" s="103">
        <v>134</v>
      </c>
      <c r="B150" s="25" t="s">
        <v>299</v>
      </c>
      <c r="C150" s="25" t="s">
        <v>298</v>
      </c>
      <c r="D150" s="44">
        <v>433646625.30000001</v>
      </c>
      <c r="E150" s="10">
        <v>13194614.539999999</v>
      </c>
      <c r="F150" s="10">
        <v>9143318.8200000003</v>
      </c>
      <c r="G150" s="10">
        <v>7229956.2400000002</v>
      </c>
      <c r="H150" s="12">
        <f t="shared" si="67"/>
        <v>15107977.119999999</v>
      </c>
      <c r="I150" s="10">
        <v>569318651.44000006</v>
      </c>
      <c r="J150" s="13">
        <f t="shared" si="60"/>
        <v>2.9908370285827902E-4</v>
      </c>
      <c r="K150" s="10">
        <v>575221941.33000004</v>
      </c>
      <c r="L150" s="13">
        <f t="shared" si="68"/>
        <v>2.9361644058254301E-4</v>
      </c>
      <c r="M150" s="13">
        <f t="shared" si="69"/>
        <v>1.0369043548930923E-2</v>
      </c>
      <c r="N150" s="20">
        <f t="shared" si="70"/>
        <v>1.2568985500245782E-2</v>
      </c>
      <c r="O150" s="21">
        <f t="shared" si="71"/>
        <v>2.6264605075856588E-2</v>
      </c>
      <c r="P150" s="22">
        <f t="shared" si="72"/>
        <v>163132.14167372638</v>
      </c>
      <c r="Q150" s="22">
        <f t="shared" si="73"/>
        <v>4284.6012762391101</v>
      </c>
      <c r="R150" s="10">
        <v>163132.17000000001</v>
      </c>
      <c r="S150" s="10">
        <v>163132.17000000001</v>
      </c>
      <c r="T150" s="10">
        <v>2</v>
      </c>
      <c r="U150" s="17">
        <v>3526.1104</v>
      </c>
      <c r="V150" s="17">
        <v>3526.1104</v>
      </c>
    </row>
    <row r="151" spans="1:22">
      <c r="A151" s="103">
        <v>135</v>
      </c>
      <c r="B151" s="25" t="s">
        <v>153</v>
      </c>
      <c r="C151" s="25" t="s">
        <v>50</v>
      </c>
      <c r="D151" s="44">
        <f>69531376*FX_RATE</f>
        <v>99830166764.769608</v>
      </c>
      <c r="E151" s="10">
        <f>774348*FX_RATE</f>
        <v>1111775638.8708</v>
      </c>
      <c r="F151" s="10">
        <v>0</v>
      </c>
      <c r="G151" s="10">
        <f>233616*FX_RATE</f>
        <v>335415830.67360002</v>
      </c>
      <c r="H151" s="12">
        <f t="shared" si="67"/>
        <v>776359808.19720006</v>
      </c>
      <c r="I151" s="10">
        <v>161821048005.17349</v>
      </c>
      <c r="J151" s="13">
        <f t="shared" si="60"/>
        <v>8.5010456122207756E-2</v>
      </c>
      <c r="K151" s="10">
        <f>135652113*FX_RATE</f>
        <v>194763484369.75232</v>
      </c>
      <c r="L151" s="13">
        <f t="shared" si="68"/>
        <v>9.9415124714954908E-2</v>
      </c>
      <c r="M151" s="13">
        <f t="shared" si="69"/>
        <v>0.20357324816933359</v>
      </c>
      <c r="N151" s="20">
        <f t="shared" si="70"/>
        <v>1.7221700040897998E-3</v>
      </c>
      <c r="O151" s="21">
        <f t="shared" si="71"/>
        <v>3.9861671745577603E-3</v>
      </c>
      <c r="P151" s="22">
        <f t="shared" si="72"/>
        <v>1791.9109145031775</v>
      </c>
      <c r="Q151" s="22">
        <f t="shared" si="73"/>
        <v>7.1428564671243429</v>
      </c>
      <c r="R151" s="10">
        <f>1.25*FX_RATE</f>
        <v>1794.696375</v>
      </c>
      <c r="S151" s="10">
        <f>1.25*FX_RATE</f>
        <v>1794.696375</v>
      </c>
      <c r="T151" s="10">
        <v>427</v>
      </c>
      <c r="U151" s="17">
        <v>90095769.819999993</v>
      </c>
      <c r="V151" s="17">
        <v>108690383.43000001</v>
      </c>
    </row>
    <row r="152" spans="1:22">
      <c r="A152" s="103">
        <v>136</v>
      </c>
      <c r="B152" s="25" t="s">
        <v>231</v>
      </c>
      <c r="C152" s="10" t="s">
        <v>211</v>
      </c>
      <c r="D152" s="44">
        <f>1285597.8*FX_RATE</f>
        <v>1845806169.0943801</v>
      </c>
      <c r="E152" s="10">
        <f>34034.9*FX_RATE</f>
        <v>48865849.322790004</v>
      </c>
      <c r="F152" s="10">
        <v>0</v>
      </c>
      <c r="G152" s="10">
        <f>11649.4*FX_RATE</f>
        <v>16725708.760740001</v>
      </c>
      <c r="H152" s="12">
        <f t="shared" ref="H152:H153" si="76">(E152+F152)-G152</f>
        <v>32140140.562050004</v>
      </c>
      <c r="I152" s="10">
        <v>1877061894.866997</v>
      </c>
      <c r="J152" s="13">
        <f t="shared" si="60"/>
        <v>9.8608858253814726E-4</v>
      </c>
      <c r="K152" s="10">
        <f>1326898.59*FX_RATE</f>
        <v>1905104071.5724893</v>
      </c>
      <c r="L152" s="13">
        <f t="shared" si="68"/>
        <v>9.7244182852461599E-4</v>
      </c>
      <c r="M152" s="13">
        <f t="shared" si="69"/>
        <v>1.4939399058803675E-2</v>
      </c>
      <c r="N152" s="20">
        <f t="shared" si="70"/>
        <v>8.77941998566748E-3</v>
      </c>
      <c r="O152" s="21">
        <f t="shared" si="71"/>
        <v>1.6870543211595392E-2</v>
      </c>
      <c r="P152" s="22">
        <f t="shared" si="72"/>
        <v>160560.69887474499</v>
      </c>
      <c r="Q152" s="22">
        <f t="shared" si="73"/>
        <v>2708.7462084503413</v>
      </c>
      <c r="R152" s="10">
        <f>111.8*FX_RATE</f>
        <v>160517.64378000001</v>
      </c>
      <c r="S152" s="10">
        <f>111.8*FX_RATE</f>
        <v>160517.64378000001</v>
      </c>
      <c r="T152" s="10">
        <v>31</v>
      </c>
      <c r="U152" s="17">
        <v>13216.23</v>
      </c>
      <c r="V152" s="17">
        <v>11865.32</v>
      </c>
    </row>
    <row r="153" spans="1:22">
      <c r="A153" s="103">
        <v>137</v>
      </c>
      <c r="B153" s="25" t="s">
        <v>314</v>
      </c>
      <c r="C153" s="25" t="s">
        <v>92</v>
      </c>
      <c r="D153" s="44">
        <f>3494354.48*FX_RATE</f>
        <v>5017044254.576808</v>
      </c>
      <c r="E153" s="10">
        <f>31174.79*FX_RATE</f>
        <v>44759426.083509006</v>
      </c>
      <c r="F153" s="10">
        <f>52549.24*FX_RATE</f>
        <v>75447944.429603994</v>
      </c>
      <c r="G153" s="10">
        <f>6305.98*FX_RATE</f>
        <v>9053855.5574580003</v>
      </c>
      <c r="H153" s="12">
        <f t="shared" si="76"/>
        <v>111153514.95565499</v>
      </c>
      <c r="I153" s="10">
        <v>3268511276.830359</v>
      </c>
      <c r="J153" s="13">
        <f t="shared" si="60"/>
        <v>1.7170673278240371E-3</v>
      </c>
      <c r="K153" s="10">
        <f>3480825.85*FX_RATE</f>
        <v>4997620428.0010357</v>
      </c>
      <c r="L153" s="13">
        <f t="shared" si="68"/>
        <v>2.550986699254651E-3</v>
      </c>
      <c r="M153" s="13">
        <f t="shared" si="69"/>
        <v>0.52902040247738769</v>
      </c>
      <c r="N153" s="20">
        <f t="shared" si="70"/>
        <v>1.8116332938632937E-3</v>
      </c>
      <c r="O153" s="21">
        <f t="shared" si="71"/>
        <v>2.2241287940331742E-2</v>
      </c>
      <c r="P153" s="22">
        <f t="shared" si="72"/>
        <v>1670.0212911810386</v>
      </c>
      <c r="Q153" s="22">
        <f t="shared" si="73"/>
        <v>37.143424403642079</v>
      </c>
      <c r="R153" s="10">
        <f>1.16*FX_RATE</f>
        <v>1665.4782359999999</v>
      </c>
      <c r="S153" s="10">
        <f>1.16*FX_RATE</f>
        <v>1665.4782359999999</v>
      </c>
      <c r="T153" s="10">
        <v>49</v>
      </c>
      <c r="U153" s="17">
        <v>1990865.54</v>
      </c>
      <c r="V153" s="17">
        <v>2992548.93</v>
      </c>
    </row>
    <row r="154" spans="1:22">
      <c r="A154" s="103">
        <v>138</v>
      </c>
      <c r="B154" s="25" t="s">
        <v>290</v>
      </c>
      <c r="C154" s="10" t="s">
        <v>291</v>
      </c>
      <c r="D154" s="44">
        <f>1012123.32*FX_RATE</f>
        <v>1453163242.7655721</v>
      </c>
      <c r="E154" s="10">
        <f>75795.36*FX_RATE</f>
        <v>108823726.267056</v>
      </c>
      <c r="F154" s="10">
        <v>0</v>
      </c>
      <c r="G154" s="10">
        <f>2316.22*FX_RATE</f>
        <v>3325529.3101619999</v>
      </c>
      <c r="H154" s="12">
        <f t="shared" si="67"/>
        <v>105498196.95689401</v>
      </c>
      <c r="I154" s="10">
        <v>1733121906.4827471</v>
      </c>
      <c r="J154" s="13">
        <f t="shared" si="60"/>
        <v>9.104716945151555E-4</v>
      </c>
      <c r="K154" s="10">
        <f>1220932.45*FX_RATE</f>
        <v>1752962433.707895</v>
      </c>
      <c r="L154" s="13">
        <f t="shared" si="68"/>
        <v>8.9478261046538538E-4</v>
      </c>
      <c r="M154" s="13">
        <f t="shared" si="69"/>
        <v>1.144785438977744E-2</v>
      </c>
      <c r="N154" s="20">
        <f t="shared" si="70"/>
        <v>1.8970910307118136E-3</v>
      </c>
      <c r="O154" s="21">
        <f t="shared" si="71"/>
        <v>6.0182805363228738E-2</v>
      </c>
      <c r="P154" s="22">
        <f t="shared" si="72"/>
        <v>2136.7384601892595</v>
      </c>
      <c r="Q154" s="22">
        <f t="shared" si="73"/>
        <v>128.59491486169529</v>
      </c>
      <c r="R154" s="10">
        <f>1.4882*FX_RATE</f>
        <v>2136.6937162200002</v>
      </c>
      <c r="S154" s="10">
        <f>1.4882*FX_RATE</f>
        <v>2136.6937162200002</v>
      </c>
      <c r="T154" s="10">
        <v>227</v>
      </c>
      <c r="U154" s="17">
        <v>818703.67</v>
      </c>
      <c r="V154" s="17">
        <v>820391.67</v>
      </c>
    </row>
    <row r="155" spans="1:22" ht="15" customHeight="1">
      <c r="A155" s="147" t="s">
        <v>51</v>
      </c>
      <c r="B155" s="147"/>
      <c r="C155" s="147"/>
      <c r="D155" s="147"/>
      <c r="E155" s="147"/>
      <c r="F155" s="147"/>
      <c r="G155" s="147"/>
      <c r="H155" s="147"/>
      <c r="I155" s="37">
        <f>SUM(I117:I154)</f>
        <v>1903542874450.0063</v>
      </c>
      <c r="J155" s="35">
        <f>(I155/$I$239)</f>
        <v>0.25820531366666544</v>
      </c>
      <c r="K155" s="37">
        <f>SUM(K117:K154)</f>
        <v>1959093095021.3279</v>
      </c>
      <c r="L155" s="35">
        <f>(K155/$K$239)</f>
        <v>0.25117221958925295</v>
      </c>
      <c r="M155" s="35">
        <f t="shared" si="62"/>
        <v>2.9182542361895446E-2</v>
      </c>
      <c r="N155" s="20"/>
      <c r="O155" s="20"/>
      <c r="P155" s="36"/>
      <c r="Q155" s="36"/>
      <c r="R155" s="37"/>
      <c r="S155" s="37"/>
      <c r="T155" s="39">
        <f>SUM(T117:T154)</f>
        <v>25249</v>
      </c>
      <c r="U155" s="39"/>
      <c r="V155" s="37"/>
    </row>
    <row r="156" spans="1:22" ht="4.2" customHeight="1">
      <c r="A156" s="153"/>
      <c r="B156" s="153"/>
      <c r="C156" s="153"/>
      <c r="D156" s="153"/>
      <c r="E156" s="153"/>
      <c r="F156" s="153"/>
      <c r="G156" s="153"/>
      <c r="H156" s="153"/>
      <c r="I156" s="153"/>
      <c r="J156" s="153"/>
      <c r="K156" s="153"/>
      <c r="L156" s="153"/>
      <c r="M156" s="153"/>
      <c r="N156" s="153"/>
      <c r="O156" s="153"/>
      <c r="P156" s="153"/>
      <c r="Q156" s="153"/>
      <c r="R156" s="153"/>
      <c r="S156" s="153"/>
      <c r="T156" s="153"/>
      <c r="U156" s="153"/>
      <c r="V156" s="153"/>
    </row>
    <row r="157" spans="1:22">
      <c r="A157" s="146" t="s">
        <v>154</v>
      </c>
      <c r="B157" s="146"/>
      <c r="C157" s="146"/>
      <c r="D157" s="146"/>
      <c r="E157" s="146"/>
      <c r="F157" s="146"/>
      <c r="G157" s="146"/>
      <c r="H157" s="146"/>
      <c r="I157" s="146"/>
      <c r="J157" s="146"/>
      <c r="K157" s="146"/>
      <c r="L157" s="146"/>
      <c r="M157" s="146"/>
      <c r="N157" s="146"/>
      <c r="O157" s="146"/>
      <c r="P157" s="146"/>
      <c r="Q157" s="146"/>
      <c r="R157" s="146"/>
      <c r="S157" s="146"/>
      <c r="T157" s="146"/>
      <c r="U157" s="146"/>
      <c r="V157" s="146"/>
    </row>
    <row r="158" spans="1:22">
      <c r="A158" s="103">
        <v>139</v>
      </c>
      <c r="B158" s="99" t="s">
        <v>227</v>
      </c>
      <c r="C158" s="99" t="s">
        <v>228</v>
      </c>
      <c r="D158" s="27">
        <v>2249478150</v>
      </c>
      <c r="E158" s="27">
        <v>39791368.130000003</v>
      </c>
      <c r="F158" s="27">
        <v>0</v>
      </c>
      <c r="G158" s="27">
        <v>4654250.45</v>
      </c>
      <c r="H158" s="12">
        <f t="shared" ref="H158:H163" si="77">(E158+F158)-G158</f>
        <v>35137117.68</v>
      </c>
      <c r="I158" s="28">
        <v>2552605243.3600001</v>
      </c>
      <c r="J158" s="13">
        <f>(I158/$I$164)</f>
        <v>5.2829168738668161E-3</v>
      </c>
      <c r="K158" s="28">
        <v>2306150505</v>
      </c>
      <c r="L158" s="13">
        <f>(K158/$K$164)</f>
        <v>4.6008550782135399E-3</v>
      </c>
      <c r="M158" s="13">
        <f t="shared" ref="M158:M164" si="78">((K158-I158)/I158)</f>
        <v>-9.6550275057647059E-2</v>
      </c>
      <c r="N158" s="20">
        <f>(G158/K158)</f>
        <v>2.0181902438323298E-3</v>
      </c>
      <c r="O158" s="21">
        <f>H158/K158</f>
        <v>1.5236263896835302E-2</v>
      </c>
      <c r="P158" s="22">
        <f>K158/V158</f>
        <v>108.67815763430725</v>
      </c>
      <c r="Q158" s="22">
        <f>H158/V158</f>
        <v>1.6558490895381714</v>
      </c>
      <c r="R158" s="27">
        <v>108.68</v>
      </c>
      <c r="S158" s="27">
        <v>108.68</v>
      </c>
      <c r="T158" s="27">
        <v>8</v>
      </c>
      <c r="U158" s="27">
        <v>21220000</v>
      </c>
      <c r="V158" s="27">
        <v>21220000</v>
      </c>
    </row>
    <row r="159" spans="1:22">
      <c r="A159" s="103">
        <v>140</v>
      </c>
      <c r="B159" s="99" t="s">
        <v>281</v>
      </c>
      <c r="C159" s="99" t="s">
        <v>58</v>
      </c>
      <c r="D159" s="27">
        <v>127299712060.27</v>
      </c>
      <c r="E159" s="27">
        <v>2979467968.0300002</v>
      </c>
      <c r="F159" s="27">
        <v>371463571.37</v>
      </c>
      <c r="G159" s="27">
        <v>528587608.47000003</v>
      </c>
      <c r="H159" s="12">
        <f t="shared" si="77"/>
        <v>2822343930.9300003</v>
      </c>
      <c r="I159" s="28">
        <v>267441309921</v>
      </c>
      <c r="J159" s="13">
        <f t="shared" ref="J159:J163" si="79">(I159/$I$164)</f>
        <v>0.55350125626590474</v>
      </c>
      <c r="K159" s="28">
        <v>270252509796</v>
      </c>
      <c r="L159" s="13">
        <f t="shared" ref="L159:L163" si="80">(K159/$K$164)</f>
        <v>0.53916369699161548</v>
      </c>
      <c r="M159" s="13">
        <f t="shared" ref="M159:M163" si="81">((K159-I159)/I159)</f>
        <v>1.051146464931093E-2</v>
      </c>
      <c r="N159" s="20">
        <f t="shared" ref="N159:N163" si="82">(G159/K159)</f>
        <v>1.9559026810481951E-3</v>
      </c>
      <c r="O159" s="21">
        <f t="shared" ref="O159:O163" si="83">H159/K159</f>
        <v>1.0443358816761575E-2</v>
      </c>
      <c r="P159" s="22">
        <f t="shared" ref="P159:P163" si="84">K159/V159</f>
        <v>108.1010039184</v>
      </c>
      <c r="Q159" s="22">
        <f t="shared" ref="Q159:Q163" si="85">H159/V159</f>
        <v>1.1289375723720001</v>
      </c>
      <c r="R159" s="27">
        <v>108.101</v>
      </c>
      <c r="S159" s="27">
        <v>108.101</v>
      </c>
      <c r="T159" s="27">
        <v>45</v>
      </c>
      <c r="U159" s="27">
        <v>2500000000</v>
      </c>
      <c r="V159" s="27">
        <v>2500000000</v>
      </c>
    </row>
    <row r="160" spans="1:22">
      <c r="A160" s="103">
        <v>141</v>
      </c>
      <c r="B160" s="25" t="s">
        <v>155</v>
      </c>
      <c r="C160" s="25" t="s">
        <v>44</v>
      </c>
      <c r="D160" s="27">
        <v>172767283506</v>
      </c>
      <c r="E160" s="27">
        <v>1320078027</v>
      </c>
      <c r="F160" s="27">
        <v>0</v>
      </c>
      <c r="G160" s="27">
        <v>366338156</v>
      </c>
      <c r="H160" s="12">
        <f t="shared" si="77"/>
        <v>953739871</v>
      </c>
      <c r="I160" s="28">
        <v>166450297242</v>
      </c>
      <c r="J160" s="13">
        <f t="shared" si="79"/>
        <v>0.34448847358882162</v>
      </c>
      <c r="K160" s="28">
        <v>164739044122</v>
      </c>
      <c r="L160" s="13">
        <f t="shared" si="80"/>
        <v>0.32866045216279072</v>
      </c>
      <c r="M160" s="13">
        <f t="shared" si="81"/>
        <v>-1.0280865509732498E-2</v>
      </c>
      <c r="N160" s="20">
        <f t="shared" si="82"/>
        <v>2.2237482192060233E-3</v>
      </c>
      <c r="O160" s="21">
        <f t="shared" si="83"/>
        <v>5.7893978691153109E-3</v>
      </c>
      <c r="P160" s="22">
        <f t="shared" si="84"/>
        <v>103.69964635949289</v>
      </c>
      <c r="Q160" s="22">
        <f t="shared" si="85"/>
        <v>0.60035851166165943</v>
      </c>
      <c r="R160" s="27">
        <v>103.7</v>
      </c>
      <c r="S160" s="27">
        <v>103.7</v>
      </c>
      <c r="T160" s="27">
        <v>848</v>
      </c>
      <c r="U160" s="27">
        <v>1588617222</v>
      </c>
      <c r="V160" s="27">
        <v>1588617222</v>
      </c>
    </row>
    <row r="161" spans="1:22">
      <c r="A161" s="103">
        <v>142</v>
      </c>
      <c r="B161" s="25" t="s">
        <v>156</v>
      </c>
      <c r="C161" s="25" t="s">
        <v>122</v>
      </c>
      <c r="D161" s="27">
        <v>3048176743.3000002</v>
      </c>
      <c r="E161" s="27">
        <v>124612083.68000001</v>
      </c>
      <c r="F161" s="27">
        <v>0</v>
      </c>
      <c r="G161" s="27">
        <v>10555620.199999999</v>
      </c>
      <c r="H161" s="12">
        <f t="shared" si="77"/>
        <v>114056463.48</v>
      </c>
      <c r="I161" s="28">
        <v>2870914143.3299999</v>
      </c>
      <c r="J161" s="13">
        <f t="shared" si="79"/>
        <v>5.9416945924849933E-3</v>
      </c>
      <c r="K161" s="28">
        <v>2989526862.4400001</v>
      </c>
      <c r="L161" s="13">
        <f t="shared" si="80"/>
        <v>5.9642160460437361E-3</v>
      </c>
      <c r="M161" s="13">
        <f t="shared" si="81"/>
        <v>4.1315313934264901E-2</v>
      </c>
      <c r="N161" s="20">
        <f t="shared" si="82"/>
        <v>3.5308664834624317E-3</v>
      </c>
      <c r="O161" s="21">
        <f t="shared" si="83"/>
        <v>3.8152011581829071E-2</v>
      </c>
      <c r="P161" s="22">
        <f t="shared" si="84"/>
        <v>149.476343122</v>
      </c>
      <c r="Q161" s="22">
        <f t="shared" si="85"/>
        <v>5.7028231740000006</v>
      </c>
      <c r="R161" s="27">
        <v>418.75</v>
      </c>
      <c r="S161" s="27">
        <v>418.75</v>
      </c>
      <c r="T161" s="27">
        <v>4897</v>
      </c>
      <c r="U161" s="27">
        <v>20000000</v>
      </c>
      <c r="V161" s="27">
        <v>20000000</v>
      </c>
    </row>
    <row r="162" spans="1:22">
      <c r="A162" s="103">
        <v>143</v>
      </c>
      <c r="B162" s="25" t="s">
        <v>157</v>
      </c>
      <c r="C162" s="25" t="s">
        <v>122</v>
      </c>
      <c r="D162" s="27">
        <v>28729562897.84</v>
      </c>
      <c r="E162" s="27">
        <v>112400757.44</v>
      </c>
      <c r="F162" s="27">
        <v>0</v>
      </c>
      <c r="G162" s="27">
        <v>17007899.289999999</v>
      </c>
      <c r="H162" s="12">
        <f t="shared" si="77"/>
        <v>95392858.150000006</v>
      </c>
      <c r="I162" s="28">
        <v>10806181197.030001</v>
      </c>
      <c r="J162" s="13">
        <f t="shared" si="79"/>
        <v>2.2364663371413761E-2</v>
      </c>
      <c r="K162" s="28">
        <v>27857521565.130001</v>
      </c>
      <c r="L162" s="13">
        <f t="shared" si="80"/>
        <v>5.5576780128394773E-2</v>
      </c>
      <c r="M162" s="13">
        <f t="shared" si="81"/>
        <v>1.5779247133840801</v>
      </c>
      <c r="N162" s="20">
        <f t="shared" si="82"/>
        <v>6.1053167455102104E-4</v>
      </c>
      <c r="O162" s="21">
        <f t="shared" si="83"/>
        <v>3.4243124581982117E-3</v>
      </c>
      <c r="P162" s="22">
        <f t="shared" si="84"/>
        <v>148.07822264729307</v>
      </c>
      <c r="Q162" s="22">
        <f t="shared" si="85"/>
        <v>0.50706610259897433</v>
      </c>
      <c r="R162" s="27">
        <v>51.85</v>
      </c>
      <c r="S162" s="27">
        <v>51.85</v>
      </c>
      <c r="T162" s="27">
        <v>6424</v>
      </c>
      <c r="U162" s="27">
        <v>188127066</v>
      </c>
      <c r="V162" s="27">
        <v>188127066</v>
      </c>
    </row>
    <row r="163" spans="1:22" ht="16.2" customHeight="1">
      <c r="A163" s="103">
        <v>144</v>
      </c>
      <c r="B163" s="25" t="s">
        <v>158</v>
      </c>
      <c r="C163" s="10" t="s">
        <v>159</v>
      </c>
      <c r="D163" s="27">
        <v>33328620049.580002</v>
      </c>
      <c r="E163" s="27">
        <v>230147053.36000001</v>
      </c>
      <c r="F163" s="27">
        <v>0</v>
      </c>
      <c r="G163" s="27">
        <v>97024632.489999995</v>
      </c>
      <c r="H163" s="12">
        <f t="shared" si="77"/>
        <v>133122420.87000002</v>
      </c>
      <c r="I163" s="28">
        <v>33059727333.93</v>
      </c>
      <c r="J163" s="13">
        <f t="shared" si="79"/>
        <v>6.8420995307507976E-2</v>
      </c>
      <c r="K163" s="28">
        <v>33099138946.919998</v>
      </c>
      <c r="L163" s="13">
        <f t="shared" si="80"/>
        <v>6.6033999592941761E-2</v>
      </c>
      <c r="M163" s="13">
        <f t="shared" si="81"/>
        <v>1.1921336371564313E-3</v>
      </c>
      <c r="N163" s="20">
        <f t="shared" si="82"/>
        <v>2.9313340339636993E-3</v>
      </c>
      <c r="O163" s="21">
        <f t="shared" si="83"/>
        <v>4.0219300291613044E-3</v>
      </c>
      <c r="P163" s="22">
        <f t="shared" si="84"/>
        <v>12.404721092423385</v>
      </c>
      <c r="Q163" s="22">
        <f t="shared" si="85"/>
        <v>4.9890920264988231E-2</v>
      </c>
      <c r="R163" s="27">
        <v>12.4</v>
      </c>
      <c r="S163" s="27">
        <v>12.4</v>
      </c>
      <c r="T163" s="27">
        <v>211894</v>
      </c>
      <c r="U163" s="27">
        <v>2668269500</v>
      </c>
      <c r="V163" s="27">
        <v>2668269500</v>
      </c>
    </row>
    <row r="164" spans="1:22" ht="15" customHeight="1">
      <c r="A164" s="147" t="s">
        <v>51</v>
      </c>
      <c r="B164" s="147"/>
      <c r="C164" s="147"/>
      <c r="D164" s="147"/>
      <c r="E164" s="147"/>
      <c r="F164" s="147"/>
      <c r="G164" s="147"/>
      <c r="H164" s="147"/>
      <c r="I164" s="37">
        <f>SUM(I158:I163)</f>
        <v>483181035080.65002</v>
      </c>
      <c r="J164" s="35">
        <f>(I164/$I$239)</f>
        <v>6.5540898708063206E-2</v>
      </c>
      <c r="K164" s="37">
        <f>SUM(K158:K163)</f>
        <v>501243891797.48999</v>
      </c>
      <c r="L164" s="35">
        <f>(K164/$K$239)</f>
        <v>6.4263684649942726E-2</v>
      </c>
      <c r="M164" s="35">
        <f t="shared" si="78"/>
        <v>3.7383207132343284E-2</v>
      </c>
      <c r="N164" s="20"/>
      <c r="O164" s="20"/>
      <c r="P164" s="38"/>
      <c r="Q164" s="38"/>
      <c r="R164" s="37"/>
      <c r="S164" s="37"/>
      <c r="T164" s="37">
        <f>SUM(T158:T163)</f>
        <v>224116</v>
      </c>
      <c r="U164" s="37"/>
      <c r="V164" s="37"/>
    </row>
    <row r="165" spans="1:22" ht="4.95" customHeight="1">
      <c r="A165" s="153"/>
      <c r="B165" s="153"/>
      <c r="C165" s="153"/>
      <c r="D165" s="153"/>
      <c r="E165" s="153"/>
      <c r="F165" s="153"/>
      <c r="G165" s="153"/>
      <c r="H165" s="153"/>
      <c r="I165" s="153"/>
      <c r="J165" s="153"/>
      <c r="K165" s="153"/>
      <c r="L165" s="153"/>
      <c r="M165" s="153"/>
      <c r="N165" s="153"/>
      <c r="O165" s="153"/>
      <c r="P165" s="153"/>
      <c r="Q165" s="153"/>
      <c r="R165" s="153"/>
      <c r="S165" s="153"/>
      <c r="T165" s="153"/>
      <c r="U165" s="153"/>
      <c r="V165" s="153"/>
    </row>
    <row r="166" spans="1:22" ht="13.95" customHeight="1">
      <c r="A166" s="154" t="s">
        <v>302</v>
      </c>
      <c r="B166" s="155"/>
      <c r="C166" s="155"/>
      <c r="D166" s="155"/>
      <c r="E166" s="155"/>
      <c r="F166" s="155"/>
      <c r="G166" s="155"/>
      <c r="H166" s="155"/>
      <c r="I166" s="155"/>
      <c r="J166" s="155"/>
      <c r="K166" s="155"/>
      <c r="L166" s="155"/>
      <c r="M166" s="155"/>
      <c r="N166" s="155"/>
      <c r="O166" s="155"/>
      <c r="P166" s="155"/>
      <c r="Q166" s="155"/>
      <c r="R166" s="155"/>
      <c r="S166" s="155"/>
      <c r="T166" s="155"/>
      <c r="U166" s="155"/>
      <c r="V166" s="156"/>
    </row>
    <row r="167" spans="1:22">
      <c r="A167" s="103">
        <v>145</v>
      </c>
      <c r="B167" s="25" t="s">
        <v>161</v>
      </c>
      <c r="C167" s="25" t="s">
        <v>55</v>
      </c>
      <c r="D167" s="29">
        <v>600335594.32000005</v>
      </c>
      <c r="E167" s="29">
        <v>19971552.859999999</v>
      </c>
      <c r="F167" s="29">
        <v>13623616.01</v>
      </c>
      <c r="G167" s="10">
        <v>1242379.6100000001</v>
      </c>
      <c r="H167" s="12">
        <f>(E167+F167)-G167</f>
        <v>32352789.259999998</v>
      </c>
      <c r="I167" s="10">
        <v>603572699.96000004</v>
      </c>
      <c r="J167" s="13">
        <f t="shared" ref="J167:J195" si="86">(I167/$I$196)</f>
        <v>7.506383837761102E-3</v>
      </c>
      <c r="K167" s="10">
        <v>606071358.77999997</v>
      </c>
      <c r="L167" s="13">
        <f t="shared" ref="L167" si="87">(K167/$K$196)</f>
        <v>7.2247371626004732E-3</v>
      </c>
      <c r="M167" s="13">
        <f t="shared" ref="M167:M196" si="88">((K167-I167)/I167)</f>
        <v>4.1397810407354813E-3</v>
      </c>
      <c r="N167" s="20">
        <f t="shared" ref="N167" si="89">(G167/K167)</f>
        <v>2.0498899873784928E-3</v>
      </c>
      <c r="O167" s="21">
        <f t="shared" ref="O167" si="90">H167/K167</f>
        <v>5.3381155191238552E-2</v>
      </c>
      <c r="P167" s="22">
        <f t="shared" ref="P167" si="91">K167/V167</f>
        <v>7.902003502986922</v>
      </c>
      <c r="Q167" s="22">
        <f t="shared" ref="Q167" si="92">H167/V167</f>
        <v>0.42181807531465554</v>
      </c>
      <c r="R167" s="10">
        <v>7.8428000000000004</v>
      </c>
      <c r="S167" s="10">
        <v>7.9560000000000004</v>
      </c>
      <c r="T167" s="10">
        <v>11891</v>
      </c>
      <c r="U167" s="10">
        <v>74315306.810000002</v>
      </c>
      <c r="V167" s="10">
        <v>76698442.180000007</v>
      </c>
    </row>
    <row r="168" spans="1:22">
      <c r="A168" s="103">
        <v>146</v>
      </c>
      <c r="B168" s="25" t="s">
        <v>221</v>
      </c>
      <c r="C168" s="25" t="s">
        <v>222</v>
      </c>
      <c r="D168" s="29">
        <v>882947364.61000001</v>
      </c>
      <c r="E168" s="29">
        <v>13528042.130000001</v>
      </c>
      <c r="F168" s="29">
        <v>411172832.44999999</v>
      </c>
      <c r="G168" s="10">
        <v>2419290.96</v>
      </c>
      <c r="H168" s="12">
        <f>(E168+F168)-G168</f>
        <v>422281583.62</v>
      </c>
      <c r="I168" s="10">
        <v>1414902026.3800001</v>
      </c>
      <c r="J168" s="13">
        <f t="shared" si="86"/>
        <v>1.7596550843896892E-2</v>
      </c>
      <c r="K168" s="10">
        <v>2118542019.76</v>
      </c>
      <c r="L168" s="13">
        <f t="shared" ref="L168:L195" si="93">(K168/$K$196)</f>
        <v>2.5254302218638062E-2</v>
      </c>
      <c r="M168" s="13">
        <f t="shared" ref="M168:M195" si="94">((K168-I168)/I168)</f>
        <v>0.49730651328576397</v>
      </c>
      <c r="N168" s="20">
        <f t="shared" ref="N168:N195" si="95">(G168/K168)</f>
        <v>1.1419603375504774E-3</v>
      </c>
      <c r="O168" s="21">
        <f t="shared" ref="O168:O195" si="96">H168/K168</f>
        <v>0.1993265083634444</v>
      </c>
      <c r="P168" s="22">
        <f t="shared" ref="P168:P195" si="97">K168/V168</f>
        <v>2205.6795979568847</v>
      </c>
      <c r="Q168" s="22">
        <f t="shared" ref="Q168:Q195" si="98">H168/V168</f>
        <v>439.65041282923164</v>
      </c>
      <c r="R168" s="10">
        <v>2198.31</v>
      </c>
      <c r="S168" s="10">
        <v>2211.0100000000002</v>
      </c>
      <c r="T168" s="10">
        <v>180</v>
      </c>
      <c r="U168" s="10">
        <v>649657</v>
      </c>
      <c r="V168" s="10">
        <v>960494</v>
      </c>
    </row>
    <row r="169" spans="1:22">
      <c r="A169" s="103">
        <v>147</v>
      </c>
      <c r="B169" s="25" t="s">
        <v>162</v>
      </c>
      <c r="C169" s="10" t="s">
        <v>58</v>
      </c>
      <c r="D169" s="29">
        <v>8202951215.6499996</v>
      </c>
      <c r="E169" s="29">
        <v>234467247.93000001</v>
      </c>
      <c r="F169" s="29">
        <v>94951883.969999999</v>
      </c>
      <c r="G169" s="10">
        <v>13031134.199999999</v>
      </c>
      <c r="H169" s="12">
        <f t="shared" ref="H169:H195" si="99">(E169+F169)-G169</f>
        <v>316387997.69999999</v>
      </c>
      <c r="I169" s="10">
        <v>9514231681</v>
      </c>
      <c r="J169" s="13">
        <f t="shared" si="86"/>
        <v>0.11832456127274481</v>
      </c>
      <c r="K169" s="10">
        <v>10012186809</v>
      </c>
      <c r="L169" s="13">
        <f t="shared" si="93"/>
        <v>0.11935132236489308</v>
      </c>
      <c r="M169" s="13">
        <f t="shared" si="94"/>
        <v>5.2337923302248415E-2</v>
      </c>
      <c r="N169" s="20">
        <f t="shared" si="95"/>
        <v>1.30152727357087E-3</v>
      </c>
      <c r="O169" s="21">
        <f t="shared" si="96"/>
        <v>3.1600289101237841E-2</v>
      </c>
      <c r="P169" s="22">
        <f t="shared" si="97"/>
        <v>1060.3957630926036</v>
      </c>
      <c r="Q169" s="22">
        <f t="shared" si="98"/>
        <v>33.508812675453989</v>
      </c>
      <c r="R169" s="10">
        <v>1055.0936999999999</v>
      </c>
      <c r="S169" s="10">
        <v>1086.9056</v>
      </c>
      <c r="T169" s="10">
        <v>22418</v>
      </c>
      <c r="U169" s="10">
        <v>9282220</v>
      </c>
      <c r="V169" s="10">
        <v>9441934</v>
      </c>
    </row>
    <row r="170" spans="1:22">
      <c r="A170" s="103">
        <v>148</v>
      </c>
      <c r="B170" s="25" t="s">
        <v>163</v>
      </c>
      <c r="C170" s="25" t="s">
        <v>105</v>
      </c>
      <c r="D170" s="29">
        <v>2693734334.6900001</v>
      </c>
      <c r="E170" s="29">
        <v>19712576.489999998</v>
      </c>
      <c r="F170" s="29">
        <v>101772056</v>
      </c>
      <c r="G170" s="10">
        <v>4168964.74</v>
      </c>
      <c r="H170" s="12">
        <f t="shared" si="99"/>
        <v>117315667.75</v>
      </c>
      <c r="I170" s="10">
        <v>2489115663.1199999</v>
      </c>
      <c r="J170" s="13">
        <f t="shared" si="86"/>
        <v>3.0956101204047529E-2</v>
      </c>
      <c r="K170" s="10">
        <v>2605884475.6300001</v>
      </c>
      <c r="L170" s="13">
        <f t="shared" si="93"/>
        <v>3.1063719048571192E-2</v>
      </c>
      <c r="M170" s="13">
        <f t="shared" si="94"/>
        <v>4.6911766391616982E-2</v>
      </c>
      <c r="N170" s="20">
        <f t="shared" si="95"/>
        <v>1.5998271523499173E-3</v>
      </c>
      <c r="O170" s="21">
        <f t="shared" si="96"/>
        <v>4.5019519801098508E-2</v>
      </c>
      <c r="P170" s="22">
        <f t="shared" si="97"/>
        <v>6.2893922822426696</v>
      </c>
      <c r="Q170" s="22">
        <f t="shared" si="98"/>
        <v>0.28314542038730001</v>
      </c>
      <c r="R170" s="10">
        <v>6.0084</v>
      </c>
      <c r="S170" s="10">
        <v>6.1443000000000003</v>
      </c>
      <c r="T170" s="10">
        <v>2737</v>
      </c>
      <c r="U170" s="10">
        <v>414422706.83999997</v>
      </c>
      <c r="V170" s="10">
        <v>414330090.83999997</v>
      </c>
    </row>
    <row r="171" spans="1:22">
      <c r="A171" s="103">
        <v>149</v>
      </c>
      <c r="B171" s="25" t="s">
        <v>277</v>
      </c>
      <c r="C171" s="10" t="s">
        <v>103</v>
      </c>
      <c r="D171" s="29">
        <v>1149917646.23</v>
      </c>
      <c r="E171" s="29">
        <v>38275323.859999999</v>
      </c>
      <c r="F171" s="29">
        <v>44713223.689999998</v>
      </c>
      <c r="G171" s="10">
        <v>1990567</v>
      </c>
      <c r="H171" s="12">
        <f t="shared" ref="H171" si="100">(E171+F171)-G171</f>
        <v>80997980.549999997</v>
      </c>
      <c r="I171" s="10">
        <v>1047382251.38</v>
      </c>
      <c r="J171" s="13">
        <f t="shared" si="86"/>
        <v>1.3025859526512218E-2</v>
      </c>
      <c r="K171" s="10">
        <v>1146950027.5599999</v>
      </c>
      <c r="L171" s="13">
        <f t="shared" si="93"/>
        <v>1.3672338030357715E-2</v>
      </c>
      <c r="M171" s="13">
        <f t="shared" si="94"/>
        <v>9.5063455628365268E-2</v>
      </c>
      <c r="N171" s="20">
        <f t="shared" si="95"/>
        <v>1.735530713778956E-3</v>
      </c>
      <c r="O171" s="21">
        <f t="shared" si="96"/>
        <v>7.0620322249186032E-2</v>
      </c>
      <c r="P171" s="22">
        <f t="shared" si="97"/>
        <v>1</v>
      </c>
      <c r="Q171" s="22">
        <f t="shared" si="98"/>
        <v>7.0620322249186032E-2</v>
      </c>
      <c r="R171" s="10">
        <v>1.2431000000000001</v>
      </c>
      <c r="S171" s="10">
        <v>1.2533000000000001</v>
      </c>
      <c r="T171" s="10">
        <v>229</v>
      </c>
      <c r="U171" s="10">
        <v>902899045.10000002</v>
      </c>
      <c r="V171" s="10">
        <v>1146950027.5599999</v>
      </c>
    </row>
    <row r="172" spans="1:22">
      <c r="A172" s="103">
        <v>150</v>
      </c>
      <c r="B172" s="25" t="s">
        <v>164</v>
      </c>
      <c r="C172" s="25" t="s">
        <v>60</v>
      </c>
      <c r="D172" s="29">
        <v>6344214834.0200005</v>
      </c>
      <c r="E172" s="29">
        <v>49898786.07</v>
      </c>
      <c r="F172" s="29">
        <v>1740892633.55</v>
      </c>
      <c r="G172" s="10">
        <v>16359326.85</v>
      </c>
      <c r="H172" s="12">
        <f t="shared" si="99"/>
        <v>1774432092.77</v>
      </c>
      <c r="I172" s="10">
        <v>6191936056.5500002</v>
      </c>
      <c r="J172" s="13">
        <f t="shared" si="86"/>
        <v>7.7006545760630651E-2</v>
      </c>
      <c r="K172" s="10">
        <v>6280641754.6300001</v>
      </c>
      <c r="L172" s="13">
        <f t="shared" si="93"/>
        <v>7.4869048392248477E-2</v>
      </c>
      <c r="M172" s="13">
        <f t="shared" si="94"/>
        <v>1.4326003574627454E-2</v>
      </c>
      <c r="N172" s="20">
        <f t="shared" si="95"/>
        <v>2.6047221747586757E-3</v>
      </c>
      <c r="O172" s="21">
        <f t="shared" si="96"/>
        <v>0.28252400982143483</v>
      </c>
      <c r="P172" s="22">
        <f t="shared" si="97"/>
        <v>11168.181323267587</v>
      </c>
      <c r="Q172" s="22">
        <f t="shared" si="98"/>
        <v>3155.2793698624168</v>
      </c>
      <c r="R172" s="10">
        <v>11168.18</v>
      </c>
      <c r="S172" s="10">
        <v>11251.7</v>
      </c>
      <c r="T172" s="10">
        <v>1362</v>
      </c>
      <c r="U172" s="10">
        <v>548250.89</v>
      </c>
      <c r="V172" s="10">
        <v>562369.25</v>
      </c>
    </row>
    <row r="173" spans="1:22" ht="14.1" customHeight="1">
      <c r="A173" s="103">
        <v>151</v>
      </c>
      <c r="B173" s="25" t="s">
        <v>165</v>
      </c>
      <c r="C173" s="10" t="s">
        <v>62</v>
      </c>
      <c r="D173" s="29">
        <v>1018377127.84</v>
      </c>
      <c r="E173" s="29">
        <v>8666335.7100000009</v>
      </c>
      <c r="F173" s="29">
        <v>28857313.850000001</v>
      </c>
      <c r="G173" s="10">
        <v>4128202.46</v>
      </c>
      <c r="H173" s="12">
        <f t="shared" si="99"/>
        <v>33395447.100000001</v>
      </c>
      <c r="I173" s="10">
        <v>1266149108.9400001</v>
      </c>
      <c r="J173" s="13">
        <f t="shared" si="86"/>
        <v>1.5746572381707621E-2</v>
      </c>
      <c r="K173" s="10">
        <v>1277811186.6700001</v>
      </c>
      <c r="L173" s="13">
        <f t="shared" si="93"/>
        <v>1.5232282194797565E-2</v>
      </c>
      <c r="M173" s="13">
        <f t="shared" si="94"/>
        <v>9.2106669330307596E-3</v>
      </c>
      <c r="N173" s="20">
        <f t="shared" si="95"/>
        <v>3.2306826728901732E-3</v>
      </c>
      <c r="O173" s="21">
        <f t="shared" si="96"/>
        <v>2.6134883970635101E-2</v>
      </c>
      <c r="P173" s="22">
        <f t="shared" si="97"/>
        <v>238.7238059374414</v>
      </c>
      <c r="Q173" s="22">
        <f t="shared" si="98"/>
        <v>6.2390189692034417</v>
      </c>
      <c r="R173" s="10">
        <v>230.96</v>
      </c>
      <c r="S173" s="10">
        <v>232.65</v>
      </c>
      <c r="T173" s="10">
        <v>527</v>
      </c>
      <c r="U173" s="10">
        <v>5474929</v>
      </c>
      <c r="V173" s="10">
        <v>5352676</v>
      </c>
    </row>
    <row r="174" spans="1:22">
      <c r="A174" s="103">
        <v>152</v>
      </c>
      <c r="B174" s="25" t="s">
        <v>166</v>
      </c>
      <c r="C174" s="10" t="s">
        <v>64</v>
      </c>
      <c r="D174" s="29">
        <v>1239951378.72</v>
      </c>
      <c r="E174" s="29">
        <v>8935800.7100000009</v>
      </c>
      <c r="F174" s="29">
        <v>219735956.56</v>
      </c>
      <c r="G174" s="10">
        <v>4015508.63</v>
      </c>
      <c r="H174" s="12">
        <f t="shared" si="99"/>
        <v>224656248.64000002</v>
      </c>
      <c r="I174" s="10">
        <v>1113660464.3399999</v>
      </c>
      <c r="J174" s="13">
        <f t="shared" si="86"/>
        <v>1.3850134227126748E-2</v>
      </c>
      <c r="K174" s="10">
        <v>1270557478.5999999</v>
      </c>
      <c r="L174" s="13">
        <f t="shared" si="93"/>
        <v>1.5145813607393144E-2</v>
      </c>
      <c r="M174" s="13">
        <f t="shared" si="94"/>
        <v>0.14088406591050487</v>
      </c>
      <c r="N174" s="20">
        <f t="shared" si="95"/>
        <v>3.1604305178106564E-3</v>
      </c>
      <c r="O174" s="21">
        <f t="shared" si="96"/>
        <v>0.17681706843168082</v>
      </c>
      <c r="P174" s="22">
        <f t="shared" si="97"/>
        <v>2.1463600770772091</v>
      </c>
      <c r="Q174" s="22">
        <f t="shared" si="98"/>
        <v>0.37951309662758859</v>
      </c>
      <c r="R174" s="10">
        <v>2.1242999999999999</v>
      </c>
      <c r="S174" s="10">
        <v>2.1604999999999999</v>
      </c>
      <c r="T174" s="10">
        <v>3670</v>
      </c>
      <c r="U174" s="10">
        <v>531421997.63999999</v>
      </c>
      <c r="V174" s="10">
        <v>591959146.16999996</v>
      </c>
    </row>
    <row r="175" spans="1:22">
      <c r="A175" s="103">
        <v>153</v>
      </c>
      <c r="B175" s="25" t="s">
        <v>223</v>
      </c>
      <c r="C175" s="25" t="s">
        <v>48</v>
      </c>
      <c r="D175" s="29">
        <v>192193879.75</v>
      </c>
      <c r="E175" s="29">
        <v>411260.26</v>
      </c>
      <c r="F175" s="29">
        <v>0</v>
      </c>
      <c r="G175" s="10">
        <v>452218.85</v>
      </c>
      <c r="H175" s="12">
        <f>(E175+F175)-G175</f>
        <v>-40958.589999999967</v>
      </c>
      <c r="I175" s="10">
        <v>172469510.90000001</v>
      </c>
      <c r="J175" s="13">
        <f t="shared" si="86"/>
        <v>2.1449319182463345E-3</v>
      </c>
      <c r="K175" s="10">
        <v>204571527</v>
      </c>
      <c r="L175" s="13">
        <f t="shared" si="93"/>
        <v>2.4386163314200132E-3</v>
      </c>
      <c r="M175" s="13">
        <f t="shared" si="94"/>
        <v>0.18613154251137842</v>
      </c>
      <c r="N175" s="20">
        <f t="shared" si="95"/>
        <v>2.2105659405866388E-3</v>
      </c>
      <c r="O175" s="21">
        <f t="shared" si="96"/>
        <v>-2.0021647489584397E-4</v>
      </c>
      <c r="P175" s="22">
        <f t="shared" si="97"/>
        <v>212.23001034023537</v>
      </c>
      <c r="Q175" s="22">
        <f t="shared" si="98"/>
        <v>-4.2491944537430437E-2</v>
      </c>
      <c r="R175" s="10">
        <v>212.23</v>
      </c>
      <c r="S175" s="10">
        <v>212.23</v>
      </c>
      <c r="T175" s="10">
        <v>139</v>
      </c>
      <c r="U175" s="10">
        <v>90818570</v>
      </c>
      <c r="V175" s="10">
        <v>963914.23</v>
      </c>
    </row>
    <row r="176" spans="1:22">
      <c r="A176" s="103">
        <v>154</v>
      </c>
      <c r="B176" s="25" t="s">
        <v>167</v>
      </c>
      <c r="C176" s="25" t="s">
        <v>168</v>
      </c>
      <c r="D176" s="29">
        <v>362634848.50999999</v>
      </c>
      <c r="E176" s="29">
        <v>3105433.32</v>
      </c>
      <c r="F176" s="29">
        <v>0</v>
      </c>
      <c r="G176" s="10">
        <v>936612.51</v>
      </c>
      <c r="H176" s="12">
        <f>(E176+F176)-G176</f>
        <v>2168820.8099999996</v>
      </c>
      <c r="I176" s="10">
        <v>365717424.62</v>
      </c>
      <c r="J176" s="13">
        <f t="shared" si="86"/>
        <v>4.5482762317399592E-3</v>
      </c>
      <c r="K176" s="10">
        <v>502174620.52999997</v>
      </c>
      <c r="L176" s="13">
        <f t="shared" si="93"/>
        <v>5.9862252035157645E-3</v>
      </c>
      <c r="M176" s="13">
        <f t="shared" si="94"/>
        <v>0.37312194258117809</v>
      </c>
      <c r="N176" s="20">
        <f t="shared" si="95"/>
        <v>1.8651131931189395E-3</v>
      </c>
      <c r="O176" s="21">
        <f t="shared" si="96"/>
        <v>4.3188578660367282E-3</v>
      </c>
      <c r="P176" s="22">
        <f t="shared" si="97"/>
        <v>174.89049481327004</v>
      </c>
      <c r="Q176" s="22">
        <f t="shared" si="98"/>
        <v>0.75532718921934705</v>
      </c>
      <c r="R176" s="10">
        <v>175.05</v>
      </c>
      <c r="S176" s="10">
        <v>176.13</v>
      </c>
      <c r="T176" s="10">
        <v>111</v>
      </c>
      <c r="U176" s="10">
        <v>2263856</v>
      </c>
      <c r="V176" s="10">
        <v>2871366</v>
      </c>
    </row>
    <row r="177" spans="1:22">
      <c r="A177" s="103">
        <v>155</v>
      </c>
      <c r="B177" s="25" t="s">
        <v>169</v>
      </c>
      <c r="C177" s="10" t="s">
        <v>69</v>
      </c>
      <c r="D177" s="29">
        <v>555499569.66999996</v>
      </c>
      <c r="E177" s="29">
        <v>11721751.91</v>
      </c>
      <c r="F177" s="29">
        <v>12986491.6</v>
      </c>
      <c r="G177" s="10">
        <v>1118091.8400000001</v>
      </c>
      <c r="H177" s="12">
        <f t="shared" si="99"/>
        <v>23590151.669999998</v>
      </c>
      <c r="I177" s="10">
        <v>524982899.29000002</v>
      </c>
      <c r="J177" s="13">
        <f t="shared" si="86"/>
        <v>6.5289950168266062E-3</v>
      </c>
      <c r="K177" s="10">
        <v>553211334.33000004</v>
      </c>
      <c r="L177" s="13">
        <f t="shared" si="93"/>
        <v>6.5946137001939428E-3</v>
      </c>
      <c r="M177" s="13">
        <f t="shared" si="94"/>
        <v>5.3770199140156495E-2</v>
      </c>
      <c r="N177" s="20">
        <f t="shared" si="95"/>
        <v>2.0210935145682303E-3</v>
      </c>
      <c r="O177" s="21">
        <f t="shared" si="96"/>
        <v>4.2642205981860935E-2</v>
      </c>
      <c r="P177" s="22">
        <f t="shared" si="97"/>
        <v>1.8550126956645649</v>
      </c>
      <c r="Q177" s="22">
        <f t="shared" si="98"/>
        <v>7.9101833467495483E-2</v>
      </c>
      <c r="R177" s="10">
        <v>1.8106</v>
      </c>
      <c r="S177" s="10">
        <v>1.83</v>
      </c>
      <c r="T177" s="10">
        <v>119</v>
      </c>
      <c r="U177" s="10">
        <v>296645485.64999998</v>
      </c>
      <c r="V177" s="10">
        <v>298225093.35000002</v>
      </c>
    </row>
    <row r="178" spans="1:22">
      <c r="A178" s="103">
        <v>156</v>
      </c>
      <c r="B178" s="10" t="s">
        <v>170</v>
      </c>
      <c r="C178" s="10" t="s">
        <v>73</v>
      </c>
      <c r="D178" s="29">
        <v>14394683420.32</v>
      </c>
      <c r="E178" s="29">
        <v>81772291.780000001</v>
      </c>
      <c r="F178" s="29">
        <v>248456754.50999999</v>
      </c>
      <c r="G178" s="10">
        <v>23179974.43</v>
      </c>
      <c r="H178" s="12">
        <v>249226793.88</v>
      </c>
      <c r="I178" s="10">
        <v>13731642772.57</v>
      </c>
      <c r="J178" s="13">
        <f t="shared" si="86"/>
        <v>0.17077475734200614</v>
      </c>
      <c r="K178" s="10">
        <v>13914103761.620001</v>
      </c>
      <c r="L178" s="13">
        <f t="shared" si="93"/>
        <v>0.16586453240953308</v>
      </c>
      <c r="M178" s="13">
        <f t="shared" si="94"/>
        <v>1.3287630043397345E-2</v>
      </c>
      <c r="N178" s="20">
        <f t="shared" si="95"/>
        <v>1.6659337049029729E-3</v>
      </c>
      <c r="O178" s="21">
        <f t="shared" si="96"/>
        <v>1.7911810789240718E-2</v>
      </c>
      <c r="P178" s="22">
        <f t="shared" si="97"/>
        <v>428.31211751080423</v>
      </c>
      <c r="Q178" s="22">
        <f t="shared" si="98"/>
        <v>7.6718456075925623</v>
      </c>
      <c r="R178" s="10">
        <v>428.31</v>
      </c>
      <c r="S178" s="10">
        <v>432.43</v>
      </c>
      <c r="T178" s="10">
        <v>5551</v>
      </c>
      <c r="U178" s="10">
        <v>33160981</v>
      </c>
      <c r="V178" s="10">
        <v>32485898</v>
      </c>
    </row>
    <row r="179" spans="1:22" ht="15.6" customHeight="1">
      <c r="A179" s="103">
        <v>157</v>
      </c>
      <c r="B179" s="10" t="s">
        <v>171</v>
      </c>
      <c r="C179" s="25" t="s">
        <v>250</v>
      </c>
      <c r="D179" s="29">
        <v>4496595021.8999996</v>
      </c>
      <c r="E179" s="29">
        <v>35246925.100000001</v>
      </c>
      <c r="F179" s="29">
        <v>103369085.95</v>
      </c>
      <c r="G179" s="10">
        <v>13643562.300000001</v>
      </c>
      <c r="H179" s="12">
        <f t="shared" si="99"/>
        <v>124972448.75000001</v>
      </c>
      <c r="I179" s="10">
        <v>4313435077.0500002</v>
      </c>
      <c r="J179" s="13">
        <f t="shared" si="86"/>
        <v>5.3644406630296085E-2</v>
      </c>
      <c r="K179" s="10">
        <v>4434157712.5699997</v>
      </c>
      <c r="L179" s="13">
        <f t="shared" si="93"/>
        <v>5.2857841814737051E-2</v>
      </c>
      <c r="M179" s="13">
        <f t="shared" si="94"/>
        <v>2.798758608013242E-2</v>
      </c>
      <c r="N179" s="20">
        <f t="shared" si="95"/>
        <v>3.0769231011614851E-3</v>
      </c>
      <c r="O179" s="21">
        <f t="shared" si="96"/>
        <v>2.8184033327395351E-2</v>
      </c>
      <c r="P179" s="22">
        <f t="shared" si="97"/>
        <v>3.093145288991872</v>
      </c>
      <c r="Q179" s="22">
        <f t="shared" si="98"/>
        <v>8.7177309911422862E-2</v>
      </c>
      <c r="R179" s="10">
        <v>3.0607000000000002</v>
      </c>
      <c r="S179" s="10">
        <v>3.1204999999999998</v>
      </c>
      <c r="T179" s="10">
        <v>10295</v>
      </c>
      <c r="U179" s="10">
        <v>1435114821.23</v>
      </c>
      <c r="V179" s="10">
        <v>1433543302.46</v>
      </c>
    </row>
    <row r="180" spans="1:22">
      <c r="A180" s="103">
        <v>158</v>
      </c>
      <c r="B180" s="25" t="s">
        <v>172</v>
      </c>
      <c r="C180" s="10" t="s">
        <v>77</v>
      </c>
      <c r="D180" s="29">
        <v>259661010.68000001</v>
      </c>
      <c r="E180" s="29">
        <v>609076.44999999995</v>
      </c>
      <c r="F180" s="29">
        <v>0</v>
      </c>
      <c r="G180" s="10">
        <v>566804.79</v>
      </c>
      <c r="H180" s="12">
        <f t="shared" si="99"/>
        <v>42271.659999999916</v>
      </c>
      <c r="I180" s="10">
        <v>285361080.94999999</v>
      </c>
      <c r="J180" s="13">
        <f t="shared" si="86"/>
        <v>3.5489176467243698E-3</v>
      </c>
      <c r="K180" s="10">
        <v>304938244.20999998</v>
      </c>
      <c r="L180" s="13">
        <f t="shared" si="93"/>
        <v>3.6350483046697414E-3</v>
      </c>
      <c r="M180" s="13">
        <f t="shared" si="94"/>
        <v>6.8604881909002283E-2</v>
      </c>
      <c r="N180" s="20">
        <f t="shared" si="95"/>
        <v>1.8587527171884089E-3</v>
      </c>
      <c r="O180" s="21">
        <f t="shared" si="96"/>
        <v>1.3862367480180329E-4</v>
      </c>
      <c r="P180" s="22">
        <f t="shared" si="97"/>
        <v>347.60608465532471</v>
      </c>
      <c r="Q180" s="22">
        <f t="shared" si="98"/>
        <v>4.818643283838784E-2</v>
      </c>
      <c r="R180" s="10">
        <v>346.61</v>
      </c>
      <c r="S180" s="10">
        <v>350.01</v>
      </c>
      <c r="T180" s="10">
        <v>65</v>
      </c>
      <c r="U180" s="10">
        <v>877252.32</v>
      </c>
      <c r="V180" s="10">
        <v>877252.32</v>
      </c>
    </row>
    <row r="181" spans="1:22">
      <c r="A181" s="103">
        <v>159</v>
      </c>
      <c r="B181" s="25" t="s">
        <v>226</v>
      </c>
      <c r="C181" s="25" t="s">
        <v>225</v>
      </c>
      <c r="D181" s="29">
        <v>69293910.109999999</v>
      </c>
      <c r="E181" s="29">
        <v>3197285.3</v>
      </c>
      <c r="F181" s="29">
        <v>0</v>
      </c>
      <c r="G181" s="10">
        <v>108005.1</v>
      </c>
      <c r="H181" s="12">
        <f>(E181+F181)-G181</f>
        <v>3089280.1999999997</v>
      </c>
      <c r="I181" s="10">
        <v>67810394.349999994</v>
      </c>
      <c r="J181" s="13">
        <f t="shared" si="86"/>
        <v>8.4332980635933312E-4</v>
      </c>
      <c r="K181" s="10">
        <v>69633779.780000001</v>
      </c>
      <c r="L181" s="13">
        <f t="shared" si="93"/>
        <v>8.3007677109440893E-4</v>
      </c>
      <c r="M181" s="13">
        <f t="shared" si="94"/>
        <v>2.6889468015606773E-2</v>
      </c>
      <c r="N181" s="20">
        <f t="shared" si="95"/>
        <v>1.5510446272086597E-3</v>
      </c>
      <c r="O181" s="21">
        <f t="shared" si="96"/>
        <v>4.4364677743477791E-2</v>
      </c>
      <c r="P181" s="22">
        <f t="shared" si="97"/>
        <v>1.3768963632768474</v>
      </c>
      <c r="Q181" s="22">
        <f t="shared" si="98"/>
        <v>6.1085563442943858E-2</v>
      </c>
      <c r="R181" s="10">
        <v>1.4359999999999999</v>
      </c>
      <c r="S181" s="10">
        <v>1.4359999999999999</v>
      </c>
      <c r="T181" s="10">
        <v>27</v>
      </c>
      <c r="U181" s="10">
        <v>50540000</v>
      </c>
      <c r="V181" s="10">
        <v>50573000</v>
      </c>
    </row>
    <row r="182" spans="1:22">
      <c r="A182" s="103">
        <v>160</v>
      </c>
      <c r="B182" s="10" t="s">
        <v>173</v>
      </c>
      <c r="C182" s="10" t="s">
        <v>36</v>
      </c>
      <c r="D182" s="29">
        <v>6256636139.6599998</v>
      </c>
      <c r="E182" s="29">
        <v>48448114.240000002</v>
      </c>
      <c r="F182" s="29">
        <v>188199385.16999999</v>
      </c>
      <c r="G182" s="10">
        <v>12192820.609999999</v>
      </c>
      <c r="H182" s="12">
        <f t="shared" si="99"/>
        <v>224454678.80000001</v>
      </c>
      <c r="I182" s="10">
        <v>5320544253.6899996</v>
      </c>
      <c r="J182" s="13">
        <f t="shared" si="86"/>
        <v>6.6169406596153363E-2</v>
      </c>
      <c r="K182" s="10">
        <v>5971247802.6499996</v>
      </c>
      <c r="L182" s="13">
        <f t="shared" si="93"/>
        <v>7.1180885356045456E-2</v>
      </c>
      <c r="M182" s="13">
        <f t="shared" si="94"/>
        <v>0.12230018545728896</v>
      </c>
      <c r="N182" s="20">
        <f t="shared" si="95"/>
        <v>2.0419217243988616E-3</v>
      </c>
      <c r="O182" s="21">
        <f t="shared" si="96"/>
        <v>3.7589242017453797E-2</v>
      </c>
      <c r="P182" s="22">
        <f t="shared" si="97"/>
        <v>6.2697749286810698</v>
      </c>
      <c r="Q182" s="22">
        <f t="shared" si="98"/>
        <v>0.23567608718915684</v>
      </c>
      <c r="R182" s="10">
        <v>6.21</v>
      </c>
      <c r="S182" s="10">
        <v>6.35</v>
      </c>
      <c r="T182" s="10">
        <v>4041</v>
      </c>
      <c r="U182" s="10">
        <v>861782694.52999997</v>
      </c>
      <c r="V182" s="10">
        <v>952386309.00999999</v>
      </c>
    </row>
    <row r="183" spans="1:22">
      <c r="A183" s="103">
        <v>161</v>
      </c>
      <c r="B183" s="25" t="s">
        <v>254</v>
      </c>
      <c r="C183" s="25" t="s">
        <v>255</v>
      </c>
      <c r="D183" s="17">
        <v>102457701.34999999</v>
      </c>
      <c r="E183" s="17">
        <v>1026126.04</v>
      </c>
      <c r="F183" s="17">
        <v>542451.1</v>
      </c>
      <c r="G183" s="17">
        <v>374820.43</v>
      </c>
      <c r="H183" s="12">
        <f t="shared" si="99"/>
        <v>1193756.7100000002</v>
      </c>
      <c r="I183" s="17">
        <v>99173951.489999995</v>
      </c>
      <c r="J183" s="13">
        <f t="shared" si="86"/>
        <v>1.2333853844628409E-3</v>
      </c>
      <c r="K183" s="17">
        <v>100777649.59999999</v>
      </c>
      <c r="L183" s="13">
        <f t="shared" si="93"/>
        <v>1.2013305358799201E-3</v>
      </c>
      <c r="M183" s="13">
        <f t="shared" si="94"/>
        <v>1.6170557751363824E-2</v>
      </c>
      <c r="N183" s="20">
        <f t="shared" si="95"/>
        <v>3.719281323663655E-3</v>
      </c>
      <c r="O183" s="21">
        <f t="shared" si="96"/>
        <v>1.1845450997698206E-2</v>
      </c>
      <c r="P183" s="22">
        <f t="shared" si="97"/>
        <v>2.7674045822305509</v>
      </c>
      <c r="Q183" s="22">
        <f t="shared" si="98"/>
        <v>3.2781155369617468E-2</v>
      </c>
      <c r="R183" s="17">
        <v>2.79</v>
      </c>
      <c r="S183" s="17">
        <v>2.8</v>
      </c>
      <c r="T183" s="17">
        <v>112</v>
      </c>
      <c r="U183" s="17">
        <v>35809034.810000002</v>
      </c>
      <c r="V183" s="17">
        <v>36415943.75</v>
      </c>
    </row>
    <row r="184" spans="1:22">
      <c r="A184" s="103">
        <v>162</v>
      </c>
      <c r="B184" s="10" t="s">
        <v>174</v>
      </c>
      <c r="C184" s="10" t="s">
        <v>115</v>
      </c>
      <c r="D184" s="29">
        <v>1063759657.5599999</v>
      </c>
      <c r="E184" s="29">
        <v>15598825.41</v>
      </c>
      <c r="F184" s="29">
        <v>0</v>
      </c>
      <c r="G184" s="10">
        <v>2965431.7</v>
      </c>
      <c r="H184" s="12">
        <f t="shared" si="99"/>
        <v>12633393.710000001</v>
      </c>
      <c r="I184" s="10">
        <v>937086133.09000003</v>
      </c>
      <c r="J184" s="13">
        <f t="shared" si="86"/>
        <v>1.1654152357260346E-2</v>
      </c>
      <c r="K184" s="10">
        <v>1055725029.35</v>
      </c>
      <c r="L184" s="13">
        <f t="shared" si="93"/>
        <v>1.2584880876710584E-2</v>
      </c>
      <c r="M184" s="13">
        <f t="shared" si="94"/>
        <v>0.12660404638450201</v>
      </c>
      <c r="N184" s="20">
        <f t="shared" si="95"/>
        <v>2.8089053660362573E-3</v>
      </c>
      <c r="O184" s="21">
        <f t="shared" si="96"/>
        <v>1.1966556971542355E-2</v>
      </c>
      <c r="P184" s="22">
        <f t="shared" si="97"/>
        <v>373.82433558982569</v>
      </c>
      <c r="Q184" s="22">
        <f t="shared" si="98"/>
        <v>4.4733902091846174</v>
      </c>
      <c r="R184" s="10">
        <v>355.87</v>
      </c>
      <c r="S184" s="10">
        <v>360</v>
      </c>
      <c r="T184" s="10">
        <v>253</v>
      </c>
      <c r="U184" s="10">
        <v>2687683.99</v>
      </c>
      <c r="V184" s="10">
        <v>2824120.66</v>
      </c>
    </row>
    <row r="185" spans="1:22">
      <c r="A185" s="103">
        <v>163</v>
      </c>
      <c r="B185" s="25" t="s">
        <v>175</v>
      </c>
      <c r="C185" s="10" t="s">
        <v>32</v>
      </c>
      <c r="D185" s="29">
        <v>2251126982.1199999</v>
      </c>
      <c r="E185" s="29">
        <v>20941863.489999998</v>
      </c>
      <c r="F185" s="29">
        <v>10412770.74</v>
      </c>
      <c r="G185" s="10">
        <v>5583827.9100000001</v>
      </c>
      <c r="H185" s="12">
        <f t="shared" si="99"/>
        <v>25770806.319999997</v>
      </c>
      <c r="I185" s="10">
        <v>2152664565.73</v>
      </c>
      <c r="J185" s="13">
        <f t="shared" si="86"/>
        <v>2.6771798170108694E-2</v>
      </c>
      <c r="K185" s="10">
        <v>2154344352.79</v>
      </c>
      <c r="L185" s="13">
        <f t="shared" si="93"/>
        <v>2.5681087682432817E-2</v>
      </c>
      <c r="M185" s="13">
        <f t="shared" si="94"/>
        <v>7.8032921930421722E-4</v>
      </c>
      <c r="N185" s="20">
        <f t="shared" si="95"/>
        <v>2.5918920077788966E-3</v>
      </c>
      <c r="O185" s="21">
        <f t="shared" si="96"/>
        <v>1.196225027193323E-2</v>
      </c>
      <c r="P185" s="22">
        <f t="shared" si="97"/>
        <v>2888.0546320664926</v>
      </c>
      <c r="Q185" s="22">
        <f t="shared" si="98"/>
        <v>34.547632307795425</v>
      </c>
      <c r="R185" s="10">
        <v>552.22</v>
      </c>
      <c r="S185" s="10">
        <v>552.22</v>
      </c>
      <c r="T185" s="10">
        <v>823</v>
      </c>
      <c r="U185" s="10">
        <v>745950</v>
      </c>
      <c r="V185" s="10">
        <v>745950</v>
      </c>
    </row>
    <row r="186" spans="1:22">
      <c r="A186" s="103">
        <v>164</v>
      </c>
      <c r="B186" s="25" t="s">
        <v>176</v>
      </c>
      <c r="C186" s="10" t="s">
        <v>83</v>
      </c>
      <c r="D186" s="29">
        <v>36778778.109999999</v>
      </c>
      <c r="E186" s="29">
        <v>219753.3</v>
      </c>
      <c r="F186" s="29">
        <v>1386924.25</v>
      </c>
      <c r="G186" s="10">
        <v>18645.43</v>
      </c>
      <c r="H186" s="12">
        <f t="shared" si="99"/>
        <v>1588032.12</v>
      </c>
      <c r="I186" s="10">
        <v>47553128.060000002</v>
      </c>
      <c r="J186" s="13">
        <f t="shared" si="86"/>
        <v>5.9139857042610428E-4</v>
      </c>
      <c r="K186" s="10">
        <v>48346088.539999999</v>
      </c>
      <c r="L186" s="13">
        <f t="shared" si="93"/>
        <v>5.76314616226734E-4</v>
      </c>
      <c r="M186" s="13">
        <f t="shared" si="94"/>
        <v>1.6675253812945417E-2</v>
      </c>
      <c r="N186" s="20">
        <f t="shared" si="95"/>
        <v>3.8566573973349201E-4</v>
      </c>
      <c r="O186" s="21">
        <f t="shared" si="96"/>
        <v>3.2847168570547612E-2</v>
      </c>
      <c r="P186" s="22">
        <f t="shared" si="97"/>
        <v>2.7268450209331472</v>
      </c>
      <c r="Q186" s="22">
        <f t="shared" si="98"/>
        <v>8.9569138068349527E-2</v>
      </c>
      <c r="R186" s="10">
        <v>2.62</v>
      </c>
      <c r="S186" s="10">
        <v>2.62</v>
      </c>
      <c r="T186" s="10">
        <v>8</v>
      </c>
      <c r="U186" s="10">
        <v>17996855.190000001</v>
      </c>
      <c r="V186" s="10">
        <v>17729679.600000001</v>
      </c>
    </row>
    <row r="187" spans="1:22">
      <c r="A187" s="103">
        <v>165</v>
      </c>
      <c r="B187" s="10" t="s">
        <v>177</v>
      </c>
      <c r="C187" s="10" t="s">
        <v>42</v>
      </c>
      <c r="D187" s="29">
        <v>408005913.50999999</v>
      </c>
      <c r="E187" s="29">
        <v>10934250</v>
      </c>
      <c r="F187" s="29">
        <v>141770294.93000001</v>
      </c>
      <c r="G187" s="10">
        <v>515097.59</v>
      </c>
      <c r="H187" s="12">
        <f t="shared" si="99"/>
        <v>152189447.34</v>
      </c>
      <c r="I187" s="10">
        <v>383054579.62</v>
      </c>
      <c r="J187" s="13">
        <f t="shared" si="86"/>
        <v>4.7638912522559368E-3</v>
      </c>
      <c r="K187" s="10">
        <v>403518274.29000002</v>
      </c>
      <c r="L187" s="13">
        <f t="shared" si="93"/>
        <v>4.8101818867002663E-3</v>
      </c>
      <c r="M187" s="13">
        <f t="shared" si="94"/>
        <v>5.3422399205618497E-2</v>
      </c>
      <c r="N187" s="20">
        <f t="shared" si="95"/>
        <v>1.2765161402078418E-3</v>
      </c>
      <c r="O187" s="21">
        <f t="shared" si="96"/>
        <v>0.37715627032699062</v>
      </c>
      <c r="P187" s="22">
        <f t="shared" si="97"/>
        <v>3.3928070024915393</v>
      </c>
      <c r="Q187" s="22">
        <f t="shared" si="98"/>
        <v>1.2796184349990058</v>
      </c>
      <c r="R187" s="10">
        <v>3.37</v>
      </c>
      <c r="S187" s="10">
        <v>3.44</v>
      </c>
      <c r="T187" s="10">
        <v>138</v>
      </c>
      <c r="U187" s="10">
        <v>119336999</v>
      </c>
      <c r="V187" s="10">
        <v>118933459.52</v>
      </c>
    </row>
    <row r="188" spans="1:22" ht="14.4">
      <c r="A188" s="103">
        <v>166</v>
      </c>
      <c r="B188" s="10" t="s">
        <v>306</v>
      </c>
      <c r="C188" s="10" t="s">
        <v>307</v>
      </c>
      <c r="D188" s="29">
        <v>192969027.19</v>
      </c>
      <c r="E188" s="29">
        <v>1181971.23</v>
      </c>
      <c r="F188" s="29">
        <v>13038106.949999999</v>
      </c>
      <c r="G188" s="10">
        <v>320230.49</v>
      </c>
      <c r="H188" s="12">
        <f t="shared" ref="H188" si="101">(E188+F188)-G188</f>
        <v>13899847.689999999</v>
      </c>
      <c r="I188" s="10">
        <v>202556826.72999999</v>
      </c>
      <c r="J188" s="13">
        <f t="shared" si="86"/>
        <v>2.5191154114409292E-3</v>
      </c>
      <c r="K188" s="10">
        <v>206875863.08000001</v>
      </c>
      <c r="L188" s="13">
        <f t="shared" si="93"/>
        <v>2.466085411209247E-3</v>
      </c>
      <c r="M188" s="13">
        <f t="shared" si="94"/>
        <v>2.1322590898193342E-2</v>
      </c>
      <c r="N188" s="20">
        <f t="shared" si="95"/>
        <v>1.5479354876511869E-3</v>
      </c>
      <c r="O188" s="21">
        <f t="shared" si="96"/>
        <v>6.7189315771578689E-2</v>
      </c>
      <c r="P188" s="22">
        <f t="shared" si="97"/>
        <v>115.62616348009743</v>
      </c>
      <c r="Q188" s="22">
        <f t="shared" si="98"/>
        <v>7.7688428095204465</v>
      </c>
      <c r="R188" s="10">
        <v>115.27</v>
      </c>
      <c r="S188" s="10">
        <v>115.87</v>
      </c>
      <c r="T188" s="10">
        <v>106</v>
      </c>
      <c r="U188" s="10">
        <v>1867836.97</v>
      </c>
      <c r="V188" s="144">
        <v>1789178.65</v>
      </c>
    </row>
    <row r="189" spans="1:22">
      <c r="A189" s="103">
        <v>167</v>
      </c>
      <c r="B189" s="25" t="s">
        <v>178</v>
      </c>
      <c r="C189" s="25" t="s">
        <v>46</v>
      </c>
      <c r="D189" s="29">
        <v>4787629986.2700005</v>
      </c>
      <c r="E189" s="29">
        <v>26849421.960000001</v>
      </c>
      <c r="F189" s="29">
        <v>151847270.30000001</v>
      </c>
      <c r="G189" s="10">
        <v>10414988.27</v>
      </c>
      <c r="H189" s="12">
        <f t="shared" si="99"/>
        <v>168281703.99000001</v>
      </c>
      <c r="I189" s="10">
        <v>4456534410.0900002</v>
      </c>
      <c r="J189" s="13">
        <f t="shared" si="86"/>
        <v>5.5424073803441977E-2</v>
      </c>
      <c r="K189" s="10">
        <v>4982420408.8699999</v>
      </c>
      <c r="L189" s="13">
        <f t="shared" si="93"/>
        <v>5.939346475656293E-2</v>
      </c>
      <c r="M189" s="13">
        <f t="shared" si="94"/>
        <v>0.11800335201930583</v>
      </c>
      <c r="N189" s="20">
        <f t="shared" si="95"/>
        <v>2.090347143620924E-3</v>
      </c>
      <c r="O189" s="21">
        <f t="shared" si="96"/>
        <v>3.3775091256935071E-2</v>
      </c>
      <c r="P189" s="22">
        <f t="shared" si="97"/>
        <v>9697.4835243691869</v>
      </c>
      <c r="Q189" s="22">
        <f t="shared" si="98"/>
        <v>327.53339099819368</v>
      </c>
      <c r="R189" s="10">
        <v>9646.1</v>
      </c>
      <c r="S189" s="10">
        <v>9731.51</v>
      </c>
      <c r="T189" s="10">
        <v>3808</v>
      </c>
      <c r="U189" s="10">
        <v>473196.39</v>
      </c>
      <c r="V189" s="10">
        <v>513784.88</v>
      </c>
    </row>
    <row r="190" spans="1:22">
      <c r="A190" s="103">
        <v>168</v>
      </c>
      <c r="B190" s="25" t="s">
        <v>300</v>
      </c>
      <c r="C190" s="25" t="s">
        <v>298</v>
      </c>
      <c r="D190" s="29">
        <v>133039032.59999999</v>
      </c>
      <c r="E190" s="29">
        <v>7259431.6900000004</v>
      </c>
      <c r="F190" s="29">
        <v>19148064.449999999</v>
      </c>
      <c r="G190" s="10">
        <v>1724485.05</v>
      </c>
      <c r="H190" s="12">
        <f t="shared" si="99"/>
        <v>24683011.09</v>
      </c>
      <c r="I190" s="10">
        <v>154582913.12</v>
      </c>
      <c r="J190" s="13">
        <f t="shared" si="86"/>
        <v>1.9224837053016081E-3</v>
      </c>
      <c r="K190" s="10">
        <v>166494047.27000001</v>
      </c>
      <c r="L190" s="13">
        <f t="shared" si="93"/>
        <v>1.9847097429000356E-3</v>
      </c>
      <c r="M190" s="13">
        <f t="shared" si="94"/>
        <v>7.7053368380718773E-2</v>
      </c>
      <c r="N190" s="20">
        <f t="shared" si="95"/>
        <v>1.0357637875205458E-2</v>
      </c>
      <c r="O190" s="21">
        <f t="shared" si="96"/>
        <v>0.14825161316411548</v>
      </c>
      <c r="P190" s="22">
        <f t="shared" si="97"/>
        <v>1455.1245288224623</v>
      </c>
      <c r="Q190" s="22">
        <f t="shared" si="98"/>
        <v>215.72455875260349</v>
      </c>
      <c r="R190" s="10">
        <v>1442.7136</v>
      </c>
      <c r="S190" s="10">
        <v>1463.1030000000001</v>
      </c>
      <c r="T190" s="10">
        <v>41</v>
      </c>
      <c r="U190" s="10">
        <v>109843.91559999999</v>
      </c>
      <c r="V190" s="10">
        <v>114419.1057</v>
      </c>
    </row>
    <row r="191" spans="1:22">
      <c r="A191" s="103">
        <v>169</v>
      </c>
      <c r="B191" s="25" t="s">
        <v>224</v>
      </c>
      <c r="C191" s="25" t="s">
        <v>225</v>
      </c>
      <c r="D191" s="29">
        <v>750643301.71000004</v>
      </c>
      <c r="E191" s="29">
        <v>11944312.65</v>
      </c>
      <c r="F191" s="29">
        <v>0</v>
      </c>
      <c r="G191" s="10">
        <v>1216662.7</v>
      </c>
      <c r="H191" s="12">
        <f t="shared" si="99"/>
        <v>10727649.950000001</v>
      </c>
      <c r="I191" s="10">
        <v>729504704.33000004</v>
      </c>
      <c r="J191" s="13">
        <f t="shared" si="86"/>
        <v>9.0725480501624833E-3</v>
      </c>
      <c r="K191" s="10">
        <v>724699409.74000001</v>
      </c>
      <c r="L191" s="13">
        <f t="shared" si="93"/>
        <v>8.6388552790262335E-3</v>
      </c>
      <c r="M191" s="13">
        <f t="shared" si="94"/>
        <v>-6.5870645678883814E-3</v>
      </c>
      <c r="N191" s="20">
        <f t="shared" si="95"/>
        <v>1.678851512293216E-3</v>
      </c>
      <c r="O191" s="21">
        <f t="shared" si="96"/>
        <v>1.4802895939778333E-2</v>
      </c>
      <c r="P191" s="22">
        <f t="shared" si="97"/>
        <v>1.3803798280761905</v>
      </c>
      <c r="Q191" s="22">
        <f t="shared" si="98"/>
        <v>2.0433618952380956E-2</v>
      </c>
      <c r="R191" s="10">
        <v>1.5289999999999999</v>
      </c>
      <c r="S191" s="10">
        <v>1.5289999999999999</v>
      </c>
      <c r="T191" s="10">
        <v>41</v>
      </c>
      <c r="U191" s="10">
        <v>524900000</v>
      </c>
      <c r="V191" s="10">
        <v>525000000</v>
      </c>
    </row>
    <row r="192" spans="1:22">
      <c r="A192" s="103">
        <v>170</v>
      </c>
      <c r="B192" s="25" t="s">
        <v>179</v>
      </c>
      <c r="C192" s="25" t="s">
        <v>50</v>
      </c>
      <c r="D192" s="29">
        <v>3116925688</v>
      </c>
      <c r="E192" s="29">
        <v>20149595</v>
      </c>
      <c r="F192" s="29">
        <v>4469531</v>
      </c>
      <c r="G192" s="10">
        <v>6138125</v>
      </c>
      <c r="H192" s="12">
        <f t="shared" si="99"/>
        <v>18481001</v>
      </c>
      <c r="I192" s="10">
        <v>3309991922.6599998</v>
      </c>
      <c r="J192" s="13">
        <f t="shared" si="86"/>
        <v>4.1164999465717084E-2</v>
      </c>
      <c r="K192" s="10">
        <v>3746169423.0999999</v>
      </c>
      <c r="L192" s="13">
        <f t="shared" si="93"/>
        <v>4.4656605293061868E-2</v>
      </c>
      <c r="M192" s="13">
        <f t="shared" si="94"/>
        <v>0.13177600146210505</v>
      </c>
      <c r="N192" s="20">
        <f t="shared" si="95"/>
        <v>1.6385070472655313E-3</v>
      </c>
      <c r="O192" s="21">
        <f t="shared" si="96"/>
        <v>4.9333062423820521E-3</v>
      </c>
      <c r="P192" s="22">
        <f t="shared" si="97"/>
        <v>2.2685732152719003</v>
      </c>
      <c r="Q192" s="22">
        <f t="shared" si="98"/>
        <v>1.1191566404201589E-2</v>
      </c>
      <c r="R192" s="10">
        <v>2.27</v>
      </c>
      <c r="S192" s="10">
        <v>2.29</v>
      </c>
      <c r="T192" s="10">
        <v>1596</v>
      </c>
      <c r="U192" s="10">
        <v>1505179682.77</v>
      </c>
      <c r="V192" s="10">
        <v>1651332828</v>
      </c>
    </row>
    <row r="193" spans="1:22">
      <c r="A193" s="103">
        <v>171</v>
      </c>
      <c r="B193" s="113" t="s">
        <v>180</v>
      </c>
      <c r="C193" s="25" t="s">
        <v>90</v>
      </c>
      <c r="D193" s="29">
        <v>8539077058.25</v>
      </c>
      <c r="E193" s="29">
        <v>874410211.09000003</v>
      </c>
      <c r="F193" s="29">
        <v>694452381.39999998</v>
      </c>
      <c r="G193" s="10">
        <v>34904408.490000002</v>
      </c>
      <c r="H193" s="12">
        <f t="shared" si="99"/>
        <v>1533958184</v>
      </c>
      <c r="I193" s="10">
        <v>11797984119.51</v>
      </c>
      <c r="J193" s="13">
        <f t="shared" si="86"/>
        <v>0.14672664505654592</v>
      </c>
      <c r="K193" s="10">
        <v>10760392964.66</v>
      </c>
      <c r="L193" s="13">
        <f t="shared" si="93"/>
        <v>0.12827039227270806</v>
      </c>
      <c r="M193" s="13">
        <f t="shared" si="94"/>
        <v>-8.7946478342360593E-2</v>
      </c>
      <c r="N193" s="20">
        <f t="shared" si="95"/>
        <v>3.2437856688538593E-3</v>
      </c>
      <c r="O193" s="21">
        <f t="shared" si="96"/>
        <v>0.14255596324761816</v>
      </c>
      <c r="P193" s="22">
        <f t="shared" si="97"/>
        <v>692.68109930045489</v>
      </c>
      <c r="Q193" s="22">
        <f t="shared" si="98"/>
        <v>98.745821334195398</v>
      </c>
      <c r="R193" s="10">
        <v>687.68</v>
      </c>
      <c r="S193" s="10">
        <v>695.24</v>
      </c>
      <c r="T193" s="10">
        <v>37</v>
      </c>
      <c r="U193" s="10">
        <v>17241117.079999998</v>
      </c>
      <c r="V193" s="10">
        <v>15534411.109999999</v>
      </c>
    </row>
    <row r="194" spans="1:22">
      <c r="A194" s="103">
        <v>172</v>
      </c>
      <c r="B194" s="25" t="s">
        <v>181</v>
      </c>
      <c r="C194" s="25" t="s">
        <v>50</v>
      </c>
      <c r="D194" s="29">
        <v>1703051383.79</v>
      </c>
      <c r="E194" s="29">
        <v>19355909</v>
      </c>
      <c r="F194" s="29">
        <v>48423829.200000003</v>
      </c>
      <c r="G194" s="10">
        <v>4032244</v>
      </c>
      <c r="H194" s="12">
        <f t="shared" si="99"/>
        <v>63747494.200000003</v>
      </c>
      <c r="I194" s="10">
        <v>2132851612</v>
      </c>
      <c r="J194" s="13">
        <f t="shared" si="86"/>
        <v>2.6525392665573719E-2</v>
      </c>
      <c r="K194" s="10">
        <v>2473158305</v>
      </c>
      <c r="L194" s="13">
        <f t="shared" si="93"/>
        <v>2.9481542818810939E-2</v>
      </c>
      <c r="M194" s="13">
        <f t="shared" si="94"/>
        <v>0.15955479091247723</v>
      </c>
      <c r="N194" s="20">
        <f t="shared" si="95"/>
        <v>1.6304027088957414E-3</v>
      </c>
      <c r="O194" s="21">
        <f t="shared" si="96"/>
        <v>2.5775743538584361E-2</v>
      </c>
      <c r="P194" s="22">
        <f t="shared" si="97"/>
        <v>1.7939437385227184</v>
      </c>
      <c r="Q194" s="22">
        <f t="shared" si="98"/>
        <v>4.6240233726810832E-2</v>
      </c>
      <c r="R194" s="10">
        <v>1.79</v>
      </c>
      <c r="S194" s="10">
        <v>1.8</v>
      </c>
      <c r="T194" s="10">
        <v>411</v>
      </c>
      <c r="U194" s="10">
        <v>1219989295.76</v>
      </c>
      <c r="V194" s="10">
        <v>1378615311</v>
      </c>
    </row>
    <row r="195" spans="1:22">
      <c r="A195" s="103">
        <v>173</v>
      </c>
      <c r="B195" s="25" t="s">
        <v>182</v>
      </c>
      <c r="C195" s="25" t="s">
        <v>94</v>
      </c>
      <c r="D195" s="29">
        <v>5698741414.3699999</v>
      </c>
      <c r="E195" s="29">
        <v>32047636.609999999</v>
      </c>
      <c r="F195" s="29">
        <v>158149801.30000001</v>
      </c>
      <c r="G195" s="10">
        <v>49532515.609999999</v>
      </c>
      <c r="H195" s="12">
        <f t="shared" si="99"/>
        <v>140664922.30000001</v>
      </c>
      <c r="I195" s="10">
        <v>5581466282.2799997</v>
      </c>
      <c r="J195" s="13">
        <f t="shared" si="86"/>
        <v>6.9414385864522546E-2</v>
      </c>
      <c r="K195" s="10">
        <v>5792755228.6099997</v>
      </c>
      <c r="L195" s="13">
        <f t="shared" si="93"/>
        <v>6.9053145917061159E-2</v>
      </c>
      <c r="M195" s="13">
        <f t="shared" si="94"/>
        <v>3.7855455115943029E-2</v>
      </c>
      <c r="N195" s="20">
        <f t="shared" si="95"/>
        <v>8.5507696519546497E-3</v>
      </c>
      <c r="O195" s="21">
        <f t="shared" si="96"/>
        <v>2.4282904550371145E-2</v>
      </c>
      <c r="P195" s="22">
        <f t="shared" si="97"/>
        <v>34.133899422743205</v>
      </c>
      <c r="Q195" s="22">
        <f t="shared" si="98"/>
        <v>0.82887022161444213</v>
      </c>
      <c r="R195" s="10">
        <v>34.133899999999997</v>
      </c>
      <c r="S195" s="10">
        <v>34.5383</v>
      </c>
      <c r="T195" s="10">
        <v>6191</v>
      </c>
      <c r="U195" s="10">
        <v>169086687.47999999</v>
      </c>
      <c r="V195" s="10">
        <v>169706811.31</v>
      </c>
    </row>
    <row r="196" spans="1:22" ht="15" customHeight="1">
      <c r="A196" s="147" t="s">
        <v>51</v>
      </c>
      <c r="B196" s="147"/>
      <c r="C196" s="147"/>
      <c r="D196" s="147"/>
      <c r="E196" s="147"/>
      <c r="F196" s="147"/>
      <c r="G196" s="147"/>
      <c r="H196" s="147"/>
      <c r="I196" s="37">
        <f>SUM(I167:I195)</f>
        <v>80407918513.800003</v>
      </c>
      <c r="J196" s="35">
        <f>(I196/$I$239)</f>
        <v>1.0906900023010058E-2</v>
      </c>
      <c r="K196" s="37">
        <f>SUM(K167:K195)</f>
        <v>83888360938.220001</v>
      </c>
      <c r="L196" s="35">
        <f>(K196/$K$239)</f>
        <v>1.0755193751692396E-2</v>
      </c>
      <c r="M196" s="35">
        <f t="shared" si="88"/>
        <v>4.3284821803000258E-2</v>
      </c>
      <c r="N196" s="20"/>
      <c r="O196" s="20"/>
      <c r="P196" s="36"/>
      <c r="Q196" s="36"/>
      <c r="R196" s="37"/>
      <c r="S196" s="37"/>
      <c r="T196" s="37">
        <f>SUM(T167:T195)</f>
        <v>76927</v>
      </c>
      <c r="U196" s="37"/>
      <c r="V196" s="40"/>
    </row>
    <row r="197" spans="1:22" ht="6" customHeight="1">
      <c r="A197" s="153"/>
      <c r="B197" s="153"/>
      <c r="C197" s="153"/>
      <c r="D197" s="153"/>
      <c r="E197" s="153"/>
      <c r="F197" s="153"/>
      <c r="G197" s="153"/>
      <c r="H197" s="153"/>
      <c r="I197" s="153"/>
      <c r="J197" s="153"/>
      <c r="K197" s="153"/>
      <c r="L197" s="153"/>
      <c r="M197" s="153"/>
      <c r="N197" s="153"/>
      <c r="O197" s="153"/>
      <c r="P197" s="153"/>
      <c r="Q197" s="153"/>
      <c r="R197" s="153"/>
      <c r="S197" s="153"/>
      <c r="T197" s="153"/>
      <c r="U197" s="153"/>
      <c r="V197" s="153"/>
    </row>
    <row r="198" spans="1:22">
      <c r="A198" s="146" t="s">
        <v>183</v>
      </c>
      <c r="B198" s="146"/>
      <c r="C198" s="146"/>
      <c r="D198" s="146"/>
      <c r="E198" s="146"/>
      <c r="F198" s="146"/>
      <c r="G198" s="146"/>
      <c r="H198" s="146"/>
      <c r="I198" s="146"/>
      <c r="J198" s="146"/>
      <c r="K198" s="146"/>
      <c r="L198" s="146"/>
      <c r="M198" s="146"/>
      <c r="N198" s="146"/>
      <c r="O198" s="146"/>
      <c r="P198" s="146"/>
      <c r="Q198" s="146"/>
      <c r="R198" s="146"/>
      <c r="S198" s="146"/>
      <c r="T198" s="146"/>
      <c r="U198" s="146"/>
      <c r="V198" s="146"/>
    </row>
    <row r="199" spans="1:22">
      <c r="A199" s="103">
        <v>174</v>
      </c>
      <c r="B199" s="10" t="s">
        <v>184</v>
      </c>
      <c r="C199" s="25" t="s">
        <v>46</v>
      </c>
      <c r="D199" s="10">
        <v>6834714925.1999998</v>
      </c>
      <c r="E199" s="10">
        <v>29463945.43</v>
      </c>
      <c r="F199" s="25">
        <v>168949359.30000001</v>
      </c>
      <c r="G199" s="10">
        <v>25282539.649999999</v>
      </c>
      <c r="H199" s="12">
        <f>(E199+F199)-G199</f>
        <v>173130765.08000001</v>
      </c>
      <c r="I199" s="10">
        <v>6734719730.0299997</v>
      </c>
      <c r="J199" s="13">
        <f t="shared" ref="J199:J200" si="102">(I199/$I$201)</f>
        <v>0.82832632920815874</v>
      </c>
      <c r="K199" s="10">
        <v>6914641009.3199997</v>
      </c>
      <c r="L199" s="13">
        <f t="shared" ref="L199" si="103">(K199/$K$201)</f>
        <v>0.82800755810333038</v>
      </c>
      <c r="M199" s="13">
        <f t="shared" ref="M199" si="104">((K199-I199)/I199)</f>
        <v>2.6715481341819478E-2</v>
      </c>
      <c r="N199" s="20">
        <f t="shared" ref="N199" si="105">(G199/K199)</f>
        <v>3.6563777665279454E-3</v>
      </c>
      <c r="O199" s="21">
        <f t="shared" ref="O199" si="106">H199/K199</f>
        <v>2.5038286853452434E-2</v>
      </c>
      <c r="P199" s="22">
        <f t="shared" ref="P199" si="107">K199/V199</f>
        <v>4.5054605850026723</v>
      </c>
      <c r="Q199" s="22">
        <f t="shared" ref="Q199" si="108">H199/V199</f>
        <v>0.11280901453422053</v>
      </c>
      <c r="R199" s="10">
        <v>4.47</v>
      </c>
      <c r="S199" s="10">
        <v>4.53</v>
      </c>
      <c r="T199" s="10">
        <v>11813</v>
      </c>
      <c r="U199" s="10">
        <v>1528898507.6300001</v>
      </c>
      <c r="V199" s="10">
        <v>1534724558.98</v>
      </c>
    </row>
    <row r="200" spans="1:22">
      <c r="A200" s="103">
        <v>175</v>
      </c>
      <c r="B200" s="10" t="s">
        <v>185</v>
      </c>
      <c r="C200" s="25" t="s">
        <v>94</v>
      </c>
      <c r="D200" s="10">
        <v>1317523075.4000001</v>
      </c>
      <c r="E200" s="10">
        <v>9837428.5600000005</v>
      </c>
      <c r="F200" s="10">
        <v>19089045</v>
      </c>
      <c r="G200" s="10">
        <v>11455636.6</v>
      </c>
      <c r="H200" s="12">
        <f>(E200+F200)-G200</f>
        <v>17470836.960000001</v>
      </c>
      <c r="I200" s="10">
        <v>1395795373.2</v>
      </c>
      <c r="J200" s="13">
        <f t="shared" si="102"/>
        <v>0.17167367079184123</v>
      </c>
      <c r="K200" s="10">
        <v>1436298473.8399999</v>
      </c>
      <c r="L200" s="13">
        <f t="shared" ref="L200" si="109">(K200/$K$201)</f>
        <v>0.17199244189666954</v>
      </c>
      <c r="M200" s="13">
        <f t="shared" ref="M200" si="110">((K200-I200)/I200)</f>
        <v>2.9017935879198733E-2</v>
      </c>
      <c r="N200" s="20">
        <f t="shared" ref="N200" si="111">(G200/K200)</f>
        <v>7.9758050354066783E-3</v>
      </c>
      <c r="O200" s="21">
        <f t="shared" ref="O200" si="112">H200/K200</f>
        <v>1.21637927479593E-2</v>
      </c>
      <c r="P200" s="22">
        <f t="shared" ref="P200" si="113">K200/V200</f>
        <v>40.18017996405333</v>
      </c>
      <c r="Q200" s="22">
        <f t="shared" ref="Q200" si="114">H200/V200</f>
        <v>0.48874338165845144</v>
      </c>
      <c r="R200" s="10">
        <v>40.178899999999999</v>
      </c>
      <c r="S200" s="10">
        <v>40.551900000000003</v>
      </c>
      <c r="T200" s="10">
        <v>1504</v>
      </c>
      <c r="U200" s="10">
        <v>35570003.310000002</v>
      </c>
      <c r="V200" s="10">
        <v>35746442.030000001</v>
      </c>
    </row>
    <row r="201" spans="1:22" ht="15" customHeight="1">
      <c r="A201" s="147" t="s">
        <v>51</v>
      </c>
      <c r="B201" s="147"/>
      <c r="C201" s="147"/>
      <c r="D201" s="147"/>
      <c r="E201" s="147"/>
      <c r="F201" s="147"/>
      <c r="G201" s="147"/>
      <c r="H201" s="147"/>
      <c r="I201" s="37">
        <f>SUM(I199:I200)</f>
        <v>8130515103.2299995</v>
      </c>
      <c r="J201" s="35">
        <f>(I201/$I$239)</f>
        <v>1.1028604769974667E-3</v>
      </c>
      <c r="K201" s="37">
        <f>SUM(K199:K200)</f>
        <v>8350939483.1599998</v>
      </c>
      <c r="L201" s="35">
        <f>(K201/$K$239)</f>
        <v>1.0706607108009797E-3</v>
      </c>
      <c r="M201" s="35">
        <f t="shared" ref="M201" si="115">((K201-I201)/I201)</f>
        <v>2.7110752164082763E-2</v>
      </c>
      <c r="N201" s="20"/>
      <c r="O201" s="41"/>
      <c r="P201" s="36"/>
      <c r="Q201" s="36"/>
      <c r="R201" s="37"/>
      <c r="S201" s="37"/>
      <c r="T201" s="37">
        <f>SUM(T199:T200)</f>
        <v>13317</v>
      </c>
      <c r="U201" s="37"/>
      <c r="V201" s="40"/>
    </row>
    <row r="202" spans="1:22" ht="4.95" customHeight="1">
      <c r="A202" s="149"/>
      <c r="B202" s="149"/>
      <c r="C202" s="149"/>
      <c r="D202" s="149"/>
      <c r="E202" s="149"/>
      <c r="F202" s="149"/>
      <c r="G202" s="149"/>
      <c r="H202" s="149"/>
      <c r="I202" s="149"/>
      <c r="J202" s="149"/>
      <c r="K202" s="149"/>
      <c r="L202" s="149"/>
      <c r="M202" s="149"/>
      <c r="N202" s="149"/>
      <c r="O202" s="149"/>
      <c r="P202" s="149"/>
      <c r="Q202" s="149"/>
      <c r="R202" s="149"/>
      <c r="S202" s="149"/>
      <c r="T202" s="149"/>
      <c r="U202" s="149"/>
      <c r="V202" s="149"/>
    </row>
    <row r="203" spans="1:22">
      <c r="A203" s="146" t="s">
        <v>186</v>
      </c>
      <c r="B203" s="146"/>
      <c r="C203" s="146"/>
      <c r="D203" s="146"/>
      <c r="E203" s="146"/>
      <c r="F203" s="146"/>
      <c r="G203" s="146"/>
      <c r="H203" s="146"/>
      <c r="I203" s="146"/>
      <c r="J203" s="146"/>
      <c r="K203" s="146"/>
      <c r="L203" s="146"/>
      <c r="M203" s="146"/>
      <c r="N203" s="146"/>
      <c r="O203" s="146"/>
      <c r="P203" s="146"/>
      <c r="Q203" s="146"/>
      <c r="R203" s="146"/>
      <c r="S203" s="146"/>
      <c r="T203" s="146"/>
      <c r="U203" s="146"/>
      <c r="V203" s="146"/>
    </row>
    <row r="204" spans="1:22" ht="13.2" customHeight="1">
      <c r="A204" s="150" t="s">
        <v>187</v>
      </c>
      <c r="B204" s="150"/>
      <c r="C204" s="150"/>
      <c r="D204" s="150"/>
      <c r="E204" s="150"/>
      <c r="F204" s="150"/>
      <c r="G204" s="150"/>
      <c r="H204" s="150"/>
      <c r="I204" s="150"/>
      <c r="J204" s="150"/>
      <c r="K204" s="150"/>
      <c r="L204" s="150"/>
      <c r="M204" s="150"/>
      <c r="N204" s="150"/>
      <c r="O204" s="150"/>
      <c r="P204" s="150"/>
      <c r="Q204" s="150"/>
      <c r="R204" s="150"/>
      <c r="S204" s="150"/>
      <c r="T204" s="150"/>
      <c r="U204" s="150"/>
      <c r="V204" s="150"/>
    </row>
    <row r="205" spans="1:22" ht="15" customHeight="1">
      <c r="A205" s="102">
        <v>176</v>
      </c>
      <c r="B205" s="96" t="s">
        <v>188</v>
      </c>
      <c r="C205" s="19" t="s">
        <v>118</v>
      </c>
      <c r="D205" s="87">
        <v>6695290146.1400003</v>
      </c>
      <c r="E205" s="29">
        <v>91856248.209999993</v>
      </c>
      <c r="F205" s="29">
        <v>125758498.45999999</v>
      </c>
      <c r="G205" s="17">
        <v>75544942.239999995</v>
      </c>
      <c r="H205" s="12">
        <f>(E205+F205)-G205</f>
        <v>142069804.43000001</v>
      </c>
      <c r="I205" s="29">
        <v>8151831792.4700003</v>
      </c>
      <c r="J205" s="13">
        <f>(I205/$I$229)</f>
        <v>0.10954023595304181</v>
      </c>
      <c r="K205" s="29">
        <v>8562643264.6400003</v>
      </c>
      <c r="L205" s="13">
        <f>(K205/$K$229)</f>
        <v>0.1080090270945309</v>
      </c>
      <c r="M205" s="13">
        <f>((K205-I205)/I205)</f>
        <v>5.0394988835450988E-2</v>
      </c>
      <c r="N205" s="20">
        <f>(G205/K205)</f>
        <v>8.8226193600716516E-3</v>
      </c>
      <c r="O205" s="21">
        <f>H205/K205</f>
        <v>1.6591816339784543E-2</v>
      </c>
      <c r="P205" s="22">
        <f>K205/V205</f>
        <v>2.9759822746155762</v>
      </c>
      <c r="Q205" s="22">
        <f>H205/V205</f>
        <v>4.9376951330875885E-2</v>
      </c>
      <c r="R205" s="29">
        <v>2.95</v>
      </c>
      <c r="S205" s="29">
        <v>3</v>
      </c>
      <c r="T205" s="29">
        <v>15471</v>
      </c>
      <c r="U205" s="10">
        <v>2787427581.4299998</v>
      </c>
      <c r="V205" s="10">
        <v>2877249417</v>
      </c>
    </row>
    <row r="206" spans="1:22">
      <c r="A206" s="110">
        <v>177</v>
      </c>
      <c r="B206" s="19" t="s">
        <v>189</v>
      </c>
      <c r="C206" s="19" t="s">
        <v>46</v>
      </c>
      <c r="D206" s="17">
        <v>4625935892.3500004</v>
      </c>
      <c r="E206" s="17">
        <v>10273371.26</v>
      </c>
      <c r="F206" s="17">
        <v>183290150.06999999</v>
      </c>
      <c r="G206" s="17">
        <v>13990975.199999999</v>
      </c>
      <c r="H206" s="12">
        <f>(E206+F206)-G206</f>
        <v>179572546.13</v>
      </c>
      <c r="I206" s="17">
        <v>3746552758.75</v>
      </c>
      <c r="J206" s="13">
        <f>(I206/$I$229)</f>
        <v>5.0344300968413906E-2</v>
      </c>
      <c r="K206" s="17">
        <v>4777511054.4399996</v>
      </c>
      <c r="L206" s="13">
        <f>(K206/$K$229)</f>
        <v>6.026343793327768E-2</v>
      </c>
      <c r="M206" s="13">
        <f>((K206-I206)/I206)</f>
        <v>0.27517517090403087</v>
      </c>
      <c r="N206" s="20">
        <f>(G206/K206)</f>
        <v>2.9285071328087097E-3</v>
      </c>
      <c r="O206" s="21">
        <f>H206/K206</f>
        <v>3.7587049843267974E-2</v>
      </c>
      <c r="P206" s="22">
        <f>K206/V206</f>
        <v>945.53834715062317</v>
      </c>
      <c r="Q206" s="22">
        <f>H206/V206</f>
        <v>35.539996983071688</v>
      </c>
      <c r="R206" s="17">
        <v>937.86</v>
      </c>
      <c r="S206" s="17">
        <v>950.8</v>
      </c>
      <c r="T206" s="17">
        <v>2696</v>
      </c>
      <c r="U206" s="17">
        <v>4161971.69</v>
      </c>
      <c r="V206" s="17">
        <v>5052688.84</v>
      </c>
    </row>
    <row r="207" spans="1:22" ht="7.2" customHeight="1">
      <c r="A207" s="149"/>
      <c r="B207" s="149"/>
      <c r="C207" s="149"/>
      <c r="D207" s="149"/>
      <c r="E207" s="149"/>
      <c r="F207" s="149"/>
      <c r="G207" s="149"/>
      <c r="H207" s="149"/>
      <c r="I207" s="149"/>
      <c r="J207" s="149"/>
      <c r="K207" s="149"/>
      <c r="L207" s="149"/>
      <c r="M207" s="149"/>
      <c r="N207" s="149"/>
      <c r="O207" s="149"/>
      <c r="P207" s="149"/>
      <c r="Q207" s="149"/>
      <c r="R207" s="149"/>
      <c r="S207" s="149"/>
      <c r="T207" s="149"/>
      <c r="U207" s="149"/>
      <c r="V207" s="149"/>
    </row>
    <row r="208" spans="1:22">
      <c r="A208" s="151" t="s">
        <v>145</v>
      </c>
      <c r="B208" s="151"/>
      <c r="C208" s="151"/>
      <c r="D208" s="151"/>
      <c r="E208" s="151"/>
      <c r="F208" s="151"/>
      <c r="G208" s="151"/>
      <c r="H208" s="151"/>
      <c r="I208" s="151"/>
      <c r="J208" s="151"/>
      <c r="K208" s="151"/>
      <c r="L208" s="151"/>
      <c r="M208" s="151"/>
      <c r="N208" s="151"/>
      <c r="O208" s="151"/>
      <c r="P208" s="151"/>
      <c r="Q208" s="151"/>
      <c r="R208" s="151"/>
      <c r="S208" s="151"/>
      <c r="T208" s="151"/>
      <c r="U208" s="151"/>
      <c r="V208" s="151"/>
    </row>
    <row r="209" spans="1:22">
      <c r="A209" s="105">
        <v>178</v>
      </c>
      <c r="B209" s="94" t="s">
        <v>271</v>
      </c>
      <c r="C209" s="95" t="s">
        <v>58</v>
      </c>
      <c r="D209" s="56">
        <v>670193881.36000001</v>
      </c>
      <c r="E209" s="56">
        <v>17441614.440000001</v>
      </c>
      <c r="F209" s="10">
        <v>0</v>
      </c>
      <c r="G209" s="56">
        <v>3023886.67</v>
      </c>
      <c r="H209" s="56">
        <f>(E209+F209)-G209</f>
        <v>14417727.770000001</v>
      </c>
      <c r="I209" s="56">
        <v>1269152939</v>
      </c>
      <c r="J209" s="13">
        <f t="shared" ref="J209:J222" si="116">(I209/$I$229)</f>
        <v>1.7054242032689501E-2</v>
      </c>
      <c r="K209" s="56">
        <v>1272124864</v>
      </c>
      <c r="L209" s="13">
        <f t="shared" ref="L209" si="117">(K209/$K$229)</f>
        <v>1.6046559999855277E-2</v>
      </c>
      <c r="M209" s="13">
        <f t="shared" ref="M209:M229" si="118">((K209-I209)/I209)</f>
        <v>2.3416602591187002E-3</v>
      </c>
      <c r="N209" s="20">
        <f>(G209/K209)</f>
        <v>2.3770360564228385E-3</v>
      </c>
      <c r="O209" s="21">
        <f>H209/K209</f>
        <v>1.1333579099040392E-2</v>
      </c>
      <c r="P209" s="22">
        <f>K209/V209</f>
        <v>1.134668867104061</v>
      </c>
      <c r="Q209" s="22">
        <f>H209/V209</f>
        <v>1.2859859356542425E-2</v>
      </c>
      <c r="R209" s="56">
        <v>1.1347</v>
      </c>
      <c r="S209" s="56">
        <v>1.1347</v>
      </c>
      <c r="T209" s="56">
        <v>723</v>
      </c>
      <c r="U209" s="56">
        <v>1116530562</v>
      </c>
      <c r="V209" s="56">
        <v>1121141948</v>
      </c>
    </row>
    <row r="210" spans="1:22">
      <c r="A210" s="105">
        <v>179</v>
      </c>
      <c r="B210" s="94" t="s">
        <v>190</v>
      </c>
      <c r="C210" s="95" t="s">
        <v>191</v>
      </c>
      <c r="D210" s="56">
        <v>275741122</v>
      </c>
      <c r="E210" s="56">
        <v>1525344</v>
      </c>
      <c r="F210" s="10">
        <v>0</v>
      </c>
      <c r="G210" s="116">
        <v>1066925</v>
      </c>
      <c r="H210" s="56">
        <f>(E210+F210)-G210</f>
        <v>458419</v>
      </c>
      <c r="I210" s="56">
        <v>369580641</v>
      </c>
      <c r="J210" s="13">
        <f t="shared" si="116"/>
        <v>4.9662396930481587E-3</v>
      </c>
      <c r="K210" s="56">
        <v>369363206</v>
      </c>
      <c r="L210" s="13">
        <f t="shared" ref="L210:L222" si="119">(K210/$K$229)</f>
        <v>4.6591407923443472E-3</v>
      </c>
      <c r="M210" s="13">
        <f t="shared" ref="M210:M222" si="120">((K210-I210)/I210)</f>
        <v>-5.883289758134274E-4</v>
      </c>
      <c r="N210" s="20">
        <f t="shared" ref="N210:N222" si="121">(G210/K210)</f>
        <v>2.8885524672427713E-3</v>
      </c>
      <c r="O210" s="21">
        <f t="shared" ref="O210:O222" si="122">H210/K210</f>
        <v>1.2411062947076542E-3</v>
      </c>
      <c r="P210" s="22">
        <f t="shared" ref="P210:P222" si="123">K210/V210</f>
        <v>1116.5620911476283</v>
      </c>
      <c r="Q210" s="22">
        <f t="shared" ref="Q210:Q222" si="124">H210/V210</f>
        <v>1.385772239755263</v>
      </c>
      <c r="R210" s="56">
        <v>1116.56</v>
      </c>
      <c r="S210" s="56">
        <v>1116.56</v>
      </c>
      <c r="T210" s="56">
        <v>19</v>
      </c>
      <c r="U210" s="56">
        <v>328247</v>
      </c>
      <c r="V210" s="56">
        <v>330804</v>
      </c>
    </row>
    <row r="211" spans="1:22" ht="15" customHeight="1">
      <c r="A211" s="105">
        <v>180</v>
      </c>
      <c r="B211" s="94" t="s">
        <v>192</v>
      </c>
      <c r="C211" s="95" t="s">
        <v>62</v>
      </c>
      <c r="D211" s="56">
        <v>125021281.28</v>
      </c>
      <c r="E211" s="56">
        <v>3877197.71</v>
      </c>
      <c r="F211" s="10">
        <v>0</v>
      </c>
      <c r="G211" s="56">
        <v>1099420.06</v>
      </c>
      <c r="H211" s="56">
        <f t="shared" ref="H211:H221" si="125">(E211+F211)-G211</f>
        <v>2777777.65</v>
      </c>
      <c r="I211" s="56">
        <v>315225642.92000002</v>
      </c>
      <c r="J211" s="13">
        <f t="shared" si="116"/>
        <v>4.235844431407676E-3</v>
      </c>
      <c r="K211" s="56">
        <v>319695217.26999998</v>
      </c>
      <c r="L211" s="13">
        <f t="shared" si="119"/>
        <v>4.0326296818531671E-3</v>
      </c>
      <c r="M211" s="13">
        <f t="shared" si="120"/>
        <v>1.4178968146745224E-2</v>
      </c>
      <c r="N211" s="20">
        <f t="shared" si="121"/>
        <v>3.4389631142698017E-3</v>
      </c>
      <c r="O211" s="21">
        <f t="shared" si="122"/>
        <v>8.6888307986603876E-3</v>
      </c>
      <c r="P211" s="22">
        <f t="shared" si="123"/>
        <v>124.56355048055286</v>
      </c>
      <c r="Q211" s="22">
        <f t="shared" si="124"/>
        <v>1.0823116138059157</v>
      </c>
      <c r="R211" s="56">
        <v>122.56</v>
      </c>
      <c r="S211" s="56">
        <v>122.56</v>
      </c>
      <c r="T211" s="56">
        <v>80</v>
      </c>
      <c r="U211" s="56">
        <v>2581759</v>
      </c>
      <c r="V211" s="56">
        <v>2566523</v>
      </c>
    </row>
    <row r="212" spans="1:22" ht="15" customHeight="1">
      <c r="A212" s="105">
        <v>181</v>
      </c>
      <c r="B212" s="94" t="s">
        <v>315</v>
      </c>
      <c r="C212" s="95" t="s">
        <v>316</v>
      </c>
      <c r="D212" s="56">
        <v>50455025</v>
      </c>
      <c r="E212" s="56">
        <v>21691.14</v>
      </c>
      <c r="F212" s="10">
        <v>45000</v>
      </c>
      <c r="G212" s="56">
        <v>107031.29</v>
      </c>
      <c r="H212" s="56">
        <f t="shared" ref="H212" si="126">(E212+F212)-G212</f>
        <v>-40340.149999999994</v>
      </c>
      <c r="I212" s="56">
        <v>53656605.759999998</v>
      </c>
      <c r="J212" s="13">
        <f t="shared" si="116"/>
        <v>7.210106151624659E-4</v>
      </c>
      <c r="K212" s="56">
        <v>55068657.909999996</v>
      </c>
      <c r="L212" s="13">
        <f t="shared" si="119"/>
        <v>6.9463505373661171E-4</v>
      </c>
      <c r="M212" s="13">
        <f t="shared" si="120"/>
        <v>2.6316464301076925E-2</v>
      </c>
      <c r="N212" s="20">
        <f t="shared" si="121"/>
        <v>1.9435972123185523E-3</v>
      </c>
      <c r="O212" s="21">
        <f t="shared" si="122"/>
        <v>-7.325428207444033E-4</v>
      </c>
      <c r="P212" s="22">
        <f t="shared" si="123"/>
        <v>105.72640999500825</v>
      </c>
      <c r="Q212" s="22">
        <f t="shared" si="124"/>
        <v>-7.7449122604922621E-2</v>
      </c>
      <c r="R212" s="56">
        <v>105.75</v>
      </c>
      <c r="S212" s="56">
        <v>105.75</v>
      </c>
      <c r="T212" s="56">
        <v>14</v>
      </c>
      <c r="U212" s="56">
        <v>520760</v>
      </c>
      <c r="V212" s="56">
        <v>520860</v>
      </c>
    </row>
    <row r="213" spans="1:22" ht="15" customHeight="1">
      <c r="A213" s="105">
        <v>182</v>
      </c>
      <c r="B213" s="94" t="s">
        <v>193</v>
      </c>
      <c r="C213" s="95" t="s">
        <v>168</v>
      </c>
      <c r="D213" s="56">
        <v>54384239.659999996</v>
      </c>
      <c r="E213" s="56">
        <v>725521.83</v>
      </c>
      <c r="F213" s="10">
        <v>0</v>
      </c>
      <c r="G213" s="56">
        <v>144920.56</v>
      </c>
      <c r="H213" s="56">
        <f t="shared" si="125"/>
        <v>580601.27</v>
      </c>
      <c r="I213" s="56">
        <v>67503164.150000006</v>
      </c>
      <c r="J213" s="13">
        <f t="shared" si="116"/>
        <v>9.0707373714435304E-4</v>
      </c>
      <c r="K213" s="56">
        <v>68569175.939999998</v>
      </c>
      <c r="L213" s="13">
        <f t="shared" si="119"/>
        <v>8.6493034371022475E-4</v>
      </c>
      <c r="M213" s="13">
        <f t="shared" si="120"/>
        <v>1.579202698752295E-2</v>
      </c>
      <c r="N213" s="20">
        <f t="shared" si="121"/>
        <v>2.1134942634691957E-3</v>
      </c>
      <c r="O213" s="21">
        <f t="shared" si="122"/>
        <v>8.4673800150091173E-3</v>
      </c>
      <c r="P213" s="22">
        <f t="shared" si="123"/>
        <v>104.17981670695447</v>
      </c>
      <c r="Q213" s="22">
        <f t="shared" si="124"/>
        <v>0.88213009795177921</v>
      </c>
      <c r="R213" s="56">
        <v>103.93</v>
      </c>
      <c r="S213" s="56">
        <v>104.95</v>
      </c>
      <c r="T213" s="56">
        <v>22</v>
      </c>
      <c r="U213" s="56">
        <v>655750</v>
      </c>
      <c r="V213" s="56">
        <v>658181</v>
      </c>
    </row>
    <row r="214" spans="1:22" ht="15" customHeight="1">
      <c r="A214" s="105">
        <v>183</v>
      </c>
      <c r="B214" s="19" t="s">
        <v>258</v>
      </c>
      <c r="C214" s="96" t="s">
        <v>69</v>
      </c>
      <c r="D214" s="16">
        <v>277698267.97000003</v>
      </c>
      <c r="E214" s="29">
        <v>4008947.17</v>
      </c>
      <c r="F214" s="29">
        <v>0</v>
      </c>
      <c r="G214" s="10">
        <v>700704.3</v>
      </c>
      <c r="H214" s="12">
        <f t="shared" si="125"/>
        <v>3308242.87</v>
      </c>
      <c r="I214" s="17">
        <v>233071356.75</v>
      </c>
      <c r="J214" s="13">
        <f t="shared" si="116"/>
        <v>3.1318962488742423E-3</v>
      </c>
      <c r="K214" s="17">
        <v>273405215.38999999</v>
      </c>
      <c r="L214" s="13">
        <f t="shared" si="119"/>
        <v>3.4487284363219476E-3</v>
      </c>
      <c r="M214" s="13">
        <f t="shared" si="120"/>
        <v>0.17305369137771576</v>
      </c>
      <c r="N214" s="20">
        <f t="shared" si="121"/>
        <v>2.5628783232992743E-3</v>
      </c>
      <c r="O214" s="21">
        <f t="shared" si="122"/>
        <v>1.2100145438999559E-2</v>
      </c>
      <c r="P214" s="22">
        <f t="shared" si="123"/>
        <v>1.1994189649903793</v>
      </c>
      <c r="Q214" s="22">
        <f t="shared" si="124"/>
        <v>1.4513143918677907E-2</v>
      </c>
      <c r="R214" s="10">
        <v>1.1567000000000001</v>
      </c>
      <c r="S214" s="10">
        <v>1.1567000000000001</v>
      </c>
      <c r="T214" s="10">
        <v>55</v>
      </c>
      <c r="U214" s="10">
        <v>228042618.56</v>
      </c>
      <c r="V214" s="10">
        <v>227948050.99000001</v>
      </c>
    </row>
    <row r="215" spans="1:22" ht="15" customHeight="1">
      <c r="A215" s="105">
        <v>184</v>
      </c>
      <c r="B215" s="95" t="s">
        <v>194</v>
      </c>
      <c r="C215" s="95" t="s">
        <v>73</v>
      </c>
      <c r="D215" s="56">
        <v>5119853949.6099997</v>
      </c>
      <c r="E215" s="56">
        <v>68149520.069999993</v>
      </c>
      <c r="F215" s="10">
        <v>0</v>
      </c>
      <c r="G215" s="56">
        <v>8344193.1100000003</v>
      </c>
      <c r="H215" s="56">
        <f t="shared" si="125"/>
        <v>59805326.959999993</v>
      </c>
      <c r="I215" s="56">
        <v>4774867637.5500002</v>
      </c>
      <c r="J215" s="13">
        <f t="shared" si="116"/>
        <v>6.4162281678200511E-2</v>
      </c>
      <c r="K215" s="56">
        <v>5086656366.5500002</v>
      </c>
      <c r="L215" s="13">
        <f t="shared" si="119"/>
        <v>6.4162991302472036E-2</v>
      </c>
      <c r="M215" s="13">
        <f t="shared" si="120"/>
        <v>6.5297878950206834E-2</v>
      </c>
      <c r="N215" s="20">
        <f t="shared" si="121"/>
        <v>1.6404082581382253E-3</v>
      </c>
      <c r="O215" s="21">
        <f t="shared" si="122"/>
        <v>1.1757296473432245E-2</v>
      </c>
      <c r="P215" s="22">
        <f t="shared" si="123"/>
        <v>142.29498023275349</v>
      </c>
      <c r="Q215" s="22">
        <f t="shared" si="124"/>
        <v>1.6730042692776634</v>
      </c>
      <c r="R215" s="56">
        <v>142.29</v>
      </c>
      <c r="S215" s="56">
        <v>142.29</v>
      </c>
      <c r="T215" s="56">
        <v>756</v>
      </c>
      <c r="U215" s="56">
        <v>33976682</v>
      </c>
      <c r="V215" s="56">
        <v>35747265</v>
      </c>
    </row>
    <row r="216" spans="1:22" ht="15" customHeight="1">
      <c r="A216" s="105">
        <v>185</v>
      </c>
      <c r="B216" s="95" t="s">
        <v>220</v>
      </c>
      <c r="C216" s="95" t="s">
        <v>60</v>
      </c>
      <c r="D216" s="56">
        <v>956704267.64999998</v>
      </c>
      <c r="E216" s="56">
        <v>10125524.539999999</v>
      </c>
      <c r="F216" s="10">
        <v>0</v>
      </c>
      <c r="G216" s="56">
        <v>1370032.05</v>
      </c>
      <c r="H216" s="56">
        <f t="shared" si="125"/>
        <v>8755492.4899999984</v>
      </c>
      <c r="I216" s="56">
        <v>857853023.17999995</v>
      </c>
      <c r="J216" s="13">
        <f t="shared" si="116"/>
        <v>1.1527399603481607E-2</v>
      </c>
      <c r="K216" s="56">
        <v>948411824.48000002</v>
      </c>
      <c r="L216" s="13">
        <f t="shared" si="119"/>
        <v>1.1963249580892189E-2</v>
      </c>
      <c r="M216" s="13">
        <f t="shared" si="120"/>
        <v>0.10556447183027351</v>
      </c>
      <c r="N216" s="20">
        <f t="shared" si="121"/>
        <v>1.4445539528687003E-3</v>
      </c>
      <c r="O216" s="21">
        <f t="shared" si="122"/>
        <v>9.2317411740416716E-3</v>
      </c>
      <c r="P216" s="22">
        <f t="shared" si="123"/>
        <v>1324.857847389035</v>
      </c>
      <c r="Q216" s="22">
        <f t="shared" si="124"/>
        <v>12.230744739493572</v>
      </c>
      <c r="R216" s="56">
        <v>1324.86</v>
      </c>
      <c r="S216" s="56">
        <v>1324.86</v>
      </c>
      <c r="T216" s="56">
        <v>309</v>
      </c>
      <c r="U216" s="56">
        <v>653893.38</v>
      </c>
      <c r="V216" s="56">
        <v>715859.31</v>
      </c>
    </row>
    <row r="217" spans="1:22" ht="15" customHeight="1">
      <c r="A217" s="105">
        <v>186</v>
      </c>
      <c r="B217" s="94" t="s">
        <v>117</v>
      </c>
      <c r="C217" s="95" t="s">
        <v>118</v>
      </c>
      <c r="D217" s="56">
        <v>24306486387.919998</v>
      </c>
      <c r="E217" s="56">
        <v>584180753.57000005</v>
      </c>
      <c r="F217" s="10">
        <v>-45000000</v>
      </c>
      <c r="G217" s="56">
        <v>64772592.57</v>
      </c>
      <c r="H217" s="56">
        <f t="shared" si="125"/>
        <v>474408161.00000006</v>
      </c>
      <c r="I217" s="56">
        <v>37652753782.790001</v>
      </c>
      <c r="J217" s="13">
        <f t="shared" si="116"/>
        <v>0.50595886159703074</v>
      </c>
      <c r="K217" s="56">
        <v>41223363892.620003</v>
      </c>
      <c r="L217" s="13">
        <f t="shared" si="119"/>
        <v>0.51999076570112102</v>
      </c>
      <c r="M217" s="13">
        <f t="shared" si="120"/>
        <v>9.4829985887035589E-2</v>
      </c>
      <c r="N217" s="20">
        <f t="shared" si="121"/>
        <v>1.5712592678928828E-3</v>
      </c>
      <c r="O217" s="21">
        <f t="shared" si="122"/>
        <v>1.1508235044470275E-2</v>
      </c>
      <c r="P217" s="22">
        <f t="shared" si="123"/>
        <v>1300.8176507152887</v>
      </c>
      <c r="Q217" s="22">
        <f t="shared" si="124"/>
        <v>14.970115274427176</v>
      </c>
      <c r="R217" s="56">
        <v>1300.8</v>
      </c>
      <c r="S217" s="56">
        <v>1300.8</v>
      </c>
      <c r="T217" s="56">
        <v>11833</v>
      </c>
      <c r="U217" s="56">
        <v>29297117.390000001</v>
      </c>
      <c r="V217" s="56">
        <v>31690347.890000001</v>
      </c>
    </row>
    <row r="218" spans="1:22" ht="15" customHeight="1">
      <c r="A218" s="105">
        <v>187</v>
      </c>
      <c r="B218" s="97" t="s">
        <v>217</v>
      </c>
      <c r="C218" s="97" t="s">
        <v>218</v>
      </c>
      <c r="D218" s="56">
        <v>326003712.14999998</v>
      </c>
      <c r="E218" s="56">
        <v>3273600</v>
      </c>
      <c r="F218" s="10">
        <v>58800949.689999998</v>
      </c>
      <c r="G218" s="56">
        <v>557511.28</v>
      </c>
      <c r="H218" s="56">
        <f t="shared" si="125"/>
        <v>61517038.409999996</v>
      </c>
      <c r="I218" s="56">
        <v>328878148.23000002</v>
      </c>
      <c r="J218" s="13">
        <f t="shared" si="116"/>
        <v>4.419299965216528E-3</v>
      </c>
      <c r="K218" s="56">
        <v>328167448.79000002</v>
      </c>
      <c r="L218" s="13">
        <f t="shared" si="119"/>
        <v>4.1394982568379148E-3</v>
      </c>
      <c r="M218" s="13">
        <f t="shared" si="120"/>
        <v>-2.1609810315003719E-3</v>
      </c>
      <c r="N218" s="20">
        <f t="shared" si="121"/>
        <v>1.6988622182231153E-3</v>
      </c>
      <c r="O218" s="21">
        <f t="shared" si="122"/>
        <v>0.18745624722019827</v>
      </c>
      <c r="P218" s="22">
        <f t="shared" si="123"/>
        <v>121.41825751861592</v>
      </c>
      <c r="Q218" s="22">
        <f t="shared" si="124"/>
        <v>22.760610898455361</v>
      </c>
      <c r="R218" s="56">
        <v>121.23</v>
      </c>
      <c r="S218" s="56">
        <v>121.99</v>
      </c>
      <c r="T218" s="56">
        <v>129</v>
      </c>
      <c r="U218" s="56">
        <v>2707013.99</v>
      </c>
      <c r="V218" s="56">
        <v>2702785.03</v>
      </c>
    </row>
    <row r="219" spans="1:22" ht="15" customHeight="1">
      <c r="A219" s="105">
        <v>188</v>
      </c>
      <c r="B219" s="97" t="s">
        <v>219</v>
      </c>
      <c r="C219" s="97" t="s">
        <v>218</v>
      </c>
      <c r="D219" s="56">
        <v>456076700.68000001</v>
      </c>
      <c r="E219" s="56">
        <v>6250000</v>
      </c>
      <c r="F219" s="10">
        <v>20277380.510000002</v>
      </c>
      <c r="G219" s="56">
        <v>774879.73</v>
      </c>
      <c r="H219" s="56">
        <f t="shared" si="125"/>
        <v>25752500.780000001</v>
      </c>
      <c r="I219" s="56">
        <v>434106607.97000003</v>
      </c>
      <c r="J219" s="13">
        <f t="shared" si="116"/>
        <v>5.8333073444588523E-3</v>
      </c>
      <c r="K219" s="56">
        <v>454575946.54000002</v>
      </c>
      <c r="L219" s="13">
        <f t="shared" si="119"/>
        <v>5.7340127585503399E-3</v>
      </c>
      <c r="M219" s="13">
        <f t="shared" si="120"/>
        <v>4.7152791950622816E-2</v>
      </c>
      <c r="N219" s="20">
        <f t="shared" si="121"/>
        <v>1.7046210559489318E-3</v>
      </c>
      <c r="O219" s="21">
        <f t="shared" si="122"/>
        <v>5.6651701384586861E-2</v>
      </c>
      <c r="P219" s="22">
        <f t="shared" si="123"/>
        <v>134.74706626686705</v>
      </c>
      <c r="Q219" s="22">
        <f t="shared" si="124"/>
        <v>7.6336505605996887</v>
      </c>
      <c r="R219" s="56">
        <v>135.62</v>
      </c>
      <c r="S219" s="56">
        <v>135.62</v>
      </c>
      <c r="T219" s="56">
        <v>144</v>
      </c>
      <c r="U219" s="56">
        <v>3224938.22</v>
      </c>
      <c r="V219" s="56">
        <v>3373549.86</v>
      </c>
    </row>
    <row r="220" spans="1:22" ht="13.95" customHeight="1">
      <c r="A220" s="105">
        <v>189</v>
      </c>
      <c r="B220" s="95" t="s">
        <v>195</v>
      </c>
      <c r="C220" s="95" t="s">
        <v>143</v>
      </c>
      <c r="D220" s="56">
        <v>1508228583.0699999</v>
      </c>
      <c r="E220" s="56">
        <v>39157187.950000003</v>
      </c>
      <c r="F220" s="10">
        <v>0</v>
      </c>
      <c r="G220" s="56">
        <v>7942171.1200000001</v>
      </c>
      <c r="H220" s="56">
        <f t="shared" si="125"/>
        <v>31215016.830000002</v>
      </c>
      <c r="I220" s="56">
        <v>2347361005</v>
      </c>
      <c r="J220" s="13">
        <f t="shared" si="116"/>
        <v>3.1542662422473632E-2</v>
      </c>
      <c r="K220" s="56">
        <v>2377310640</v>
      </c>
      <c r="L220" s="13">
        <f t="shared" si="119"/>
        <v>2.9987353366480816E-2</v>
      </c>
      <c r="M220" s="13">
        <f t="shared" si="120"/>
        <v>1.2758853425700493E-2</v>
      </c>
      <c r="N220" s="20">
        <f t="shared" si="121"/>
        <v>3.3408217615178808E-3</v>
      </c>
      <c r="O220" s="21">
        <f t="shared" si="122"/>
        <v>1.3130390410400889E-2</v>
      </c>
      <c r="P220" s="22">
        <f t="shared" si="123"/>
        <v>108.17269860348956</v>
      </c>
      <c r="Q220" s="22">
        <f t="shared" si="124"/>
        <v>1.4203497644104452</v>
      </c>
      <c r="R220" s="56">
        <v>108.17</v>
      </c>
      <c r="S220" s="56">
        <v>108.17</v>
      </c>
      <c r="T220" s="56">
        <v>770</v>
      </c>
      <c r="U220" s="56">
        <v>21988456</v>
      </c>
      <c r="V220" s="56">
        <v>21976993</v>
      </c>
    </row>
    <row r="221" spans="1:22">
      <c r="A221" s="105">
        <v>190</v>
      </c>
      <c r="B221" s="94" t="s">
        <v>196</v>
      </c>
      <c r="C221" s="94" t="s">
        <v>46</v>
      </c>
      <c r="D221" s="56">
        <v>3833535537.5</v>
      </c>
      <c r="E221" s="56">
        <v>50862508.82</v>
      </c>
      <c r="F221" s="10">
        <v>0</v>
      </c>
      <c r="G221" s="56">
        <v>10748329.25</v>
      </c>
      <c r="H221" s="56">
        <f t="shared" si="125"/>
        <v>40114179.57</v>
      </c>
      <c r="I221" s="56">
        <v>5286464799.5500002</v>
      </c>
      <c r="J221" s="13">
        <f t="shared" si="116"/>
        <v>7.1036868306711687E-2</v>
      </c>
      <c r="K221" s="56">
        <v>3825041302.6100001</v>
      </c>
      <c r="L221" s="13">
        <f t="shared" si="119"/>
        <v>4.8249001730270365E-2</v>
      </c>
      <c r="M221" s="13">
        <f t="shared" si="120"/>
        <v>-0.27644627408933109</v>
      </c>
      <c r="N221" s="20">
        <f t="shared" si="121"/>
        <v>2.809990376487157E-3</v>
      </c>
      <c r="O221" s="21">
        <f t="shared" si="122"/>
        <v>1.0487253965761955E-2</v>
      </c>
      <c r="P221" s="22">
        <f t="shared" si="123"/>
        <v>144.41923977516669</v>
      </c>
      <c r="Q221" s="22">
        <f t="shared" si="124"/>
        <v>1.5145612450644437</v>
      </c>
      <c r="R221" s="56">
        <v>144.41999999999999</v>
      </c>
      <c r="S221" s="56">
        <v>144.41999999999999</v>
      </c>
      <c r="T221" s="56">
        <v>1902</v>
      </c>
      <c r="U221" s="56">
        <v>36906595.909999996</v>
      </c>
      <c r="V221" s="56">
        <v>26485676.760000002</v>
      </c>
    </row>
    <row r="222" spans="1:22" ht="15" customHeight="1">
      <c r="A222" s="105">
        <v>191</v>
      </c>
      <c r="B222" s="95" t="s">
        <v>197</v>
      </c>
      <c r="C222" s="95" t="s">
        <v>50</v>
      </c>
      <c r="D222" s="56">
        <v>2489161471</v>
      </c>
      <c r="E222" s="56">
        <v>70021879</v>
      </c>
      <c r="F222" s="10">
        <v>0</v>
      </c>
      <c r="G222" s="56">
        <v>6520713</v>
      </c>
      <c r="H222" s="56">
        <f>(E222+F222)-G222</f>
        <v>63501166</v>
      </c>
      <c r="I222" s="56">
        <v>3854620077</v>
      </c>
      <c r="J222" s="13">
        <f t="shared" si="116"/>
        <v>5.1796455507575549E-2</v>
      </c>
      <c r="K222" s="56">
        <v>3905246492</v>
      </c>
      <c r="L222" s="13">
        <f t="shared" si="119"/>
        <v>4.9260708536943074E-2</v>
      </c>
      <c r="M222" s="13">
        <f t="shared" si="120"/>
        <v>1.3133957170534397E-2</v>
      </c>
      <c r="N222" s="20">
        <f t="shared" si="121"/>
        <v>1.669731478757577E-3</v>
      </c>
      <c r="O222" s="21">
        <f t="shared" si="122"/>
        <v>1.626047578048756E-2</v>
      </c>
      <c r="P222" s="22">
        <f t="shared" si="123"/>
        <v>1.1990462860326712</v>
      </c>
      <c r="Q222" s="22">
        <f t="shared" si="124"/>
        <v>1.949706309371781E-2</v>
      </c>
      <c r="R222" s="56">
        <v>1.2</v>
      </c>
      <c r="S222" s="56">
        <v>1.2</v>
      </c>
      <c r="T222" s="56">
        <v>163</v>
      </c>
      <c r="U222" s="56">
        <v>3244857660</v>
      </c>
      <c r="V222" s="56">
        <v>3256960584</v>
      </c>
    </row>
    <row r="223" spans="1:22" ht="4.95" customHeight="1">
      <c r="A223" s="69"/>
      <c r="B223" s="19"/>
      <c r="C223" s="19"/>
      <c r="D223" s="11"/>
      <c r="E223" s="11"/>
      <c r="F223" s="11"/>
      <c r="G223" s="31"/>
      <c r="H223" s="12"/>
      <c r="I223" s="23"/>
      <c r="J223" s="13"/>
      <c r="K223" s="32"/>
      <c r="L223" s="13"/>
      <c r="M223" s="13"/>
      <c r="N223" s="20"/>
      <c r="O223" s="21"/>
      <c r="P223" s="22"/>
      <c r="Q223" s="22"/>
      <c r="R223" s="12"/>
      <c r="S223" s="12"/>
      <c r="T223" s="42"/>
      <c r="U223" s="31"/>
      <c r="V223" s="42"/>
    </row>
    <row r="224" spans="1:22" ht="15" customHeight="1">
      <c r="A224" s="150" t="s">
        <v>215</v>
      </c>
      <c r="B224" s="152"/>
      <c r="C224" s="152"/>
      <c r="D224" s="150"/>
      <c r="E224" s="150"/>
      <c r="F224" s="150"/>
      <c r="G224" s="150"/>
      <c r="H224" s="150"/>
      <c r="I224" s="150"/>
      <c r="J224" s="150"/>
      <c r="K224" s="150"/>
      <c r="L224" s="150"/>
      <c r="M224" s="150"/>
      <c r="N224" s="150"/>
      <c r="O224" s="150"/>
      <c r="P224" s="150"/>
      <c r="Q224" s="150"/>
      <c r="R224" s="150"/>
      <c r="S224" s="150"/>
      <c r="T224" s="150"/>
      <c r="U224" s="150"/>
      <c r="V224" s="150"/>
    </row>
    <row r="225" spans="1:22" ht="15" customHeight="1">
      <c r="A225" s="104">
        <v>192</v>
      </c>
      <c r="B225" s="93" t="s">
        <v>303</v>
      </c>
      <c r="C225" s="93" t="s">
        <v>304</v>
      </c>
      <c r="D225" s="67">
        <v>395458993.58999997</v>
      </c>
      <c r="E225" s="16">
        <v>4745316.71</v>
      </c>
      <c r="F225" s="16">
        <v>2909759.42</v>
      </c>
      <c r="G225" s="16">
        <v>1179163.3999999999</v>
      </c>
      <c r="H225" s="16">
        <f>(E225+F225)-G225</f>
        <v>6475912.7300000004</v>
      </c>
      <c r="I225" s="59">
        <v>381426177.89999998</v>
      </c>
      <c r="J225" s="60">
        <f t="shared" ref="J225:J228" si="127">(I225/$I$229)</f>
        <v>5.1254140896807099E-3</v>
      </c>
      <c r="K225" s="59">
        <v>395831755.89999998</v>
      </c>
      <c r="L225" s="13">
        <f t="shared" ref="L225" si="128">(K225/$K$229)</f>
        <v>4.9930146015111756E-3</v>
      </c>
      <c r="M225" s="13">
        <f>((K225-I225)/I225)</f>
        <v>3.7767669957295823E-2</v>
      </c>
      <c r="N225" s="20">
        <f t="shared" ref="N225" si="129">(G225/K225)</f>
        <v>2.978950987191374E-3</v>
      </c>
      <c r="O225" s="21">
        <f t="shared" ref="O225" si="130">H225/K225</f>
        <v>1.636026577826168E-2</v>
      </c>
      <c r="P225" s="22">
        <f t="shared" ref="P225" si="131">K225/V225</f>
        <v>104.84931726267229</v>
      </c>
      <c r="Q225" s="22">
        <f t="shared" ref="Q225" si="132">H225/V225</f>
        <v>1.7153626970865989</v>
      </c>
      <c r="R225" s="59">
        <v>104.85</v>
      </c>
      <c r="S225" s="59">
        <v>104.85</v>
      </c>
      <c r="T225" s="59">
        <v>112</v>
      </c>
      <c r="U225" s="59">
        <v>3693390</v>
      </c>
      <c r="V225" s="59">
        <v>3775244</v>
      </c>
    </row>
    <row r="226" spans="1:22" ht="15" customHeight="1">
      <c r="A226" s="111">
        <v>193</v>
      </c>
      <c r="B226" s="112" t="s">
        <v>280</v>
      </c>
      <c r="C226" s="98" t="s">
        <v>58</v>
      </c>
      <c r="D226" s="16">
        <v>2732433154.98</v>
      </c>
      <c r="E226" s="16">
        <v>22519583.09</v>
      </c>
      <c r="F226" s="16">
        <v>100712937.83</v>
      </c>
      <c r="G226" s="16">
        <v>10751844.800000001</v>
      </c>
      <c r="H226" s="16">
        <f>(E226+F226)-G226</f>
        <v>112480676.12</v>
      </c>
      <c r="I226" s="59">
        <v>3872314110</v>
      </c>
      <c r="J226" s="60">
        <f t="shared" si="127"/>
        <v>5.2034219067855492E-2</v>
      </c>
      <c r="K226" s="59">
        <v>4601095408</v>
      </c>
      <c r="L226" s="13">
        <f t="shared" ref="L226:L228" si="133">(K226/$K$229)</f>
        <v>5.8038134163479881E-2</v>
      </c>
      <c r="M226" s="13">
        <f t="shared" ref="M226:M228" si="134">((K226-I226)/I226)</f>
        <v>0.18820304275367786</v>
      </c>
      <c r="N226" s="20">
        <f t="shared" ref="N226:N228" si="135">(G226/K226)</f>
        <v>2.3368010976919959E-3</v>
      </c>
      <c r="O226" s="21">
        <f t="shared" ref="O226:O228" si="136">H226/K226</f>
        <v>2.4446499397606059E-2</v>
      </c>
      <c r="P226" s="22">
        <f t="shared" ref="P226:P228" si="137">K226/V226</f>
        <v>104.65638248532942</v>
      </c>
      <c r="Q226" s="22">
        <f t="shared" ref="Q226:Q228" si="138">H226/V226</f>
        <v>2.5584821913832347</v>
      </c>
      <c r="R226" s="59">
        <v>104.1331</v>
      </c>
      <c r="S226" s="59">
        <v>107.2728</v>
      </c>
      <c r="T226" s="59">
        <v>3710</v>
      </c>
      <c r="U226" s="59">
        <v>38188030</v>
      </c>
      <c r="V226" s="59">
        <v>43963830</v>
      </c>
    </row>
    <row r="227" spans="1:22" ht="15" customHeight="1">
      <c r="A227" s="106">
        <v>194</v>
      </c>
      <c r="B227" s="10" t="s">
        <v>216</v>
      </c>
      <c r="C227" s="25" t="s">
        <v>118</v>
      </c>
      <c r="D227" s="16">
        <v>198053644.44</v>
      </c>
      <c r="E227" s="16">
        <v>4050909.77</v>
      </c>
      <c r="F227" s="16">
        <v>1600000</v>
      </c>
      <c r="G227" s="10">
        <v>764244.82</v>
      </c>
      <c r="H227" s="12">
        <f>(E227+F227)-G227</f>
        <v>4886664.9499999993</v>
      </c>
      <c r="I227" s="17">
        <v>276168260.51999998</v>
      </c>
      <c r="J227" s="60">
        <f t="shared" si="127"/>
        <v>3.7110108734144673E-3</v>
      </c>
      <c r="K227" s="17">
        <v>283627127.08999997</v>
      </c>
      <c r="L227" s="13">
        <f t="shared" si="133"/>
        <v>3.5776674454153761E-3</v>
      </c>
      <c r="M227" s="13">
        <f t="shared" si="134"/>
        <v>2.70084134793608E-2</v>
      </c>
      <c r="N227" s="20">
        <f t="shared" si="135"/>
        <v>2.6945406380592478E-3</v>
      </c>
      <c r="O227" s="21">
        <f t="shared" si="136"/>
        <v>1.7229187490410157E-2</v>
      </c>
      <c r="P227" s="22">
        <f t="shared" si="137"/>
        <v>1247.9495153702228</v>
      </c>
      <c r="Q227" s="22">
        <f t="shared" si="138"/>
        <v>21.501156178880059</v>
      </c>
      <c r="R227" s="12">
        <v>1247.95</v>
      </c>
      <c r="S227" s="12">
        <v>1247.95</v>
      </c>
      <c r="T227" s="10">
        <v>176</v>
      </c>
      <c r="U227" s="10">
        <v>226767.18</v>
      </c>
      <c r="V227" s="10">
        <v>227274.52</v>
      </c>
    </row>
    <row r="228" spans="1:22" ht="15" customHeight="1">
      <c r="A228" s="106">
        <v>195</v>
      </c>
      <c r="B228" s="10" t="s">
        <v>278</v>
      </c>
      <c r="C228" s="10" t="s">
        <v>279</v>
      </c>
      <c r="D228" s="17">
        <v>45000000</v>
      </c>
      <c r="E228" s="17">
        <v>5700531</v>
      </c>
      <c r="F228" s="17">
        <v>0</v>
      </c>
      <c r="G228" s="17">
        <v>41786.160000000003</v>
      </c>
      <c r="H228" s="17">
        <f>(E228+F228)-G228</f>
        <v>5658744.8399999999</v>
      </c>
      <c r="I228" s="17">
        <v>145218673.94</v>
      </c>
      <c r="J228" s="60">
        <f t="shared" si="127"/>
        <v>1.9513758641179647E-3</v>
      </c>
      <c r="K228" s="17">
        <v>149398757.38</v>
      </c>
      <c r="L228" s="13">
        <f t="shared" si="133"/>
        <v>1.8845132203956288E-3</v>
      </c>
      <c r="M228" s="13">
        <f t="shared" si="134"/>
        <v>2.8784751482630138E-2</v>
      </c>
      <c r="N228" s="20">
        <f t="shared" si="135"/>
        <v>2.7969549903093045E-4</v>
      </c>
      <c r="O228" s="21">
        <f t="shared" si="136"/>
        <v>3.7876786522439546E-2</v>
      </c>
      <c r="P228" s="22">
        <f t="shared" si="137"/>
        <v>117.55156880718785</v>
      </c>
      <c r="Q228" s="22">
        <f t="shared" si="138"/>
        <v>4.4524756770877181</v>
      </c>
      <c r="R228" s="17">
        <v>116.35</v>
      </c>
      <c r="S228" s="17">
        <v>118.83</v>
      </c>
      <c r="T228" s="17">
        <v>312</v>
      </c>
      <c r="U228" s="17">
        <v>1284240</v>
      </c>
      <c r="V228" s="17">
        <v>1270921</v>
      </c>
    </row>
    <row r="229" spans="1:22" ht="15" customHeight="1">
      <c r="A229" s="147" t="s">
        <v>51</v>
      </c>
      <c r="B229" s="147"/>
      <c r="C229" s="147"/>
      <c r="D229" s="147"/>
      <c r="E229" s="147"/>
      <c r="F229" s="147"/>
      <c r="G229" s="147"/>
      <c r="H229" s="147"/>
      <c r="I229" s="37">
        <f>SUM(I205:I228)</f>
        <v>74418607204.430008</v>
      </c>
      <c r="J229" s="35">
        <f>(I229/$I$239)</f>
        <v>1.009448228026286E-2</v>
      </c>
      <c r="K229" s="37">
        <f>SUM(K205:K228)</f>
        <v>79277107617.550003</v>
      </c>
      <c r="L229" s="35">
        <f>(K229/$K$239)</f>
        <v>1.0163992274547489E-2</v>
      </c>
      <c r="M229" s="35">
        <f t="shared" si="118"/>
        <v>6.5286097061364748E-2</v>
      </c>
      <c r="N229" s="20"/>
      <c r="O229" s="20"/>
      <c r="P229" s="36"/>
      <c r="Q229" s="36"/>
      <c r="R229" s="37"/>
      <c r="S229" s="37"/>
      <c r="T229" s="37">
        <f>SUM(T205:T228)</f>
        <v>39396</v>
      </c>
      <c r="U229" s="37"/>
      <c r="V229" s="37"/>
    </row>
    <row r="230" spans="1:22" ht="15" customHeight="1">
      <c r="A230" s="148" t="s">
        <v>294</v>
      </c>
      <c r="B230" s="148"/>
      <c r="C230" s="148"/>
      <c r="D230" s="148"/>
      <c r="E230" s="148"/>
      <c r="F230" s="148"/>
      <c r="G230" s="148"/>
      <c r="H230" s="148"/>
      <c r="I230" s="83">
        <f>SUM(I25,I71,I113,I155,I164,I196,I201,I229)</f>
        <v>7353586762159.2354</v>
      </c>
      <c r="J230" s="84"/>
      <c r="K230" s="83">
        <f>SUM(K25,K71,K113,K155,K164,K196,K201,K229)</f>
        <v>7781135039409.8193</v>
      </c>
      <c r="L230" s="84"/>
      <c r="M230" s="84"/>
      <c r="N230" s="85"/>
      <c r="O230" s="85"/>
      <c r="P230" s="86"/>
      <c r="Q230" s="86"/>
      <c r="R230" s="83"/>
      <c r="S230" s="83"/>
      <c r="T230" s="83">
        <f>SUM(T25,T71,T113,T155,T164,T196,T201,T229)</f>
        <v>1050558</v>
      </c>
      <c r="U230" s="83"/>
      <c r="V230" s="83"/>
    </row>
    <row r="231" spans="1:22" s="6" customFormat="1" ht="6.6" customHeight="1">
      <c r="A231" s="68"/>
      <c r="B231" s="68"/>
      <c r="C231" s="68"/>
      <c r="D231" s="68"/>
      <c r="E231" s="68"/>
      <c r="F231" s="68"/>
      <c r="G231" s="68"/>
      <c r="H231" s="68"/>
      <c r="I231" s="37"/>
      <c r="J231" s="62"/>
      <c r="K231" s="37"/>
      <c r="L231" s="62"/>
      <c r="M231" s="62"/>
      <c r="N231" s="63"/>
      <c r="O231" s="63"/>
      <c r="P231" s="64"/>
      <c r="Q231" s="64"/>
      <c r="R231" s="37"/>
      <c r="S231" s="37"/>
      <c r="T231" s="37"/>
      <c r="U231" s="37"/>
      <c r="V231" s="37"/>
    </row>
    <row r="232" spans="1:22" s="6" customFormat="1" ht="15" customHeight="1">
      <c r="A232" s="160" t="s">
        <v>282</v>
      </c>
      <c r="B232" s="160"/>
      <c r="C232" s="160"/>
      <c r="D232" s="160"/>
      <c r="E232" s="160"/>
      <c r="F232" s="160"/>
      <c r="G232" s="160"/>
      <c r="H232" s="160"/>
      <c r="I232" s="160"/>
      <c r="J232" s="160"/>
      <c r="K232" s="160"/>
      <c r="L232" s="160"/>
      <c r="M232" s="160"/>
      <c r="N232" s="160"/>
      <c r="O232" s="160"/>
      <c r="P232" s="160"/>
      <c r="Q232" s="160"/>
      <c r="R232" s="160"/>
      <c r="S232" s="160"/>
      <c r="T232" s="160"/>
      <c r="U232" s="160"/>
      <c r="V232" s="160"/>
    </row>
    <row r="233" spans="1:22" s="6" customFormat="1" ht="15" customHeight="1">
      <c r="A233" s="107">
        <v>1</v>
      </c>
      <c r="B233" s="25" t="s">
        <v>283</v>
      </c>
      <c r="C233" s="25" t="s">
        <v>58</v>
      </c>
      <c r="D233" s="17">
        <f>870478.76*FX_RATE</f>
        <v>1249796060.069196</v>
      </c>
      <c r="E233" s="16">
        <f>7069.68*FX_RATE</f>
        <v>10150343.254728001</v>
      </c>
      <c r="F233" s="16">
        <f>4304.22*FX_RATE</f>
        <v>6179814.4249620009</v>
      </c>
      <c r="G233" s="16">
        <f>3675.97*FX_RATE</f>
        <v>5277800.0268869996</v>
      </c>
      <c r="H233" s="17">
        <f>(E233+F233)-G233</f>
        <v>11052357.652803002</v>
      </c>
      <c r="I233" s="10">
        <v>1836426424.8613</v>
      </c>
      <c r="J233" s="13">
        <f>(I233/$I$238)</f>
        <v>9.8628296916013214E-2</v>
      </c>
      <c r="K233" s="10">
        <f>1291409*FX_RATE</f>
        <v>1854149640.7539001</v>
      </c>
      <c r="L233" s="13">
        <f>(K233/$K$238)</f>
        <v>9.9338171072290565E-2</v>
      </c>
      <c r="M233" s="13">
        <f>((K233-I233)/I233)</f>
        <v>9.6509261970234624E-3</v>
      </c>
      <c r="N233" s="20">
        <f t="shared" ref="N233" si="139">(G233/K233)</f>
        <v>2.8464800849304903E-3</v>
      </c>
      <c r="O233" s="21">
        <f t="shared" ref="O233" si="140">H233/K233</f>
        <v>5.960876840722034E-3</v>
      </c>
      <c r="P233" s="22">
        <f t="shared" ref="P233" si="141">K233/V233</f>
        <v>1487.5216637990195</v>
      </c>
      <c r="Q233" s="22">
        <f t="shared" ref="Q233" si="142">H233/V233</f>
        <v>8.8669334358118821</v>
      </c>
      <c r="R233" s="10">
        <f>1.0361*FX_RATE</f>
        <v>1487.5879313100002</v>
      </c>
      <c r="S233" s="10">
        <f>1.0361*FX_RATE</f>
        <v>1487.5879313100002</v>
      </c>
      <c r="T233" s="10">
        <v>50</v>
      </c>
      <c r="U233" s="10">
        <v>1223615</v>
      </c>
      <c r="V233" s="10">
        <v>1246469</v>
      </c>
    </row>
    <row r="234" spans="1:22" s="6" customFormat="1" ht="15" customHeight="1">
      <c r="A234" s="107">
        <v>2</v>
      </c>
      <c r="B234" s="25" t="s">
        <v>284</v>
      </c>
      <c r="C234" s="25" t="s">
        <v>285</v>
      </c>
      <c r="D234" s="16">
        <v>3481609860.1399999</v>
      </c>
      <c r="E234" s="16">
        <v>96612571.090000004</v>
      </c>
      <c r="F234" s="65">
        <v>0</v>
      </c>
      <c r="G234" s="16">
        <v>15000706.73</v>
      </c>
      <c r="H234" s="17">
        <f>(E234+F234)-G234</f>
        <v>81611864.359999999</v>
      </c>
      <c r="I234" s="10">
        <v>4012135040.23</v>
      </c>
      <c r="J234" s="13">
        <f t="shared" ref="J234:J237" si="143">(I234/$I$238)</f>
        <v>0.21547830104047425</v>
      </c>
      <c r="K234" s="10">
        <v>4113428325.6199999</v>
      </c>
      <c r="L234" s="13">
        <f t="shared" ref="L234:L237" si="144">(K234/$K$238)</f>
        <v>0.22038159041893704</v>
      </c>
      <c r="M234" s="13">
        <f t="shared" ref="M234:M237" si="145">((K234-I234)/I234)</f>
        <v>2.5246728829993001E-2</v>
      </c>
      <c r="N234" s="20">
        <f t="shared" ref="N234:N237" si="146">(G234/K234)</f>
        <v>3.6467650685852188E-3</v>
      </c>
      <c r="O234" s="21">
        <f t="shared" ref="O234:O237" si="147">H234/K234</f>
        <v>1.9840351623897322E-2</v>
      </c>
      <c r="P234" s="22">
        <f t="shared" ref="P234:P237" si="148">K234/V234</f>
        <v>123.95370001145089</v>
      </c>
      <c r="Q234" s="22">
        <f t="shared" ref="Q234:Q237" si="149">H234/V234</f>
        <v>2.4592849933102707</v>
      </c>
      <c r="R234" s="10">
        <v>123.3</v>
      </c>
      <c r="S234" s="10">
        <v>123.3</v>
      </c>
      <c r="T234" s="10">
        <v>9</v>
      </c>
      <c r="U234" s="10">
        <v>33185200</v>
      </c>
      <c r="V234" s="10">
        <v>33185200</v>
      </c>
    </row>
    <row r="235" spans="1:22" s="6" customFormat="1" ht="15" customHeight="1">
      <c r="A235" s="107">
        <v>3</v>
      </c>
      <c r="B235" s="25" t="s">
        <v>286</v>
      </c>
      <c r="C235" s="25" t="s">
        <v>135</v>
      </c>
      <c r="D235" s="16">
        <v>716297932.46000004</v>
      </c>
      <c r="E235" s="16">
        <v>3639403.24</v>
      </c>
      <c r="F235" s="16">
        <v>88041496</v>
      </c>
      <c r="G235" s="16">
        <v>725749.2</v>
      </c>
      <c r="H235" s="17">
        <f>(E235+F235)-G235</f>
        <v>90955150.039999992</v>
      </c>
      <c r="I235" s="10">
        <v>663348600.14999998</v>
      </c>
      <c r="J235" s="13">
        <f t="shared" si="143"/>
        <v>3.5626225918284356E-2</v>
      </c>
      <c r="K235" s="10">
        <v>714933428.88999999</v>
      </c>
      <c r="L235" s="13">
        <f t="shared" si="144"/>
        <v>3.8303369751481971E-2</v>
      </c>
      <c r="M235" s="13">
        <f t="shared" si="145"/>
        <v>7.7764283708950874E-2</v>
      </c>
      <c r="N235" s="20">
        <f t="shared" si="146"/>
        <v>1.0151283611493625E-3</v>
      </c>
      <c r="O235" s="21">
        <f t="shared" si="147"/>
        <v>0.12722184523000449</v>
      </c>
      <c r="P235" s="22">
        <f t="shared" si="148"/>
        <v>160965.21226646614</v>
      </c>
      <c r="Q235" s="22">
        <f t="shared" si="149"/>
        <v>20478.291322379173</v>
      </c>
      <c r="R235" s="10">
        <f>111.79*FX_RATE</f>
        <v>160503.28620900001</v>
      </c>
      <c r="S235" s="10">
        <f>111.79*FX_RATE</f>
        <v>160503.28620900001</v>
      </c>
      <c r="T235" s="10">
        <v>7</v>
      </c>
      <c r="U235" s="10">
        <v>4170.88</v>
      </c>
      <c r="V235" s="10">
        <v>4441.54</v>
      </c>
    </row>
    <row r="236" spans="1:22" ht="15" customHeight="1">
      <c r="A236" s="107">
        <v>4</v>
      </c>
      <c r="B236" s="25" t="s">
        <v>287</v>
      </c>
      <c r="C236" s="25" t="s">
        <v>288</v>
      </c>
      <c r="D236" s="16">
        <v>11921366749.92</v>
      </c>
      <c r="E236" s="16">
        <v>219033201.03</v>
      </c>
      <c r="F236" s="65">
        <v>0</v>
      </c>
      <c r="G236" s="16">
        <v>23639903.260000002</v>
      </c>
      <c r="H236" s="17">
        <f>(E236+F236)-G236</f>
        <v>195393297.77000001</v>
      </c>
      <c r="I236" s="10">
        <v>11940821773.620001</v>
      </c>
      <c r="J236" s="13">
        <f t="shared" si="143"/>
        <v>0.64130144250060961</v>
      </c>
      <c r="K236" s="10">
        <v>11810050093.030001</v>
      </c>
      <c r="L236" s="13">
        <f t="shared" si="144"/>
        <v>0.63273683565082428</v>
      </c>
      <c r="M236" s="13">
        <f t="shared" si="145"/>
        <v>-1.0951648309407366E-2</v>
      </c>
      <c r="N236" s="20">
        <f t="shared" si="146"/>
        <v>2.0016767984711334E-3</v>
      </c>
      <c r="O236" s="21">
        <f t="shared" si="147"/>
        <v>1.6544662912591396E-2</v>
      </c>
      <c r="P236" s="22">
        <f t="shared" si="148"/>
        <v>1.132315445161074</v>
      </c>
      <c r="Q236" s="22">
        <f t="shared" si="149"/>
        <v>1.8733777350910835E-2</v>
      </c>
      <c r="R236" s="10">
        <v>1.1299999999999999</v>
      </c>
      <c r="S236" s="10">
        <v>1.1299999999999999</v>
      </c>
      <c r="T236" s="10">
        <v>16</v>
      </c>
      <c r="U236" s="10">
        <v>10430000000</v>
      </c>
      <c r="V236" s="10">
        <v>10430000000</v>
      </c>
    </row>
    <row r="237" spans="1:22" ht="15" customHeight="1">
      <c r="A237" s="107">
        <v>5</v>
      </c>
      <c r="B237" s="25" t="s">
        <v>289</v>
      </c>
      <c r="C237" s="25" t="s">
        <v>50</v>
      </c>
      <c r="D237" s="17">
        <v>171726292</v>
      </c>
      <c r="E237" s="16">
        <v>1522277</v>
      </c>
      <c r="F237" s="16">
        <v>1468984</v>
      </c>
      <c r="G237" s="16">
        <v>607569</v>
      </c>
      <c r="H237" s="17">
        <f>(E237+F237)-G237</f>
        <v>2383692</v>
      </c>
      <c r="I237" s="10">
        <v>166939009</v>
      </c>
      <c r="J237" s="13">
        <f t="shared" si="143"/>
        <v>8.9657336246185583E-3</v>
      </c>
      <c r="K237" s="10">
        <v>172465467</v>
      </c>
      <c r="L237" s="13">
        <f t="shared" si="144"/>
        <v>9.2400331064662194E-3</v>
      </c>
      <c r="M237" s="13">
        <f t="shared" si="145"/>
        <v>3.3104653209005214E-2</v>
      </c>
      <c r="N237" s="20">
        <f t="shared" si="146"/>
        <v>3.5228443732448771E-3</v>
      </c>
      <c r="O237" s="21">
        <f t="shared" si="147"/>
        <v>1.3821271246144597E-2</v>
      </c>
      <c r="P237" s="22">
        <f t="shared" si="148"/>
        <v>1.1282368568375125</v>
      </c>
      <c r="Q237" s="22">
        <f t="shared" si="149"/>
        <v>1.559366762824887E-2</v>
      </c>
      <c r="R237" s="10">
        <v>1.1299999999999999</v>
      </c>
      <c r="S237" s="10">
        <v>1.1299999999999999</v>
      </c>
      <c r="T237" s="10">
        <v>15</v>
      </c>
      <c r="U237" s="10">
        <v>151955460.83000001</v>
      </c>
      <c r="V237" s="10">
        <v>152862819.5</v>
      </c>
    </row>
    <row r="238" spans="1:22" ht="15" customHeight="1">
      <c r="A238" s="158" t="s">
        <v>51</v>
      </c>
      <c r="B238" s="158"/>
      <c r="C238" s="158"/>
      <c r="D238" s="158"/>
      <c r="E238" s="158"/>
      <c r="F238" s="158"/>
      <c r="G238" s="158"/>
      <c r="H238" s="158"/>
      <c r="I238" s="88">
        <f>SUM(I233:I237)</f>
        <v>18619670847.861301</v>
      </c>
      <c r="J238" s="89">
        <f>(I238/$I$239)</f>
        <v>2.5256578226698413E-3</v>
      </c>
      <c r="K238" s="88">
        <f>SUM(K233:K237)</f>
        <v>18665026955.2939</v>
      </c>
      <c r="L238" s="35">
        <f>(K238/$K$239)</f>
        <v>2.3930135127158757E-3</v>
      </c>
      <c r="M238" s="62"/>
      <c r="N238" s="63"/>
      <c r="O238" s="63"/>
      <c r="P238" s="64"/>
      <c r="Q238" s="64"/>
      <c r="R238" s="37"/>
      <c r="S238" s="37"/>
      <c r="T238" s="37">
        <f>SUM(T233:T237)</f>
        <v>97</v>
      </c>
      <c r="U238" s="37"/>
      <c r="V238" s="37"/>
    </row>
    <row r="239" spans="1:22" ht="15.6" customHeight="1">
      <c r="A239" s="159" t="s">
        <v>198</v>
      </c>
      <c r="B239" s="159"/>
      <c r="C239" s="159"/>
      <c r="D239" s="159"/>
      <c r="E239" s="159"/>
      <c r="F239" s="159"/>
      <c r="G239" s="159"/>
      <c r="H239" s="159"/>
      <c r="I239" s="81">
        <f>I230+I238</f>
        <v>7372206433007.0967</v>
      </c>
      <c r="J239" s="80"/>
      <c r="K239" s="81">
        <f>K230+K238</f>
        <v>7799800066365.1133</v>
      </c>
      <c r="L239" s="80"/>
      <c r="M239" s="80"/>
      <c r="N239" s="80"/>
      <c r="O239" s="80"/>
      <c r="P239" s="80"/>
      <c r="Q239" s="80"/>
      <c r="R239" s="82"/>
      <c r="S239" s="82"/>
      <c r="T239" s="81">
        <f>T230+T238</f>
        <v>1050655</v>
      </c>
      <c r="U239" s="82"/>
      <c r="V239" s="82"/>
    </row>
    <row r="240" spans="1:22" ht="4.95" customHeight="1">
      <c r="A240" s="57"/>
      <c r="B240" s="14"/>
      <c r="C240" s="14"/>
      <c r="D240" s="6"/>
      <c r="E240" s="6"/>
      <c r="F240" s="6"/>
      <c r="G240" s="6"/>
      <c r="H240" s="7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>
      <c r="A241" s="58" t="s">
        <v>199</v>
      </c>
      <c r="B241" s="43" t="s">
        <v>320</v>
      </c>
      <c r="C241" s="61">
        <v>1435.7571</v>
      </c>
      <c r="D241" s="90"/>
      <c r="E241" s="6"/>
      <c r="F241" s="6"/>
      <c r="G241" s="6"/>
      <c r="H241" s="7"/>
      <c r="I241" s="8"/>
      <c r="J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9"/>
    </row>
  </sheetData>
  <sheetProtection algorithmName="SHA-512" hashValue="gcBAr8XlUQGcEZQFkZf83Fd4s0m5eiwjn8oG1i4iAobClU6AoGvlmK4KLpUhszvNX/b/Uxwf6Xn+4t4d6UwCGw==" saltValue="duTy6Hw/TRpzn46NGJrl/Q==" spinCount="100000" sheet="1" objects="1" scenarios="1"/>
  <mergeCells count="36">
    <mergeCell ref="A238:H238"/>
    <mergeCell ref="A239:H239"/>
    <mergeCell ref="A232:V232"/>
    <mergeCell ref="A1:V1"/>
    <mergeCell ref="A3:V3"/>
    <mergeCell ref="A4:V4"/>
    <mergeCell ref="A25:H25"/>
    <mergeCell ref="A26:V26"/>
    <mergeCell ref="A27:V27"/>
    <mergeCell ref="A71:H71"/>
    <mergeCell ref="A72:V72"/>
    <mergeCell ref="A73:V73"/>
    <mergeCell ref="A113:H113"/>
    <mergeCell ref="A114:V114"/>
    <mergeCell ref="A115:V115"/>
    <mergeCell ref="A116:V116"/>
    <mergeCell ref="A134:V134"/>
    <mergeCell ref="A135:V135"/>
    <mergeCell ref="A155:H155"/>
    <mergeCell ref="A156:V156"/>
    <mergeCell ref="A157:V157"/>
    <mergeCell ref="A164:H164"/>
    <mergeCell ref="A165:V165"/>
    <mergeCell ref="A166:V166"/>
    <mergeCell ref="A196:H196"/>
    <mergeCell ref="A197:V197"/>
    <mergeCell ref="A198:V198"/>
    <mergeCell ref="A201:H201"/>
    <mergeCell ref="A229:H229"/>
    <mergeCell ref="A230:H230"/>
    <mergeCell ref="A202:V202"/>
    <mergeCell ref="A203:V203"/>
    <mergeCell ref="A204:V204"/>
    <mergeCell ref="A207:V207"/>
    <mergeCell ref="A208:V208"/>
    <mergeCell ref="A224:V224"/>
  </mergeCells>
  <pageMargins left="0.7" right="0.7" top="0.75" bottom="0.75" header="0.3" footer="0.3"/>
  <pageSetup scale="83" orientation="portrait" r:id="rId1"/>
  <colBreaks count="1" manualBreakCount="1">
    <brk id="3" max="1048575" man="1"/>
  </colBreaks>
  <ignoredErrors>
    <ignoredError sqref="J25 J71 J113 J155 J164 J196 J201 J229 J2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I10" sqref="I10"/>
    </sheetView>
  </sheetViews>
  <sheetFormatPr defaultColWidth="9" defaultRowHeight="14.4"/>
  <cols>
    <col min="1" max="1" width="34" customWidth="1"/>
    <col min="2" max="2" width="11.6640625" customWidth="1"/>
    <col min="3" max="3" width="11.5546875" customWidth="1"/>
    <col min="4" max="4" width="11" bestFit="1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70"/>
      <c r="B3" s="70"/>
      <c r="C3" s="70"/>
      <c r="D3" s="70"/>
      <c r="E3" s="2"/>
      <c r="F3" s="2"/>
    </row>
    <row r="4" spans="1:6" ht="33" customHeight="1">
      <c r="A4" s="135" t="s">
        <v>200</v>
      </c>
      <c r="B4" s="136" t="s">
        <v>324</v>
      </c>
      <c r="C4" s="136" t="s">
        <v>325</v>
      </c>
      <c r="D4" s="136" t="s">
        <v>323</v>
      </c>
      <c r="E4" s="120"/>
      <c r="F4" s="2"/>
    </row>
    <row r="5" spans="1:6" ht="19.2" customHeight="1">
      <c r="A5" s="137" t="s">
        <v>20</v>
      </c>
      <c r="B5" s="138">
        <v>80.026944757741362</v>
      </c>
      <c r="C5" s="139">
        <f>[1]November!K24/1000000000</f>
        <v>76.687557108239986</v>
      </c>
      <c r="D5" s="138">
        <f>December!K25/1000000000</f>
        <v>81.121163345469995</v>
      </c>
      <c r="E5" s="120"/>
      <c r="F5" s="2"/>
    </row>
    <row r="6" spans="1:6">
      <c r="A6" s="135" t="s">
        <v>52</v>
      </c>
      <c r="B6" s="140">
        <v>4358.4102246460734</v>
      </c>
      <c r="C6" s="139">
        <f>[1]November!K69/1000000000</f>
        <v>4485.8453789347277</v>
      </c>
      <c r="D6" s="138">
        <f>December!K71/1000000000</f>
        <v>4828.827306317361</v>
      </c>
      <c r="E6" s="120"/>
      <c r="F6" s="2"/>
    </row>
    <row r="7" spans="1:6">
      <c r="A7" s="135" t="s">
        <v>201</v>
      </c>
      <c r="B7" s="138">
        <v>241.31955482041843</v>
      </c>
      <c r="C7" s="139">
        <f>[1]November!K111/1000000000</f>
        <v>241.37287576415</v>
      </c>
      <c r="D7" s="138">
        <f>December!K113/1000000000</f>
        <v>239.33317488923998</v>
      </c>
      <c r="E7" s="120"/>
      <c r="F7" s="2"/>
    </row>
    <row r="8" spans="1:6">
      <c r="A8" s="135" t="s">
        <v>202</v>
      </c>
      <c r="B8" s="140">
        <v>1893.5907993101837</v>
      </c>
      <c r="C8" s="139">
        <f>[1]November!K153/1000000000</f>
        <v>1903.5428744500064</v>
      </c>
      <c r="D8" s="138">
        <f>December!K155/1000000000</f>
        <v>1959.0930950213278</v>
      </c>
      <c r="E8" s="120"/>
      <c r="F8" s="2"/>
    </row>
    <row r="9" spans="1:6">
      <c r="A9" s="135" t="s">
        <v>203</v>
      </c>
      <c r="B9" s="138">
        <v>478.51150703533</v>
      </c>
      <c r="C9" s="139">
        <f>[1]November!K162/1000000000</f>
        <v>483.18103508065002</v>
      </c>
      <c r="D9" s="138">
        <f>December!K164/1000000000</f>
        <v>501.24389179748999</v>
      </c>
      <c r="E9" s="120"/>
      <c r="F9" s="2"/>
    </row>
    <row r="10" spans="1:6">
      <c r="A10" s="135" t="s">
        <v>160</v>
      </c>
      <c r="B10" s="138">
        <v>81.002610176752384</v>
      </c>
      <c r="C10" s="139">
        <f>[1]November!K194/1000000000</f>
        <v>80.407918513799999</v>
      </c>
      <c r="D10" s="138">
        <f>December!K196/1000000000</f>
        <v>83.888360938220004</v>
      </c>
      <c r="E10" s="120"/>
      <c r="F10" s="2"/>
    </row>
    <row r="11" spans="1:6">
      <c r="A11" s="135" t="s">
        <v>183</v>
      </c>
      <c r="B11" s="138">
        <v>8.5904539153500004</v>
      </c>
      <c r="C11" s="139">
        <f>[1]November!K199/1000000000</f>
        <v>8.1305151032299996</v>
      </c>
      <c r="D11" s="138">
        <f>December!K201/1000000000</f>
        <v>8.3509394831599995</v>
      </c>
      <c r="E11" s="120"/>
      <c r="F11" s="2"/>
    </row>
    <row r="12" spans="1:6">
      <c r="A12" s="135" t="s">
        <v>204</v>
      </c>
      <c r="B12" s="138">
        <v>71.698683684129989</v>
      </c>
      <c r="C12" s="139">
        <f>[1]November!K227/1000000000</f>
        <v>74.418607204430003</v>
      </c>
      <c r="D12" s="138">
        <f>December!K229/1000000000</f>
        <v>79.277107617550001</v>
      </c>
      <c r="E12" s="120"/>
      <c r="F12" s="2"/>
    </row>
    <row r="13" spans="1:6">
      <c r="A13" s="141" t="s">
        <v>282</v>
      </c>
      <c r="B13" s="138">
        <v>18.55231161645878</v>
      </c>
      <c r="C13" s="138">
        <f>[1]November!K236/1000000000</f>
        <v>18.6196708478613</v>
      </c>
      <c r="D13" s="138">
        <f>December!K238/1000000000</f>
        <v>18.6650269552939</v>
      </c>
      <c r="E13" s="120"/>
      <c r="F13" s="2"/>
    </row>
    <row r="14" spans="1:6">
      <c r="A14" s="142"/>
      <c r="B14" s="142"/>
      <c r="C14" s="142"/>
      <c r="D14" s="142"/>
      <c r="E14" s="120"/>
      <c r="F14" s="2"/>
    </row>
    <row r="15" spans="1:6">
      <c r="A15" s="142"/>
      <c r="B15" s="142"/>
      <c r="C15" s="142"/>
      <c r="D15" s="142"/>
      <c r="E15" s="120"/>
      <c r="F15" s="2"/>
    </row>
    <row r="16" spans="1:6">
      <c r="A16" s="142"/>
      <c r="B16" s="143"/>
      <c r="C16" s="142"/>
      <c r="D16" s="142"/>
      <c r="E16" s="120"/>
      <c r="F16" s="2"/>
    </row>
    <row r="17" spans="1:6">
      <c r="A17" s="71"/>
      <c r="B17" s="72"/>
      <c r="C17" s="73"/>
      <c r="D17" s="70"/>
      <c r="E17" s="2"/>
      <c r="F17" s="2"/>
    </row>
    <row r="18" spans="1:6" ht="15.6">
      <c r="A18" s="74"/>
      <c r="B18" s="49"/>
      <c r="C18" s="50"/>
      <c r="D18" s="2"/>
      <c r="E18" s="2"/>
      <c r="F18" s="2"/>
    </row>
    <row r="19" spans="1:6">
      <c r="A19" s="51"/>
      <c r="B19" s="48"/>
      <c r="C19" s="52"/>
      <c r="D19" s="2"/>
      <c r="E19" s="2"/>
      <c r="F19" s="2"/>
    </row>
    <row r="20" spans="1:6">
      <c r="A20" s="51"/>
      <c r="B20" s="49"/>
      <c r="C20" s="50"/>
      <c r="D20" s="2"/>
      <c r="E20" s="2"/>
      <c r="F20" s="2"/>
    </row>
    <row r="21" spans="1:6">
      <c r="A21" s="51"/>
      <c r="B21" s="48"/>
      <c r="C21" s="52"/>
      <c r="D21" s="2"/>
      <c r="E21" s="2"/>
      <c r="F21" s="2"/>
    </row>
    <row r="22" spans="1:6">
      <c r="A22" s="51"/>
      <c r="B22" s="53"/>
      <c r="C22" s="54"/>
      <c r="D22" s="2"/>
      <c r="E22" s="2"/>
      <c r="F22" s="2"/>
    </row>
    <row r="23" spans="1:6">
      <c r="A23" s="51"/>
      <c r="B23" s="48"/>
      <c r="C23" s="52"/>
      <c r="D23" s="2"/>
      <c r="E23" s="2"/>
      <c r="F23" s="2"/>
    </row>
    <row r="24" spans="1:6">
      <c r="A24" s="51"/>
      <c r="B24" s="48"/>
      <c r="C24" s="47"/>
      <c r="D24" s="2"/>
      <c r="E24" s="2"/>
      <c r="F24" s="2"/>
    </row>
    <row r="25" spans="1:6">
      <c r="A25" s="51"/>
      <c r="B25" s="48"/>
      <c r="C25" s="48"/>
      <c r="D25" s="2"/>
      <c r="E25" s="2"/>
      <c r="F25" s="2"/>
    </row>
    <row r="26" spans="1:6">
      <c r="A26" s="51"/>
      <c r="B26" s="48"/>
      <c r="C26" s="48"/>
      <c r="D26" s="2"/>
      <c r="E26" s="2"/>
      <c r="F26" s="2"/>
    </row>
    <row r="27" spans="1:6">
      <c r="A27" s="2"/>
      <c r="B27" s="2"/>
      <c r="C27" s="2"/>
      <c r="D27" s="2"/>
      <c r="E27" s="2"/>
    </row>
    <row r="28" spans="1:6">
      <c r="A28" s="2"/>
      <c r="B28" s="2"/>
      <c r="C28" s="2"/>
      <c r="D28" s="2"/>
      <c r="E28" s="2"/>
    </row>
  </sheetData>
  <sheetProtection algorithmName="SHA-512" hashValue="iRKwZRVwndU7F54M1BwF3H8DjEONueAztuHnUgW5py9ELOxa3aQumIfkI8XB1NMLieBurBHwoffn9To+uzztUA==" saltValue="m3y1CSvIUCOdduqMqy+04g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zoomScale="85" zoomScaleNormal="85" workbookViewId="0">
      <selection activeCell="L10" sqref="L10"/>
    </sheetView>
  </sheetViews>
  <sheetFormatPr defaultColWidth="9" defaultRowHeight="14.4"/>
  <cols>
    <col min="1" max="1" width="26.6640625" customWidth="1"/>
    <col min="2" max="2" width="21.33203125" customWidth="1"/>
  </cols>
  <sheetData>
    <row r="1" spans="1:6">
      <c r="A1" s="127" t="s">
        <v>200</v>
      </c>
      <c r="B1" s="128" t="s">
        <v>323</v>
      </c>
      <c r="C1" s="120"/>
      <c r="D1" s="120"/>
      <c r="E1" s="2"/>
      <c r="F1" s="2"/>
    </row>
    <row r="2" spans="1:6">
      <c r="A2" s="127" t="s">
        <v>183</v>
      </c>
      <c r="B2" s="129">
        <f>December!K201</f>
        <v>8350939483.1599998</v>
      </c>
      <c r="C2" s="120"/>
      <c r="D2" s="120"/>
      <c r="E2" s="2"/>
      <c r="F2" s="2"/>
    </row>
    <row r="3" spans="1:6">
      <c r="A3" s="127" t="s">
        <v>282</v>
      </c>
      <c r="B3" s="129">
        <f>December!K238</f>
        <v>18665026955.2939</v>
      </c>
      <c r="C3" s="120"/>
      <c r="D3" s="120"/>
      <c r="E3" s="2"/>
      <c r="F3" s="2"/>
    </row>
    <row r="4" spans="1:6">
      <c r="A4" s="127" t="s">
        <v>204</v>
      </c>
      <c r="B4" s="130">
        <f>December!K229</f>
        <v>79277107617.550003</v>
      </c>
      <c r="C4" s="120"/>
      <c r="D4" s="120"/>
      <c r="E4" s="2"/>
      <c r="F4" s="2"/>
    </row>
    <row r="5" spans="1:6">
      <c r="A5" s="127" t="s">
        <v>20</v>
      </c>
      <c r="B5" s="131">
        <f>December!K25</f>
        <v>81121163345.470001</v>
      </c>
      <c r="C5" s="120"/>
      <c r="D5" s="120"/>
      <c r="E5" s="2"/>
      <c r="F5" s="2"/>
    </row>
    <row r="6" spans="1:6">
      <c r="A6" s="127" t="s">
        <v>160</v>
      </c>
      <c r="B6" s="131">
        <f>December!K196</f>
        <v>83888360938.220001</v>
      </c>
      <c r="C6" s="120"/>
      <c r="D6" s="120"/>
      <c r="E6" s="2"/>
      <c r="F6" s="2"/>
    </row>
    <row r="7" spans="1:6">
      <c r="A7" s="127" t="s">
        <v>201</v>
      </c>
      <c r="B7" s="132">
        <f>December!K113</f>
        <v>239333174889.23999</v>
      </c>
      <c r="C7" s="120"/>
      <c r="D7" s="120"/>
      <c r="E7" s="2"/>
      <c r="F7" s="2"/>
    </row>
    <row r="8" spans="1:6">
      <c r="A8" s="127" t="s">
        <v>203</v>
      </c>
      <c r="B8" s="132">
        <f>December!K164</f>
        <v>501243891797.48999</v>
      </c>
      <c r="C8" s="120"/>
      <c r="D8" s="120"/>
      <c r="E8" s="2"/>
      <c r="F8" s="2"/>
    </row>
    <row r="9" spans="1:6">
      <c r="A9" s="127" t="s">
        <v>202</v>
      </c>
      <c r="B9" s="131">
        <f>December!K155</f>
        <v>1959093095021.3279</v>
      </c>
      <c r="C9" s="120"/>
      <c r="D9" s="120"/>
      <c r="E9" s="2"/>
      <c r="F9" s="2"/>
    </row>
    <row r="10" spans="1:6">
      <c r="A10" s="127" t="s">
        <v>52</v>
      </c>
      <c r="B10" s="131">
        <f>December!K71</f>
        <v>4828827306317.3613</v>
      </c>
      <c r="C10" s="120"/>
      <c r="D10" s="120"/>
      <c r="E10" s="2"/>
      <c r="F10" s="2"/>
    </row>
    <row r="11" spans="1:6">
      <c r="A11" s="120"/>
      <c r="B11" s="120"/>
      <c r="C11" s="120"/>
      <c r="D11" s="120"/>
      <c r="E11" s="2"/>
      <c r="F11" s="2"/>
    </row>
    <row r="12" spans="1:6">
      <c r="A12" s="123"/>
      <c r="B12" s="120"/>
      <c r="C12" s="120"/>
      <c r="D12" s="120"/>
      <c r="E12" s="2"/>
      <c r="F12" s="2"/>
    </row>
    <row r="13" spans="1:6">
      <c r="A13" s="133"/>
      <c r="B13" s="120"/>
      <c r="C13" s="120"/>
      <c r="D13" s="120"/>
      <c r="E13" s="2"/>
      <c r="F13" s="2"/>
    </row>
    <row r="14" spans="1:6" ht="15" customHeight="1">
      <c r="A14" s="120"/>
      <c r="B14" s="134"/>
      <c r="C14" s="120"/>
      <c r="D14" s="120"/>
      <c r="E14" s="2"/>
      <c r="F14" s="2"/>
    </row>
    <row r="15" spans="1:6">
      <c r="A15" s="119"/>
      <c r="B15" s="75"/>
      <c r="C15" s="2"/>
      <c r="D15" s="2"/>
      <c r="E15" s="2"/>
      <c r="F15" s="2"/>
    </row>
    <row r="16" spans="1:6">
      <c r="A16" s="76"/>
      <c r="B16" s="75"/>
      <c r="C16" s="2"/>
      <c r="D16" s="2"/>
      <c r="E16" s="2"/>
      <c r="F16" s="2"/>
    </row>
    <row r="17" spans="1:6">
      <c r="A17" s="77"/>
      <c r="B17" s="75"/>
      <c r="C17" s="2"/>
      <c r="D17" s="2"/>
      <c r="E17" s="2"/>
      <c r="F17" s="2"/>
    </row>
    <row r="18" spans="1:6">
      <c r="A18" s="77"/>
      <c r="B18" s="75"/>
      <c r="C18" s="2"/>
      <c r="D18" s="2"/>
      <c r="E18" s="2"/>
      <c r="F18" s="2"/>
    </row>
    <row r="19" spans="1:6">
      <c r="A19" s="76"/>
      <c r="B19" s="75"/>
      <c r="C19" s="2"/>
      <c r="D19" s="2"/>
      <c r="E19" s="2"/>
      <c r="F19" s="2"/>
    </row>
    <row r="20" spans="1:6">
      <c r="A20" s="23"/>
      <c r="B20" s="75"/>
      <c r="C20" s="2"/>
      <c r="D20" s="2"/>
      <c r="E20" s="2"/>
      <c r="F20" s="2"/>
    </row>
    <row r="21" spans="1:6">
      <c r="A21" s="78"/>
      <c r="B21" s="75"/>
      <c r="C21" s="2"/>
      <c r="D21" s="2"/>
      <c r="E21" s="2"/>
      <c r="F21" s="2"/>
    </row>
    <row r="22" spans="1:6">
      <c r="A22" s="51"/>
      <c r="B22" s="79"/>
      <c r="C22" s="2"/>
      <c r="D22" s="2"/>
      <c r="E22" s="2"/>
      <c r="F22" s="2"/>
    </row>
    <row r="23" spans="1:6">
      <c r="A23" s="2"/>
      <c r="B23" s="49"/>
      <c r="C23" s="2"/>
      <c r="D23" s="2"/>
      <c r="E23" s="2"/>
      <c r="F23" s="2"/>
    </row>
    <row r="24" spans="1:6">
      <c r="A24" s="2"/>
      <c r="B24" s="2"/>
      <c r="C24" s="2"/>
      <c r="D24" s="2"/>
      <c r="E24" s="2"/>
      <c r="F24" s="2"/>
    </row>
    <row r="25" spans="1:6">
      <c r="A25" s="2"/>
      <c r="B25" s="2"/>
      <c r="C25" s="2"/>
      <c r="D25" s="2"/>
      <c r="E25" s="2"/>
      <c r="F25" s="2"/>
    </row>
    <row r="26" spans="1:6">
      <c r="A26" s="2"/>
      <c r="B26" s="2"/>
      <c r="C26" s="2"/>
      <c r="D26" s="2"/>
      <c r="E26" s="2"/>
      <c r="F26" s="2"/>
    </row>
    <row r="27" spans="1:6">
      <c r="A27" s="2"/>
      <c r="B27" s="2"/>
      <c r="C27" s="2"/>
      <c r="D27" s="2"/>
      <c r="E27" s="2"/>
      <c r="F27" s="2"/>
    </row>
    <row r="28" spans="1:6">
      <c r="A28" s="2"/>
      <c r="B28" s="2"/>
      <c r="C28" s="2"/>
      <c r="D28" s="2"/>
      <c r="E28" s="2"/>
      <c r="F28" s="2"/>
    </row>
    <row r="29" spans="1:6">
      <c r="A29" s="2"/>
      <c r="B29" s="2"/>
      <c r="C29" s="2"/>
      <c r="D29" s="2"/>
      <c r="E29" s="2"/>
      <c r="F29" s="2"/>
    </row>
    <row r="33" spans="1:17" ht="16.2" customHeight="1">
      <c r="A33" s="165"/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"/>
    </row>
    <row r="34" spans="1:17">
      <c r="A34" s="165"/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"/>
    </row>
  </sheetData>
  <sheetProtection algorithmName="SHA-512" hashValue="aMx4A8DquERDATN186qnuV60FjcqLwcIesokYFqvr3niy2q79StBYLYk+QB8sqVtmdgYmvuxD+JP2iHLNITJxQ==" saltValue="7K8Cece3aD0mTL0fiTeTfw==" spinCount="100000" sheet="1" objects="1" scenarios="1"/>
  <sortState ref="A13:A19">
    <sortCondition ref="A12:A1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H8" sqref="H8"/>
    </sheetView>
  </sheetViews>
  <sheetFormatPr defaultColWidth="9" defaultRowHeight="14.4"/>
  <cols>
    <col min="1" max="1" width="34.6640625" customWidth="1"/>
    <col min="2" max="2" width="15" customWidth="1"/>
  </cols>
  <sheetData>
    <row r="1" spans="1:5">
      <c r="A1" s="2"/>
      <c r="B1" s="2"/>
      <c r="C1" s="2"/>
      <c r="D1" s="2"/>
      <c r="E1" s="2"/>
    </row>
    <row r="2" spans="1:5">
      <c r="A2" s="2"/>
      <c r="B2" s="2"/>
      <c r="C2" s="2"/>
      <c r="D2" s="2"/>
      <c r="E2" s="2"/>
    </row>
    <row r="3" spans="1:5">
      <c r="A3" s="120"/>
      <c r="B3" s="120"/>
      <c r="C3" s="120"/>
      <c r="D3" s="2"/>
      <c r="E3" s="2"/>
    </row>
    <row r="4" spans="1:5">
      <c r="A4" s="120"/>
      <c r="B4" s="120"/>
      <c r="C4" s="120"/>
      <c r="D4" s="2"/>
      <c r="E4" s="2"/>
    </row>
    <row r="5" spans="1:5" ht="15.6">
      <c r="A5" s="121" t="s">
        <v>200</v>
      </c>
      <c r="B5" s="122" t="s">
        <v>205</v>
      </c>
      <c r="C5" s="120"/>
      <c r="D5" s="2"/>
      <c r="E5" s="2"/>
    </row>
    <row r="6" spans="1:5">
      <c r="A6" s="123" t="s">
        <v>20</v>
      </c>
      <c r="B6" s="124">
        <f>December!T25</f>
        <v>65164</v>
      </c>
      <c r="C6" s="120"/>
      <c r="D6" s="2"/>
      <c r="E6" s="2"/>
    </row>
    <row r="7" spans="1:5">
      <c r="A7" s="123" t="s">
        <v>52</v>
      </c>
      <c r="B7" s="124">
        <f>December!T71</f>
        <v>553638</v>
      </c>
      <c r="C7" s="120"/>
      <c r="D7" s="2"/>
      <c r="E7" s="2"/>
    </row>
    <row r="8" spans="1:5">
      <c r="A8" s="123" t="s">
        <v>201</v>
      </c>
      <c r="B8" s="124">
        <f>December!T113</f>
        <v>52751</v>
      </c>
      <c r="C8" s="120"/>
      <c r="D8" s="2"/>
      <c r="E8" s="2"/>
    </row>
    <row r="9" spans="1:5">
      <c r="A9" s="123" t="s">
        <v>202</v>
      </c>
      <c r="B9" s="124">
        <f>December!T155</f>
        <v>25249</v>
      </c>
      <c r="C9" s="120"/>
      <c r="D9" s="2"/>
      <c r="E9" s="2"/>
    </row>
    <row r="10" spans="1:5">
      <c r="A10" s="123" t="s">
        <v>203</v>
      </c>
      <c r="B10" s="124">
        <f>December!T164</f>
        <v>224116</v>
      </c>
      <c r="C10" s="120"/>
      <c r="D10" s="2"/>
      <c r="E10" s="2"/>
    </row>
    <row r="11" spans="1:5">
      <c r="A11" s="123" t="s">
        <v>160</v>
      </c>
      <c r="B11" s="124">
        <f>December!T196</f>
        <v>76927</v>
      </c>
      <c r="C11" s="120"/>
      <c r="D11" s="2"/>
      <c r="E11" s="2"/>
    </row>
    <row r="12" spans="1:5">
      <c r="A12" s="123" t="s">
        <v>183</v>
      </c>
      <c r="B12" s="124">
        <f>December!T201</f>
        <v>13317</v>
      </c>
      <c r="C12" s="120"/>
      <c r="D12" s="2"/>
      <c r="E12" s="2"/>
    </row>
    <row r="13" spans="1:5">
      <c r="A13" s="123" t="s">
        <v>204</v>
      </c>
      <c r="B13" s="124">
        <f>December!T229</f>
        <v>39396</v>
      </c>
      <c r="C13" s="120"/>
      <c r="D13" s="2"/>
      <c r="E13" s="2"/>
    </row>
    <row r="14" spans="1:5">
      <c r="A14" s="125" t="s">
        <v>282</v>
      </c>
      <c r="B14" s="126">
        <f>December!T238</f>
        <v>97</v>
      </c>
      <c r="C14" s="120"/>
      <c r="D14" s="2"/>
      <c r="E14" s="2"/>
    </row>
    <row r="15" spans="1:5">
      <c r="A15" s="120"/>
      <c r="B15" s="120"/>
      <c r="C15" s="120"/>
      <c r="D15" s="2"/>
      <c r="E15" s="2"/>
    </row>
    <row r="16" spans="1:5">
      <c r="A16" s="120"/>
      <c r="B16" s="120"/>
      <c r="C16" s="120"/>
      <c r="D16" s="2"/>
      <c r="E16" s="2"/>
    </row>
    <row r="17" spans="1:5">
      <c r="A17" s="120"/>
      <c r="B17" s="120"/>
      <c r="C17" s="120"/>
      <c r="D17" s="2"/>
      <c r="E17" s="2"/>
    </row>
    <row r="18" spans="1:5">
      <c r="A18" s="2"/>
      <c r="B18" s="2"/>
      <c r="C18" s="2"/>
      <c r="D18" s="2"/>
      <c r="E18" s="2"/>
    </row>
    <row r="19" spans="1:5">
      <c r="A19" s="2"/>
      <c r="B19" s="2"/>
      <c r="C19" s="2"/>
      <c r="D19" s="2"/>
      <c r="E19" s="2"/>
    </row>
    <row r="20" spans="1:5">
      <c r="A20" s="2"/>
      <c r="B20" s="2"/>
      <c r="C20" s="2"/>
      <c r="D20" s="2"/>
      <c r="E20" s="2"/>
    </row>
    <row r="21" spans="1:5">
      <c r="A21" s="2"/>
      <c r="B21" s="2"/>
      <c r="C21" s="2"/>
      <c r="D21" s="2"/>
      <c r="E21" s="2"/>
    </row>
    <row r="22" spans="1:5">
      <c r="A22" s="2"/>
      <c r="B22" s="2"/>
      <c r="C22" s="2"/>
      <c r="D22" s="2"/>
      <c r="E22" s="66"/>
    </row>
    <row r="23" spans="1:5">
      <c r="A23" s="2"/>
      <c r="B23" s="2"/>
      <c r="C23" s="2"/>
      <c r="D23" s="2"/>
      <c r="E23" s="66"/>
    </row>
    <row r="24" spans="1:5">
      <c r="A24" s="2"/>
      <c r="B24" s="2"/>
      <c r="C24" s="2"/>
      <c r="D24" s="2"/>
    </row>
    <row r="25" spans="1:5">
      <c r="A25" s="2"/>
      <c r="B25" s="2"/>
      <c r="C25" s="2"/>
      <c r="D25" s="2"/>
    </row>
    <row r="26" spans="1:5">
      <c r="A26" s="2"/>
      <c r="B26" s="2"/>
      <c r="C26" s="2"/>
      <c r="D26" s="2"/>
    </row>
    <row r="27" spans="1:5">
      <c r="A27" s="119"/>
      <c r="B27" s="119"/>
      <c r="C27" s="119"/>
      <c r="D27" s="119"/>
    </row>
  </sheetData>
  <sheetProtection algorithmName="SHA-512" hashValue="CLew5CMMc9gfdqH49B29Gs5H1SxWYchtT66/sj9H9L2mjO42PxhaYm7cogBQUn8ZmKxxLb9rB2ZJMvZV+bPPrQ==" saltValue="4pdan93u+hk1I2ybgYV13A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December</vt:lpstr>
      <vt:lpstr>NAV Comparison</vt:lpstr>
      <vt:lpstr>Market Share</vt:lpstr>
      <vt:lpstr>Unitholders</vt:lpstr>
      <vt:lpstr>December!_Hlk34300669</vt:lpstr>
      <vt:lpstr>FX_RATE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RV;Mohammed N. Abdulaziz</dc:creator>
  <cp:lastModifiedBy>Isaac, Tunde</cp:lastModifiedBy>
  <cp:lastPrinted>2025-09-10T13:51:24Z</cp:lastPrinted>
  <dcterms:created xsi:type="dcterms:W3CDTF">2023-10-09T09:40:00Z</dcterms:created>
  <dcterms:modified xsi:type="dcterms:W3CDTF">2026-03-05T10:30:55Z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054E73640F5C4E6A998570FE791E2000_13</vt:lpwstr>
  </property>
  <property fmtid="{D5CDD505-2E9C-101B-9397-08002B2CF9AE}" pid="3" name="KSOProductBuildVer">
    <vt:lpwstr>1033-12.2.0.13266</vt:lpwstr>
  </property>
</Properties>
</file>