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K139" i="1" l="1"/>
  <c r="N155" i="1"/>
  <c r="M155" i="1"/>
  <c r="K155" i="1"/>
  <c r="N125" i="1"/>
  <c r="M125" i="1"/>
  <c r="K125" i="1"/>
  <c r="M123" i="1"/>
  <c r="K123" i="1"/>
  <c r="K145" i="1"/>
  <c r="N146" i="1"/>
  <c r="M146" i="1"/>
  <c r="K146" i="1"/>
  <c r="N133" i="1"/>
  <c r="M133" i="1"/>
  <c r="K133" i="1"/>
  <c r="N149" i="1" l="1"/>
  <c r="M149" i="1"/>
  <c r="K149" i="1"/>
  <c r="K137" i="1"/>
  <c r="N122" i="1"/>
  <c r="M122" i="1"/>
  <c r="K122" i="1"/>
  <c r="N151" i="1"/>
  <c r="M151" i="1"/>
  <c r="K151" i="1"/>
  <c r="N138" i="1"/>
  <c r="M138" i="1"/>
  <c r="K138" i="1"/>
  <c r="N124" i="1" l="1"/>
  <c r="M124" i="1"/>
  <c r="K124" i="1"/>
  <c r="N132" i="1"/>
  <c r="M132" i="1"/>
  <c r="K132" i="1"/>
  <c r="N119" i="1"/>
  <c r="M119" i="1"/>
  <c r="K119" i="1"/>
  <c r="N153" i="1"/>
  <c r="M153" i="1"/>
  <c r="K153" i="1"/>
  <c r="N128" i="1" l="1"/>
  <c r="M128" i="1"/>
  <c r="K128" i="1"/>
  <c r="N127" i="1"/>
  <c r="M127" i="1"/>
  <c r="K127" i="1"/>
  <c r="N236" i="1"/>
  <c r="M236" i="1"/>
  <c r="K236" i="1"/>
  <c r="M152" i="1"/>
  <c r="N152" i="1"/>
  <c r="K152" i="1"/>
  <c r="N134" i="1"/>
  <c r="M134" i="1"/>
  <c r="K134" i="1"/>
  <c r="K131" i="1" l="1"/>
  <c r="N141" i="1"/>
  <c r="M141" i="1"/>
  <c r="K141" i="1"/>
  <c r="K143" i="1"/>
  <c r="K154" i="1"/>
  <c r="N148" i="1"/>
  <c r="M148" i="1"/>
  <c r="K148" i="1"/>
  <c r="N130" i="1"/>
  <c r="M130" i="1"/>
  <c r="K130" i="1"/>
  <c r="K129" i="1"/>
  <c r="N234" i="1"/>
  <c r="M234" i="1"/>
  <c r="K234" i="1"/>
  <c r="N121" i="1"/>
  <c r="M121" i="1"/>
  <c r="K121" i="1"/>
  <c r="N120" i="1"/>
  <c r="M120" i="1"/>
  <c r="K120" i="1"/>
  <c r="S192" i="1" l="1"/>
  <c r="N137" i="1" l="1"/>
  <c r="M137" i="1"/>
  <c r="N145" i="1" l="1"/>
  <c r="M145" i="1"/>
  <c r="N154" i="1" l="1"/>
  <c r="M154" i="1"/>
  <c r="N131" i="1" l="1"/>
  <c r="M131" i="1"/>
  <c r="S81" i="1" l="1"/>
  <c r="I11" i="4" l="1"/>
  <c r="N123" i="1" l="1"/>
  <c r="N147" i="1"/>
  <c r="M147" i="1"/>
  <c r="L226" i="1" l="1"/>
  <c r="R226" i="1"/>
  <c r="R253" i="1" l="1"/>
  <c r="R152" i="1"/>
  <c r="J11" i="4" l="1"/>
  <c r="K197" i="1"/>
  <c r="L186" i="1" s="1"/>
  <c r="N143" i="1" l="1"/>
  <c r="S213" i="1"/>
  <c r="S163" i="1"/>
  <c r="M143" i="1" l="1"/>
  <c r="R35" i="1" l="1"/>
  <c r="V24" i="1"/>
  <c r="U24" i="1"/>
  <c r="T24" i="1"/>
  <c r="S24" i="1"/>
  <c r="R24" i="1"/>
  <c r="K202" i="1" l="1"/>
  <c r="L227" i="1" l="1"/>
  <c r="L200" i="1"/>
  <c r="N129" i="1"/>
  <c r="V190" i="1" l="1"/>
  <c r="U190" i="1"/>
  <c r="T190" i="1"/>
  <c r="S190" i="1"/>
  <c r="R190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L94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<sst xmlns="http://schemas.openxmlformats.org/spreadsheetml/2006/main" count="537" uniqueCount="338">
  <si>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</si>
  <si>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</si>
  <si>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</si>
  <si>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</si>
  <si>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</si>
  <si>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</si>
  <si>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</si>
  <si>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</si>
  <si>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</si>
  <si>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</si>
  <si>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</si>
  <si>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</si>
  <si>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</si>
  <si>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</si>
  <si>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</si>
  <si>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</si>
  <si>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</si>
  <si>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</si>
  <si>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</si>
  <si>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</si>
  <si>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</si>
  <si>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</si>
  <si>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</si>
  <si>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</si>
  <si>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</si>
  <si>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</si>
  <si>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</si>
  <si>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</si>
  <si>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</si>
  <si>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</si>
  <si>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</si>
  <si>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</si>
  <si>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</si>
  <si>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</si>
  <si>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</si>
  <si>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</si>
  <si>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</si>
  <si>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</si>
  <si>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</si>
  <si>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</si>
  <si>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</si>
  <si>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</si>
  <si>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</si>
  <si>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</si>
  <si>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</si>
  <si>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</si>
  <si>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</si>
  <si>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</si>
  <si>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</si>
  <si>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</si>
  <si>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</si>
  <si>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</si>
  <si>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</si>
  <si>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</si>
  <si>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</si>
  <si>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</si>
  <si>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</si>
  <si>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</si>
  <si>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</si>
  <si>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</si>
  <si>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</si>
  <si>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</si>
  <si>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</si>
  <si>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</si>
  <si>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</si>
  <si>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</si>
  <si>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</si>
  <si>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</si>
  <si>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</si>
  <si>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</si>
  <si>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</si>
  <si>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</si>
  <si>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</si>
  <si>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</si>
  <si>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</si>
  <si>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</si>
  <si>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</si>
  <si>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</si>
  <si>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</si>
  <si>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</si>
  <si>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</si>
  <si>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</si>
  <si>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</si>
  <si>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</si>
  <si>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</si>
  <si>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</si>
  <si>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</si>
  <si>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</si>
  <si>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</si>
  <si>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</si>
  <si>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</si>
  <si>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</si>
  <si>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</si>
  <si>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</si>
  <si>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</si>
  <si>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</si>
  <si>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</si>
  <si>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</si>
  <si>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</si>
  <si>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</si>
  <si>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</si>
  <si>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</si>
  <si>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</si>
  <si>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</si>
  <si>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</si>
  <si>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</si>
  <si>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</si>
  <si>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</si>
  <si>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</si>
  <si>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</si>
  <si>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</si>
  <si>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</si>
  <si>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</si>
  <si>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</si>
  <si>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</si>
  <si>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</si>
  <si>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</si>
  <si>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</si>
  <si>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</si>
  <si>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</si>
  <si>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</si>
  <si>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</si>
  <si>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</si>
  <si>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</si>
  <si>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</si>
  <si>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</si>
  <si>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</si>
  <si>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</si>
  <si>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</si>
  <si>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</si>
  <si>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</si>
  <si>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</si>
  <si>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</si>
  <si>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</si>
  <si>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</si>
  <si>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</si>
  <si>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</si>
  <si>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</si>
  <si>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</si>
  <si>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</si>
  <si>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</si>
  <si>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</si>
  <si>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</si>
  <si>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</si>
  <si>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</si>
  <si>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</si>
  <si>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</si>
  <si>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</si>
  <si>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</si>
  <si>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</si>
  <si>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</si>
  <si>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</si>
  <si>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</si>
  <si>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</si>
  <si>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</si>
  <si>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</si>
  <si>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</si>
  <si>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</si>
  <si>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</si>
  <si>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</si>
  <si>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</si>
  <si>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</si>
  <si>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</si>
  <si>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</si>
  <si>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</si>
  <si>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</si>
  <si>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</si>
  <si>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</si>
  <si>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</si>
  <si>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</si>
  <si>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</si>
  <si>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</si>
  <si>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</si>
  <si>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</si>
  <si>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</si>
  <si>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</si>
  <si>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</si>
  <si>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</si>
  <si>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</si>
  <si>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</si>
  <si>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</si>
  <si>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</si>
  <si>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</si>
  <si>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</si>
  <si>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</si>
  <si>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</si>
  <si>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</si>
  <si>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</si>
  <si>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</si>
  <si>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</si>
  <si>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</si>
  <si>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</si>
  <si>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</si>
  <si>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</si>
  <si>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</si>
  <si>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</si>
  <si>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</si>
  <si>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</si>
  <si>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</si>
  <si>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</si>
  <si>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</si>
  <si>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</si>
  <si>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</si>
  <si>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</si>
  <si>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</si>
  <si>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</si>
  <si>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</si>
  <si>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</si>
  <si>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</si>
  <si>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</si>
  <si>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</si>
  <si>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</si>
  <si>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</si>
  <si>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</si>
  <si>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</si>
  <si>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</si>
  <si>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</si>
  <si>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</si>
  <si>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</si>
  <si>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</si>
  <si>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</si>
  <si>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</si>
  <si>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</si>
  <si>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</si>
  <si>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</si>
  <si>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</si>
  <si>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</si>
  <si>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</si>
  <si>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</si>
  <si>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</si>
  <si>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</si>
  <si>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</si>
  <si>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</si>
  <si>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</si>
  <si>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</si>
  <si>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</si>
  <si>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</si>
  <si>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</si>
  <si>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</si>
  <si>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</si>
  <si>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</si>
  <si>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</si>
  <si>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</si>
  <si>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</si>
  <si>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</si>
  <si>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</si>
  <si>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</si>
  <si>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</si>
  <si>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</si>
  <si>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</si>
  <si>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</si>
  <si>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</si>
  <si>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</si>
  <si>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</si>
  <si>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</si>
  <si>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</si>
  <si>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</si>
  <si>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</si>
  <si>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</si>
  <si>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</si>
  <si>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</si>
  <si>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</si>
  <si>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</si>
  <si>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</si>
  <si>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</si>
  <si>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</si>
  <si>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</si>
  <si>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</si>
  <si>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</si>
  <si>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</si>
  <si>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</si>
  <si>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</si>
  <si>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</si>
  <si>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</si>
  <si>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</si>
  <si>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</si>
  <si>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</si>
  <si>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</si>
  <si>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</si>
  <si>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</si>
  <si>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</si>
  <si>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</si>
  <si>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</si>
  <si>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</si>
  <si>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</si>
  <si>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</si>
  <si>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</si>
  <si>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</si>
  <si>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</si>
  <si>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</si>
  <si>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</si>
  <si>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</si>
  <si>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</si>
  <si>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</si>
  <si>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</si>
  <si>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</si>
  <si>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</si>
  <si>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</si>
  <si>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</si>
  <si>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</si>
  <si>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</si>
  <si>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</si>
  <si>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</si>
  <si>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</si>
  <si>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</si>
  <si>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</si>
  <si>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</si>
  <si>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</si>
  <si>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</si>
  <si>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</si>
  <si>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</si>
  <si>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</si>
  <si>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</si>
  <si>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</si>
  <si>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</si>
  <si>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</si>
  <si>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</si>
  <si>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</si>
  <si>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</si>
  <si>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</si>
  <si>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</si>
  <si>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</si>
  <si>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</si>
  <si>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</si>
  <si>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</si>
  <si>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</si>
  <si>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</si>
  <si>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</si>
  <si>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</si>
  <si>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16, 2026</t>
  </si>
  <si>
    <t>RT BRISCOE SAVINGS &amp; INVESTMENT FUND</t>
  </si>
  <si>
    <t>Meristem Dollar Fund</t>
  </si>
  <si>
    <t>Week Ended January 16, 2026</t>
  </si>
  <si>
    <t>WEEKLY VALUATION REPORT OF COLLECTIVE INVESTMENT SCHEMES AS AT WEEK ENDED FRIDAY, JANUARY 23, 2026</t>
  </si>
  <si>
    <t>NAV, Unit Price and Yield as at Week Ended January 23, 2026</t>
  </si>
  <si>
    <t>NFEM RATE NG₦/US$ as at 23rd January, 2026 = N1421.6265</t>
  </si>
  <si>
    <t>1,272.22 </t>
  </si>
  <si>
    <t>Week Ended 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</si>
</sst>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2" fontId="27" fillId="0" borderId="0" xfId="0" applyNumberFormat="1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52" fillId="0" borderId="0" xfId="0" applyFont="1"/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164" fontId="9" fillId="2" borderId="0" xfId="1" applyFont="1" applyFill="1" applyBorder="1"/>
    <xf numFmtId="0" fontId="6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3" fillId="13" borderId="1" xfId="0" applyFont="1" applyFill="1" applyBorder="1" applyAlignment="1">
      <alignment horizontal="center" wrapText="1"/>
    </xf>
    <xf numFmtId="0" fontId="33" fillId="8" borderId="1" xfId="0" applyFont="1" applyFill="1" applyBorder="1" applyAlignment="1">
      <alignment horizontal="center"/>
    </xf>
    <xf numFmtId="0" fontId="31" fillId="12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16,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93.935595234247501</c:v>
                </c:pt>
                <c:pt idx="1">
                  <c:v>5059.9510653095003</c:v>
                </c:pt>
                <c:pt idx="2">
                  <c:v>243.52006310036299</c:v>
                </c:pt>
                <c:pt idx="3">
                  <c:v>1942.4529687198399</c:v>
                </c:pt>
                <c:pt idx="4">
                  <c:v>504.82886965240448</c:v>
                </c:pt>
                <c:pt idx="5" formatCode="_-* #,##0.00_-;\-* #,##0.00_-;_-* &quot;-&quot;??_-;_-@_-">
                  <c:v>90.902677733101569</c:v>
                </c:pt>
                <c:pt idx="6">
                  <c:v>9.3180377837500004</c:v>
                </c:pt>
                <c:pt idx="7">
                  <c:v>84.433429779074942</c:v>
                </c:pt>
                <c:pt idx="8">
                  <c:v>18.866349662769352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23,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97.343280758238819</c:v>
                </c:pt>
                <c:pt idx="1">
                  <c:v>5108.5181730498516</c:v>
                </c:pt>
                <c:pt idx="2">
                  <c:v>243.03531932412383</c:v>
                </c:pt>
                <c:pt idx="3">
                  <c:v>1915.2579413288515</c:v>
                </c:pt>
                <c:pt idx="4">
                  <c:v>505.30953393644558</c:v>
                </c:pt>
                <c:pt idx="5" formatCode="_-* #,##0.00_-;\-* #,##0.00_-;_-* &quot;-&quot;??_-;_-@_-">
                  <c:v>92.487511317429949</c:v>
                </c:pt>
                <c:pt idx="6">
                  <c:v>9.9695122362500008</c:v>
                </c:pt>
                <c:pt idx="7">
                  <c:v>84.21324483269693</c:v>
                </c:pt>
                <c:pt idx="8">
                  <c:v>19.31119483212818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23RD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23-Jan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9969512236.25</c:v>
                </c:pt>
                <c:pt idx="1">
                  <c:v>19311194832.128181</c:v>
                </c:pt>
                <c:pt idx="2">
                  <c:v>97343280758.238815</c:v>
                </c:pt>
                <c:pt idx="3" formatCode="_-* #,##0.00_-;\-* #,##0.00_-;_-* &quot;-&quot;??_-;_-@_-">
                  <c:v>84213244832.69693</c:v>
                </c:pt>
                <c:pt idx="4">
                  <c:v>92487511317.429947</c:v>
                </c:pt>
                <c:pt idx="5">
                  <c:v>505309533936.44556</c:v>
                </c:pt>
                <c:pt idx="6">
                  <c:v>243035319324.12384</c:v>
                </c:pt>
                <c:pt idx="7">
                  <c:v>1915257941328.8516</c:v>
                </c:pt>
                <c:pt idx="8">
                  <c:v>5108518173049.8516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45996</c:v>
                </c:pt>
                <c:pt idx="1">
                  <c:v>46003</c:v>
                </c:pt>
                <c:pt idx="2">
                  <c:v>46010</c:v>
                </c:pt>
                <c:pt idx="3">
                  <c:v>46015</c:v>
                </c:pt>
                <c:pt idx="4">
                  <c:v>46024</c:v>
                </c:pt>
                <c:pt idx="5">
                  <c:v>46031</c:v>
                </c:pt>
                <c:pt idx="6">
                  <c:v>46038</c:v>
                </c:pt>
                <c:pt idx="7">
                  <c:v>46045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7473.2757425151976</c:v>
                </c:pt>
                <c:pt idx="1">
                  <c:v>7522.4259502457116</c:v>
                </c:pt>
                <c:pt idx="2">
                  <c:v>7603.1851114640458</c:v>
                </c:pt>
                <c:pt idx="3">
                  <c:v>7672.435028174913</c:v>
                </c:pt>
                <c:pt idx="4">
                  <c:v>7797.3820775891299</c:v>
                </c:pt>
                <c:pt idx="5">
                  <c:v>7922.6135885840922</c:v>
                </c:pt>
                <c:pt idx="6">
                  <c:v>8048.2090569750508</c:v>
                </c:pt>
                <c:pt idx="7">
                  <c:v>8075.4457116160165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45996</c:v>
                </c:pt>
                <c:pt idx="1">
                  <c:v>46003</c:v>
                </c:pt>
                <c:pt idx="2">
                  <c:v>46010</c:v>
                </c:pt>
                <c:pt idx="3">
                  <c:v>46015</c:v>
                </c:pt>
                <c:pt idx="4">
                  <c:v>46024</c:v>
                </c:pt>
                <c:pt idx="5">
                  <c:v>46031</c:v>
                </c:pt>
                <c:pt idx="6">
                  <c:v>46038</c:v>
                </c:pt>
                <c:pt idx="7">
                  <c:v>46045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17.413222879320003</c:v>
                </c:pt>
                <c:pt idx="1">
                  <c:v>17.682838809310002</c:v>
                </c:pt>
                <c:pt idx="2">
                  <c:v>17.94056485019</c:v>
                </c:pt>
                <c:pt idx="3">
                  <c:v>18.082167415780003</c:v>
                </c:pt>
                <c:pt idx="4">
                  <c:v>18.294657025999999</c:v>
                </c:pt>
                <c:pt idx="5">
                  <c:v>18.629129376529999</c:v>
                </c:pt>
                <c:pt idx="6">
                  <c:v>19.377061801090001</c:v>
                </c:pt>
                <c:pt idx="7">
                  <c:v>19.447744548879999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5" t="s">
        <v>333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5" ht="14.4" customHeight="1">
      <c r="A2" s="42"/>
      <c r="B2" s="43"/>
      <c r="C2" s="44"/>
      <c r="D2" s="196" t="s">
        <v>329</v>
      </c>
      <c r="E2" s="196"/>
      <c r="F2" s="196"/>
      <c r="G2" s="196"/>
      <c r="H2" s="196"/>
      <c r="I2" s="196"/>
      <c r="J2" s="196"/>
      <c r="K2" s="196" t="s">
        <v>334</v>
      </c>
      <c r="L2" s="196"/>
      <c r="M2" s="196"/>
      <c r="N2" s="196"/>
      <c r="O2" s="196"/>
      <c r="P2" s="196"/>
      <c r="Q2" s="196"/>
      <c r="R2" s="196" t="s">
        <v>0</v>
      </c>
      <c r="S2" s="196"/>
      <c r="T2" s="196"/>
      <c r="U2" s="196" t="s">
        <v>1</v>
      </c>
      <c r="V2" s="196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5" ht="15" customHeight="1">
      <c r="A5" s="193" t="s">
        <v>18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</row>
    <row r="6" spans="1:25">
      <c r="A6" s="181">
        <v>1</v>
      </c>
      <c r="B6" s="170" t="s">
        <v>19</v>
      </c>
      <c r="C6" s="166" t="s">
        <v>20</v>
      </c>
      <c r="D6" s="163">
        <v>5577761125.4700003</v>
      </c>
      <c r="E6" s="161">
        <f t="shared" ref="E6:E24" si="0">(D6/$D$26)</f>
        <v>5.9378567959895497E-2</v>
      </c>
      <c r="F6" s="163">
        <v>663.89239999999995</v>
      </c>
      <c r="G6" s="163">
        <v>671.0181</v>
      </c>
      <c r="H6" s="55">
        <v>1695</v>
      </c>
      <c r="I6" s="76">
        <v>2.1999999999999999E-2</v>
      </c>
      <c r="J6" s="76">
        <v>7.2599999999999998E-2</v>
      </c>
      <c r="K6" s="163">
        <v>5828371503.6800003</v>
      </c>
      <c r="L6" s="161">
        <f t="shared" ref="L6:L25" si="1">(K6/$K$26)</f>
        <v>5.987441000838372E-2</v>
      </c>
      <c r="M6" s="163">
        <v>661.56659999999999</v>
      </c>
      <c r="N6" s="163">
        <v>669.98069999999996</v>
      </c>
      <c r="O6" s="55">
        <v>1695</v>
      </c>
      <c r="P6" s="76">
        <v>1.84E-2</v>
      </c>
      <c r="Q6" s="76">
        <v>6.8900000000000003E-2</v>
      </c>
      <c r="R6" s="81">
        <f>((K6-D6)/D6)</f>
        <v>4.4930281626014021E-2</v>
      </c>
      <c r="S6" s="81">
        <f>((N6-G6)/G6)</f>
        <v>-1.5460089675674142E-3</v>
      </c>
      <c r="T6" s="81">
        <f>((O6-H6)/H6)</f>
        <v>0</v>
      </c>
      <c r="U6" s="81">
        <f>P6-I6</f>
        <v>-3.599999999999999E-3</v>
      </c>
      <c r="V6" s="82">
        <f>Q6-J6</f>
        <v>-3.699999999999995E-3</v>
      </c>
      <c r="W6" s="164"/>
    </row>
    <row r="7" spans="1:25">
      <c r="A7" s="181">
        <v>2</v>
      </c>
      <c r="B7" s="170" t="s">
        <v>21</v>
      </c>
      <c r="C7" s="166" t="s">
        <v>22</v>
      </c>
      <c r="D7" s="51">
        <v>1434359347.3399999</v>
      </c>
      <c r="E7" s="52">
        <f t="shared" si="0"/>
        <v>1.5269604070354091E-2</v>
      </c>
      <c r="F7" s="51">
        <v>448.76159999999999</v>
      </c>
      <c r="G7" s="51">
        <v>454.15170000000001</v>
      </c>
      <c r="H7" s="53">
        <v>645</v>
      </c>
      <c r="I7" s="75">
        <v>3.297E-3</v>
      </c>
      <c r="J7" s="75">
        <v>9.5399999999999999E-2</v>
      </c>
      <c r="K7" s="51">
        <v>1451955838.3599999</v>
      </c>
      <c r="L7" s="52">
        <f t="shared" si="1"/>
        <v>1.4915830112260841E-2</v>
      </c>
      <c r="M7" s="51">
        <v>451.35890000000001</v>
      </c>
      <c r="N7" s="51">
        <v>456.7509</v>
      </c>
      <c r="O7" s="53">
        <v>648</v>
      </c>
      <c r="P7" s="75">
        <v>4.75E-4</v>
      </c>
      <c r="Q7" s="75">
        <v>0.1018</v>
      </c>
      <c r="R7" s="80">
        <f t="shared" ref="R7:R26" si="2">((K7-D7)/D7)</f>
        <v>1.2267840030904694E-2</v>
      </c>
      <c r="S7" s="80">
        <f t="shared" ref="S7:S26" si="3">((N7-G7)/G7)</f>
        <v>5.7231977773065613E-3</v>
      </c>
      <c r="T7" s="80">
        <f t="shared" ref="T7:T26" si="4">((O7-H7)/H7)</f>
        <v>4.6511627906976744E-3</v>
      </c>
      <c r="U7" s="81">
        <f t="shared" ref="U7:U26" si="5">P7-I7</f>
        <v>-2.8219999999999999E-3</v>
      </c>
      <c r="V7" s="82">
        <f t="shared" ref="V7:V26" si="6">Q7-J7</f>
        <v>6.4000000000000029E-3</v>
      </c>
    </row>
    <row r="8" spans="1:25">
      <c r="A8" s="181">
        <v>3</v>
      </c>
      <c r="B8" s="170" t="s">
        <v>23</v>
      </c>
      <c r="C8" s="166" t="s">
        <v>24</v>
      </c>
      <c r="D8" s="51">
        <v>8611303263.1499996</v>
      </c>
      <c r="E8" s="52">
        <f t="shared" si="0"/>
        <v>9.1672419189722118E-2</v>
      </c>
      <c r="F8" s="51">
        <v>56.130899999999997</v>
      </c>
      <c r="G8" s="54">
        <v>57.823300000000003</v>
      </c>
      <c r="H8" s="55">
        <v>8727</v>
      </c>
      <c r="I8" s="76">
        <v>0.95499999999999996</v>
      </c>
      <c r="J8" s="76">
        <v>1.3642000000000001</v>
      </c>
      <c r="K8" s="51">
        <v>8800440345.0300007</v>
      </c>
      <c r="L8" s="52">
        <f t="shared" si="1"/>
        <v>9.0406243517585166E-2</v>
      </c>
      <c r="M8" s="51">
        <v>56.005299999999998</v>
      </c>
      <c r="N8" s="54">
        <v>57.693899999999999</v>
      </c>
      <c r="O8" s="55">
        <v>8773</v>
      </c>
      <c r="P8" s="76">
        <v>-0.1167</v>
      </c>
      <c r="Q8" s="76">
        <v>0.91139999999999999</v>
      </c>
      <c r="R8" s="80">
        <f t="shared" si="2"/>
        <v>2.1963816172793228E-2</v>
      </c>
      <c r="S8" s="80">
        <f t="shared" si="3"/>
        <v>-2.2378522152835265E-3</v>
      </c>
      <c r="T8" s="80">
        <f t="shared" si="4"/>
        <v>5.2709980520224591E-3</v>
      </c>
      <c r="U8" s="81">
        <f t="shared" si="5"/>
        <v>-1.0716999999999999</v>
      </c>
      <c r="V8" s="82">
        <f t="shared" si="6"/>
        <v>-0.45280000000000009</v>
      </c>
      <c r="X8" s="83"/>
      <c r="Y8" s="83"/>
    </row>
    <row r="9" spans="1:25">
      <c r="A9" s="181">
        <v>4</v>
      </c>
      <c r="B9" s="170" t="s">
        <v>25</v>
      </c>
      <c r="C9" s="166" t="s">
        <v>26</v>
      </c>
      <c r="D9" s="51">
        <v>1229964174.8</v>
      </c>
      <c r="E9" s="52">
        <f t="shared" si="0"/>
        <v>1.3093696502724387E-2</v>
      </c>
      <c r="F9" s="51">
        <v>268.87959999999998</v>
      </c>
      <c r="G9" s="51">
        <v>268.87959999999998</v>
      </c>
      <c r="H9" s="53">
        <v>2307</v>
      </c>
      <c r="I9" s="75">
        <v>1.34E-2</v>
      </c>
      <c r="J9" s="75">
        <v>7.4399999999999994E-2</v>
      </c>
      <c r="K9" s="51">
        <v>1210917430.1600001</v>
      </c>
      <c r="L9" s="52">
        <f t="shared" si="1"/>
        <v>1.2439661173609172E-2</v>
      </c>
      <c r="M9" s="51">
        <v>266.32240000000002</v>
      </c>
      <c r="N9" s="51">
        <v>266.32240000000002</v>
      </c>
      <c r="O9" s="53">
        <v>2316</v>
      </c>
      <c r="P9" s="75">
        <v>-9.4999999999999998E-3</v>
      </c>
      <c r="Q9" s="75">
        <v>6.4199999999999993E-2</v>
      </c>
      <c r="R9" s="80">
        <f t="shared" si="2"/>
        <v>-1.548560928052802E-2</v>
      </c>
      <c r="S9" s="80">
        <f t="shared" si="3"/>
        <v>-9.5105764810716996E-3</v>
      </c>
      <c r="T9" s="80">
        <f t="shared" si="4"/>
        <v>3.9011703511053317E-3</v>
      </c>
      <c r="U9" s="81">
        <f t="shared" si="5"/>
        <v>-2.29E-2</v>
      </c>
      <c r="V9" s="82">
        <f t="shared" si="6"/>
        <v>-1.0200000000000001E-2</v>
      </c>
    </row>
    <row r="10" spans="1:25">
      <c r="A10" s="181">
        <v>5</v>
      </c>
      <c r="B10" s="170" t="s">
        <v>27</v>
      </c>
      <c r="C10" s="166" t="s">
        <v>28</v>
      </c>
      <c r="D10" s="51">
        <v>3238896772.0100002</v>
      </c>
      <c r="E10" s="52">
        <f t="shared" si="0"/>
        <v>3.4479972835996332E-2</v>
      </c>
      <c r="F10" s="51">
        <v>1.972</v>
      </c>
      <c r="G10" s="51">
        <v>1.9939</v>
      </c>
      <c r="H10" s="53">
        <v>1196</v>
      </c>
      <c r="I10" s="75">
        <v>1.8800000000000001E-2</v>
      </c>
      <c r="J10" s="75">
        <v>6.5299999999999997E-2</v>
      </c>
      <c r="K10" s="51">
        <v>3398514261.5599999</v>
      </c>
      <c r="L10" s="52">
        <f t="shared" si="1"/>
        <v>3.4912674352948196E-2</v>
      </c>
      <c r="M10" s="51">
        <v>1.9798</v>
      </c>
      <c r="N10" s="51">
        <v>2.0013999999999998</v>
      </c>
      <c r="O10" s="53">
        <v>1229</v>
      </c>
      <c r="P10" s="75">
        <v>3.8999999999999998E-3</v>
      </c>
      <c r="Q10" s="75">
        <v>6.9400000000000003E-2</v>
      </c>
      <c r="R10" s="80">
        <f t="shared" si="2"/>
        <v>4.9281437719592404E-2</v>
      </c>
      <c r="S10" s="80">
        <f t="shared" si="3"/>
        <v>3.7614724910977684E-3</v>
      </c>
      <c r="T10" s="80">
        <f t="shared" si="4"/>
        <v>2.7591973244147156E-2</v>
      </c>
      <c r="U10" s="81">
        <f t="shared" si="5"/>
        <v>-1.49E-2</v>
      </c>
      <c r="V10" s="82">
        <f t="shared" si="6"/>
        <v>4.1000000000000064E-3</v>
      </c>
    </row>
    <row r="11" spans="1:25">
      <c r="A11" s="181">
        <v>6</v>
      </c>
      <c r="B11" s="170" t="s">
        <v>29</v>
      </c>
      <c r="C11" s="166" t="s">
        <v>30</v>
      </c>
      <c r="D11" s="56">
        <v>329080718.77999997</v>
      </c>
      <c r="E11" s="52">
        <f t="shared" si="0"/>
        <v>3.5032589931364177E-3</v>
      </c>
      <c r="F11" s="51">
        <v>226.98699999999999</v>
      </c>
      <c r="G11" s="51">
        <v>228.33250000000001</v>
      </c>
      <c r="H11" s="55">
        <v>118</v>
      </c>
      <c r="I11" s="76">
        <v>3.6470000000000001E-3</v>
      </c>
      <c r="J11" s="76">
        <v>6.0100000000000001E-2</v>
      </c>
      <c r="K11" s="56">
        <v>333111033.44999999</v>
      </c>
      <c r="L11" s="52">
        <f t="shared" si="1"/>
        <v>3.4220239019610663E-3</v>
      </c>
      <c r="M11" s="51">
        <v>226.9941</v>
      </c>
      <c r="N11" s="51">
        <v>228.3211</v>
      </c>
      <c r="O11" s="55">
        <v>120</v>
      </c>
      <c r="P11" s="76">
        <v>4.08E-4</v>
      </c>
      <c r="Q11" s="76">
        <v>6.0400000000000002E-2</v>
      </c>
      <c r="R11" s="80">
        <f t="shared" si="2"/>
        <v>1.2247191767848298E-2</v>
      </c>
      <c r="S11" s="80">
        <f t="shared" si="3"/>
        <v>-4.9927189515329433E-5</v>
      </c>
      <c r="T11" s="80">
        <f t="shared" si="4"/>
        <v>1.6949152542372881E-2</v>
      </c>
      <c r="U11" s="81">
        <f t="shared" si="5"/>
        <v>-3.2390000000000001E-3</v>
      </c>
      <c r="V11" s="82">
        <f t="shared" si="6"/>
        <v>3.0000000000000165E-4</v>
      </c>
    </row>
    <row r="12" spans="1:25">
      <c r="A12" s="181">
        <v>7</v>
      </c>
      <c r="B12" s="170" t="s">
        <v>31</v>
      </c>
      <c r="C12" s="166" t="s">
        <v>32</v>
      </c>
      <c r="D12" s="51">
        <v>3062873038.0900002</v>
      </c>
      <c r="E12" s="52">
        <f t="shared" si="0"/>
        <v>3.2606096021982972E-2</v>
      </c>
      <c r="F12" s="51">
        <v>479.01</v>
      </c>
      <c r="G12" s="51">
        <v>485.72</v>
      </c>
      <c r="H12" s="55">
        <v>1874</v>
      </c>
      <c r="I12" s="76">
        <v>-6.6E-3</v>
      </c>
      <c r="J12" s="76">
        <v>5.67E-2</v>
      </c>
      <c r="K12" s="51">
        <v>3132594208.4000001</v>
      </c>
      <c r="L12" s="52">
        <f t="shared" si="1"/>
        <v>3.2180898198614159E-2</v>
      </c>
      <c r="M12" s="51">
        <v>476.93</v>
      </c>
      <c r="N12" s="51">
        <v>482.63</v>
      </c>
      <c r="O12" s="55">
        <v>1906</v>
      </c>
      <c r="P12" s="76">
        <v>-5.4000000000000003E-3</v>
      </c>
      <c r="Q12" s="76">
        <v>5.21E-2</v>
      </c>
      <c r="R12" s="80">
        <f t="shared" si="2"/>
        <v>2.2763323664724243E-2</v>
      </c>
      <c r="S12" s="80">
        <f t="shared" si="3"/>
        <v>-6.3616898624722718E-3</v>
      </c>
      <c r="T12" s="80">
        <f t="shared" si="4"/>
        <v>1.7075773745997867E-2</v>
      </c>
      <c r="U12" s="81">
        <f t="shared" si="5"/>
        <v>1.1999999999999997E-3</v>
      </c>
      <c r="V12" s="82">
        <f t="shared" si="6"/>
        <v>-4.5999999999999999E-3</v>
      </c>
    </row>
    <row r="13" spans="1:25">
      <c r="A13" s="181">
        <v>8</v>
      </c>
      <c r="B13" s="170" t="s">
        <v>33</v>
      </c>
      <c r="C13" s="166" t="s">
        <v>34</v>
      </c>
      <c r="D13" s="57">
        <v>535483420.44</v>
      </c>
      <c r="E13" s="52">
        <f t="shared" si="0"/>
        <v>5.7005378962539524E-3</v>
      </c>
      <c r="F13" s="51">
        <v>267.45999999999998</v>
      </c>
      <c r="G13" s="51">
        <v>279.39999999999998</v>
      </c>
      <c r="H13" s="53">
        <v>2469</v>
      </c>
      <c r="I13" s="75">
        <v>1.8599999999999998E-2</v>
      </c>
      <c r="J13" s="75">
        <v>0.26290000000000002</v>
      </c>
      <c r="K13" s="57">
        <v>535483420.44</v>
      </c>
      <c r="L13" s="52">
        <f t="shared" si="1"/>
        <v>5.5009797930472819E-3</v>
      </c>
      <c r="M13" s="51">
        <v>266.20999999999998</v>
      </c>
      <c r="N13" s="51">
        <v>278.04000000000002</v>
      </c>
      <c r="O13" s="53">
        <v>2469</v>
      </c>
      <c r="P13" s="75">
        <v>3.2899999999999999E-2</v>
      </c>
      <c r="Q13" s="75">
        <v>0.25700000000000001</v>
      </c>
      <c r="R13" s="80">
        <f t="shared" si="2"/>
        <v>0</v>
      </c>
      <c r="S13" s="80">
        <f t="shared" si="3"/>
        <v>-4.8675733715102254E-3</v>
      </c>
      <c r="T13" s="80">
        <f t="shared" si="4"/>
        <v>0</v>
      </c>
      <c r="U13" s="81">
        <f t="shared" si="5"/>
        <v>1.43E-2</v>
      </c>
      <c r="V13" s="82">
        <f t="shared" si="6"/>
        <v>-5.9000000000000163E-3</v>
      </c>
    </row>
    <row r="14" spans="1:25">
      <c r="A14" s="181">
        <v>9</v>
      </c>
      <c r="B14" s="170" t="s">
        <v>35</v>
      </c>
      <c r="C14" s="166" t="s">
        <v>36</v>
      </c>
      <c r="D14" s="56">
        <v>96251386.177499995</v>
      </c>
      <c r="E14" s="52">
        <f t="shared" si="0"/>
        <v>1.0246529650179742E-3</v>
      </c>
      <c r="F14" s="51">
        <v>349.02679999999998</v>
      </c>
      <c r="G14" s="51">
        <v>358.76429999999999</v>
      </c>
      <c r="H14" s="53">
        <v>29</v>
      </c>
      <c r="I14" s="75">
        <v>2.69E-2</v>
      </c>
      <c r="J14" s="75">
        <v>0.5766</v>
      </c>
      <c r="K14" s="56">
        <v>100454650.18880001</v>
      </c>
      <c r="L14" s="52">
        <f t="shared" si="1"/>
        <v>1.0319628576962447E-3</v>
      </c>
      <c r="M14" s="51">
        <v>364.16430000000003</v>
      </c>
      <c r="N14" s="51">
        <v>374.52019999999999</v>
      </c>
      <c r="O14" s="53">
        <v>29</v>
      </c>
      <c r="P14" s="75">
        <v>4.3700000000000003E-2</v>
      </c>
      <c r="Q14" s="75">
        <v>0.64549999999999996</v>
      </c>
      <c r="R14" s="80">
        <f t="shared" si="2"/>
        <v>4.3669646518634551E-2</v>
      </c>
      <c r="S14" s="80">
        <f t="shared" si="3"/>
        <v>4.3917134452898458E-2</v>
      </c>
      <c r="T14" s="80">
        <f t="shared" si="4"/>
        <v>0</v>
      </c>
      <c r="U14" s="81">
        <f t="shared" si="5"/>
        <v>1.6800000000000002E-2</v>
      </c>
      <c r="V14" s="82">
        <f t="shared" si="6"/>
        <v>6.8899999999999961E-2</v>
      </c>
    </row>
    <row r="15" spans="1:25" ht="14.25" customHeight="1">
      <c r="A15" s="181">
        <v>10</v>
      </c>
      <c r="B15" s="170" t="s">
        <v>37</v>
      </c>
      <c r="C15" s="166" t="s">
        <v>38</v>
      </c>
      <c r="D15" s="57">
        <v>4616308379.2299995</v>
      </c>
      <c r="E15" s="52">
        <f t="shared" si="0"/>
        <v>4.9143334512527399E-2</v>
      </c>
      <c r="F15" s="51">
        <v>4.2386999999999997</v>
      </c>
      <c r="G15" s="51">
        <v>4.2689000000000004</v>
      </c>
      <c r="H15" s="53">
        <v>4044</v>
      </c>
      <c r="I15" s="75">
        <v>-1.7500000000000002E-2</v>
      </c>
      <c r="J15" s="75">
        <v>4.6699999999999998E-2</v>
      </c>
      <c r="K15" s="57">
        <v>5405827092.6700001</v>
      </c>
      <c r="L15" s="52">
        <f t="shared" si="1"/>
        <v>5.5533643930656906E-2</v>
      </c>
      <c r="M15" s="51">
        <v>4.2386650000000001</v>
      </c>
      <c r="N15" s="51">
        <v>4.2689190000000004</v>
      </c>
      <c r="O15" s="53">
        <v>4256</v>
      </c>
      <c r="P15" s="75">
        <v>-1.29E-2</v>
      </c>
      <c r="Q15" s="75">
        <v>7.9299999999999995E-2</v>
      </c>
      <c r="R15" s="80">
        <f t="shared" si="2"/>
        <v>0.17102815682597278</v>
      </c>
      <c r="S15" s="80">
        <f t="shared" si="3"/>
        <v>4.4507952868399923E-6</v>
      </c>
      <c r="T15" s="80">
        <f t="shared" si="4"/>
        <v>5.2423343224530169E-2</v>
      </c>
      <c r="U15" s="81">
        <f t="shared" si="5"/>
        <v>4.6000000000000017E-3</v>
      </c>
      <c r="V15" s="82">
        <f t="shared" si="6"/>
        <v>3.2599999999999997E-2</v>
      </c>
    </row>
    <row r="16" spans="1:25" ht="14.25" customHeight="1">
      <c r="A16" s="184">
        <v>11</v>
      </c>
      <c r="B16" s="170" t="s">
        <v>39</v>
      </c>
      <c r="C16" s="166" t="s">
        <v>40</v>
      </c>
      <c r="D16" s="57">
        <v>146431117.58000001</v>
      </c>
      <c r="E16" s="52">
        <f t="shared" si="0"/>
        <v>1.5588459009052346E-3</v>
      </c>
      <c r="F16" s="51">
        <v>29.16</v>
      </c>
      <c r="G16" s="51">
        <v>29.65</v>
      </c>
      <c r="H16" s="53">
        <v>82</v>
      </c>
      <c r="I16" s="75">
        <v>0.05</v>
      </c>
      <c r="J16" s="75">
        <v>0.2</v>
      </c>
      <c r="K16" s="57">
        <v>149570796.13999999</v>
      </c>
      <c r="L16" s="52">
        <f t="shared" si="1"/>
        <v>1.5365292290843691E-3</v>
      </c>
      <c r="M16" s="51">
        <v>29.65</v>
      </c>
      <c r="N16" s="51">
        <v>29.94</v>
      </c>
      <c r="O16" s="53">
        <v>110</v>
      </c>
      <c r="P16" s="75">
        <v>0</v>
      </c>
      <c r="Q16" s="75">
        <v>0.06</v>
      </c>
      <c r="R16" s="80">
        <f t="shared" ref="R16" si="7">((K16-D16)/D16)</f>
        <v>2.1441334409570873E-2</v>
      </c>
      <c r="S16" s="80">
        <f t="shared" ref="S16" si="8">((N16-G16)/G16)</f>
        <v>9.7807757166948634E-3</v>
      </c>
      <c r="T16" s="80">
        <f t="shared" ref="T16" si="9">((O16-H16)/H16)</f>
        <v>0.34146341463414637</v>
      </c>
      <c r="U16" s="81">
        <f t="shared" ref="U16" si="10">P16-I16</f>
        <v>-0.05</v>
      </c>
      <c r="V16" s="82">
        <f t="shared" ref="V16" si="11">Q16-J16</f>
        <v>-0.14000000000000001</v>
      </c>
    </row>
    <row r="17" spans="1:22">
      <c r="A17" s="181">
        <v>12</v>
      </c>
      <c r="B17" s="170" t="s">
        <v>41</v>
      </c>
      <c r="C17" s="166" t="s">
        <v>42</v>
      </c>
      <c r="D17" s="58">
        <v>2948327636.3400002</v>
      </c>
      <c r="E17" s="52">
        <f t="shared" si="0"/>
        <v>3.1386692435255728E-2</v>
      </c>
      <c r="F17" s="51">
        <v>5.94</v>
      </c>
      <c r="G17" s="51">
        <v>6.07</v>
      </c>
      <c r="H17" s="53">
        <v>3708</v>
      </c>
      <c r="I17" s="75">
        <v>0.1356</v>
      </c>
      <c r="J17" s="75">
        <v>7.3200000000000001E-2</v>
      </c>
      <c r="K17" s="58">
        <v>2916303176.0999999</v>
      </c>
      <c r="L17" s="52">
        <f t="shared" si="1"/>
        <v>2.9958957139968528E-2</v>
      </c>
      <c r="M17" s="51">
        <v>5.94</v>
      </c>
      <c r="N17" s="51">
        <v>6.07</v>
      </c>
      <c r="O17" s="53">
        <v>3716</v>
      </c>
      <c r="P17" s="75">
        <v>0.13539999999999999</v>
      </c>
      <c r="Q17" s="75">
        <v>7.3099999999999998E-2</v>
      </c>
      <c r="R17" s="80">
        <f t="shared" si="2"/>
        <v>-1.0861906880795252E-2</v>
      </c>
      <c r="S17" s="80">
        <f t="shared" si="3"/>
        <v>0</v>
      </c>
      <c r="T17" s="80">
        <f t="shared" si="4"/>
        <v>2.1574973031283709E-3</v>
      </c>
      <c r="U17" s="81">
        <f t="shared" si="5"/>
        <v>-2.0000000000000573E-4</v>
      </c>
      <c r="V17" s="82">
        <f t="shared" si="6"/>
        <v>-1.0000000000000286E-4</v>
      </c>
    </row>
    <row r="18" spans="1:22">
      <c r="A18" s="181">
        <v>13</v>
      </c>
      <c r="B18" s="170" t="s">
        <v>43</v>
      </c>
      <c r="C18" s="166" t="s">
        <v>44</v>
      </c>
      <c r="D18" s="51">
        <v>4166639062.3600001</v>
      </c>
      <c r="E18" s="52">
        <f t="shared" si="0"/>
        <v>4.4356338531412284E-2</v>
      </c>
      <c r="F18" s="51">
        <v>3.38</v>
      </c>
      <c r="G18" s="51">
        <v>35.51</v>
      </c>
      <c r="H18" s="53">
        <v>1239</v>
      </c>
      <c r="I18" s="75">
        <v>-2.3300000000000001E-2</v>
      </c>
      <c r="J18" s="75">
        <v>8.7599999999999997E-2</v>
      </c>
      <c r="K18" s="51">
        <v>4437200996.54</v>
      </c>
      <c r="L18" s="52">
        <f t="shared" si="1"/>
        <v>4.5583022905917932E-2</v>
      </c>
      <c r="M18" s="51">
        <v>34.483077999999999</v>
      </c>
      <c r="N18" s="51">
        <v>34.606428999999999</v>
      </c>
      <c r="O18" s="53">
        <v>1291</v>
      </c>
      <c r="P18" s="75">
        <v>-2.53E-2</v>
      </c>
      <c r="Q18" s="75">
        <v>6.0100000000000001E-2</v>
      </c>
      <c r="R18" s="80">
        <f t="shared" si="2"/>
        <v>6.49352944017072E-2</v>
      </c>
      <c r="S18" s="80">
        <f t="shared" si="3"/>
        <v>-2.5445536468600382E-2</v>
      </c>
      <c r="T18" s="80">
        <f t="shared" si="4"/>
        <v>4.1969330104923326E-2</v>
      </c>
      <c r="U18" s="81">
        <f t="shared" si="5"/>
        <v>-1.9999999999999983E-3</v>
      </c>
      <c r="V18" s="82">
        <f t="shared" si="6"/>
        <v>-2.7499999999999997E-2</v>
      </c>
    </row>
    <row r="19" spans="1:22">
      <c r="A19" s="181">
        <v>14</v>
      </c>
      <c r="B19" s="170" t="s">
        <v>45</v>
      </c>
      <c r="C19" s="166" t="s">
        <v>46</v>
      </c>
      <c r="D19" s="51">
        <v>193729894.91</v>
      </c>
      <c r="E19" s="52">
        <f t="shared" si="0"/>
        <v>2.0623693758143025E-3</v>
      </c>
      <c r="F19" s="51">
        <v>2.09</v>
      </c>
      <c r="G19" s="51">
        <v>2.17</v>
      </c>
      <c r="H19" s="53">
        <v>25</v>
      </c>
      <c r="I19" s="75">
        <v>1.5299999999999999E-2</v>
      </c>
      <c r="J19" s="75">
        <v>1.38E-2</v>
      </c>
      <c r="K19" s="51">
        <v>191917279.11000001</v>
      </c>
      <c r="L19" s="52">
        <f t="shared" si="1"/>
        <v>1.9715513758637804E-3</v>
      </c>
      <c r="M19" s="51">
        <v>2.0699999999999998</v>
      </c>
      <c r="N19" s="51">
        <v>2.15</v>
      </c>
      <c r="O19" s="53">
        <v>25</v>
      </c>
      <c r="P19" s="75">
        <v>-1.17E-2</v>
      </c>
      <c r="Q19" s="75">
        <v>4.1999999999999997E-3</v>
      </c>
      <c r="R19" s="80">
        <f t="shared" si="2"/>
        <v>-9.3564072846994469E-3</v>
      </c>
      <c r="S19" s="80">
        <f t="shared" si="3"/>
        <v>-9.2165898617511607E-3</v>
      </c>
      <c r="T19" s="80">
        <f t="shared" si="4"/>
        <v>0</v>
      </c>
      <c r="U19" s="81">
        <f t="shared" si="5"/>
        <v>-2.7E-2</v>
      </c>
      <c r="V19" s="82">
        <f t="shared" si="6"/>
        <v>-9.6000000000000009E-3</v>
      </c>
    </row>
    <row r="20" spans="1:22">
      <c r="A20" s="181">
        <v>15</v>
      </c>
      <c r="B20" s="170" t="s">
        <v>47</v>
      </c>
      <c r="C20" s="166" t="s">
        <v>48</v>
      </c>
      <c r="D20" s="159">
        <v>8579177755.6099997</v>
      </c>
      <c r="E20" s="52">
        <f t="shared" si="0"/>
        <v>9.1330424150888448E-2</v>
      </c>
      <c r="F20" s="51">
        <v>52.33</v>
      </c>
      <c r="G20" s="51">
        <v>52.37</v>
      </c>
      <c r="H20" s="53">
        <v>14246</v>
      </c>
      <c r="I20" s="75">
        <v>2.64E-2</v>
      </c>
      <c r="J20" s="75">
        <v>0.10249999999999999</v>
      </c>
      <c r="K20" s="159">
        <v>9218416959.9799995</v>
      </c>
      <c r="L20" s="52">
        <f t="shared" si="1"/>
        <v>9.4700084979412236E-2</v>
      </c>
      <c r="M20" s="51">
        <v>52.03</v>
      </c>
      <c r="N20" s="51">
        <v>52.1</v>
      </c>
      <c r="O20" s="53">
        <v>14246</v>
      </c>
      <c r="P20" s="75">
        <v>-6.3E-3</v>
      </c>
      <c r="Q20" s="75">
        <v>9.6199999999999994E-2</v>
      </c>
      <c r="R20" s="80">
        <f t="shared" si="2"/>
        <v>7.4510544317839295E-2</v>
      </c>
      <c r="S20" s="80">
        <f t="shared" si="3"/>
        <v>-5.1556234485391639E-3</v>
      </c>
      <c r="T20" s="80">
        <f t="shared" si="4"/>
        <v>0</v>
      </c>
      <c r="U20" s="81">
        <f t="shared" si="5"/>
        <v>-3.27E-2</v>
      </c>
      <c r="V20" s="82">
        <f t="shared" si="6"/>
        <v>-6.3E-3</v>
      </c>
    </row>
    <row r="21" spans="1:22" ht="12.75" customHeight="1">
      <c r="A21" s="181">
        <v>16</v>
      </c>
      <c r="B21" s="170" t="s">
        <v>49</v>
      </c>
      <c r="C21" s="166" t="s">
        <v>50</v>
      </c>
      <c r="D21" s="51">
        <v>1961017521.8599999</v>
      </c>
      <c r="E21" s="52">
        <f t="shared" si="0"/>
        <v>2.087619200123025E-2</v>
      </c>
      <c r="F21" s="51">
        <v>13464.61</v>
      </c>
      <c r="G21" s="51">
        <v>13624.54</v>
      </c>
      <c r="H21" s="53">
        <v>38</v>
      </c>
      <c r="I21" s="75">
        <v>9.1000000000000004E-3</v>
      </c>
      <c r="J21" s="75">
        <v>5.9299999999999999E-2</v>
      </c>
      <c r="K21" s="51">
        <v>1876867155.3399999</v>
      </c>
      <c r="L21" s="52">
        <f t="shared" si="1"/>
        <v>1.9280911232089824E-2</v>
      </c>
      <c r="M21" s="51">
        <v>13370.45</v>
      </c>
      <c r="N21" s="51">
        <v>13534.52</v>
      </c>
      <c r="O21" s="53">
        <v>40</v>
      </c>
      <c r="P21" s="75">
        <v>-6.6E-3</v>
      </c>
      <c r="Q21" s="75">
        <v>5.2299999999999999E-2</v>
      </c>
      <c r="R21" s="80">
        <f t="shared" si="2"/>
        <v>-4.2911583186765433E-2</v>
      </c>
      <c r="S21" s="80">
        <f t="shared" si="3"/>
        <v>-6.6071955456845095E-3</v>
      </c>
      <c r="T21" s="80">
        <f t="shared" si="4"/>
        <v>5.2631578947368418E-2</v>
      </c>
      <c r="U21" s="81">
        <f t="shared" si="5"/>
        <v>-1.5699999999999999E-2</v>
      </c>
      <c r="V21" s="82">
        <f t="shared" si="6"/>
        <v>-6.9999999999999993E-3</v>
      </c>
    </row>
    <row r="22" spans="1:22">
      <c r="A22" s="181">
        <v>17</v>
      </c>
      <c r="B22" s="170" t="s">
        <v>51</v>
      </c>
      <c r="C22" s="166" t="s">
        <v>50</v>
      </c>
      <c r="D22" s="51">
        <v>28797442838.400002</v>
      </c>
      <c r="E22" s="52">
        <f t="shared" si="0"/>
        <v>0.30656582061983773</v>
      </c>
      <c r="F22" s="51">
        <v>45165.58</v>
      </c>
      <c r="G22" s="51">
        <v>45750.21</v>
      </c>
      <c r="H22" s="53">
        <v>21006</v>
      </c>
      <c r="I22" s="75">
        <v>1.2999999999999999E-2</v>
      </c>
      <c r="J22" s="75">
        <v>5.7099999999999998E-2</v>
      </c>
      <c r="K22" s="51">
        <v>29548320656.91</v>
      </c>
      <c r="L22" s="52">
        <f t="shared" si="1"/>
        <v>0.30354761445010292</v>
      </c>
      <c r="M22" s="51">
        <v>45124.62</v>
      </c>
      <c r="N22" s="51">
        <v>45692.63</v>
      </c>
      <c r="O22" s="53">
        <v>21395</v>
      </c>
      <c r="P22" s="75">
        <v>-1.2999999999999999E-3</v>
      </c>
      <c r="Q22" s="75">
        <v>5.5800000000000002E-2</v>
      </c>
      <c r="R22" s="80">
        <f t="shared" si="2"/>
        <v>2.6074461636181771E-2</v>
      </c>
      <c r="S22" s="80">
        <f t="shared" si="3"/>
        <v>-1.2585734579142205E-3</v>
      </c>
      <c r="T22" s="80">
        <f t="shared" si="4"/>
        <v>1.8518518518518517E-2</v>
      </c>
      <c r="U22" s="81">
        <f t="shared" si="5"/>
        <v>-1.43E-2</v>
      </c>
      <c r="V22" s="82">
        <f t="shared" si="6"/>
        <v>-1.2999999999999956E-3</v>
      </c>
    </row>
    <row r="23" spans="1:22">
      <c r="A23" s="184">
        <v>18</v>
      </c>
      <c r="B23" s="166" t="s">
        <v>52</v>
      </c>
      <c r="C23" s="166" t="s">
        <v>53</v>
      </c>
      <c r="D23" s="51">
        <v>7571126408.8100004</v>
      </c>
      <c r="E23" s="52">
        <f t="shared" si="0"/>
        <v>8.0599121024675022E-2</v>
      </c>
      <c r="F23" s="51">
        <v>2.0590999999999999</v>
      </c>
      <c r="G23" s="59">
        <v>2.0796000000000001</v>
      </c>
      <c r="H23" s="53">
        <v>6918</v>
      </c>
      <c r="I23" s="75">
        <v>1.78E-2</v>
      </c>
      <c r="J23" s="75">
        <v>7.1199999999999999E-2</v>
      </c>
      <c r="K23" s="51">
        <v>7807872316.3199997</v>
      </c>
      <c r="L23" s="52">
        <f t="shared" si="1"/>
        <v>8.0209668869817369E-2</v>
      </c>
      <c r="M23" s="51">
        <v>2.0467</v>
      </c>
      <c r="N23" s="59">
        <v>2.0667</v>
      </c>
      <c r="O23" s="53">
        <v>6962</v>
      </c>
      <c r="P23" s="75">
        <v>-6.0000000000000001E-3</v>
      </c>
      <c r="Q23" s="75">
        <v>6.4699999999999994E-2</v>
      </c>
      <c r="R23" s="80">
        <f t="shared" ref="R23:R24" si="12">((K23-D23)/D23)</f>
        <v>3.1269575321647557E-2</v>
      </c>
      <c r="S23" s="80">
        <f t="shared" ref="S23:S24" si="13">((N23-G23)/G23)</f>
        <v>-6.2031159838431106E-3</v>
      </c>
      <c r="T23" s="80">
        <f t="shared" ref="T23:T24" si="14">((O23-H23)/H23)</f>
        <v>6.3602197166811219E-3</v>
      </c>
      <c r="U23" s="81">
        <f t="shared" ref="U23:U24" si="15">P23-I23</f>
        <v>-2.3800000000000002E-2</v>
      </c>
      <c r="V23" s="82">
        <f t="shared" ref="V23:V24" si="16">Q23-J23</f>
        <v>-6.5000000000000058E-3</v>
      </c>
    </row>
    <row r="24" spans="1:22">
      <c r="A24" s="184">
        <v>19</v>
      </c>
      <c r="B24" s="170" t="s">
        <v>328</v>
      </c>
      <c r="C24" s="166" t="s">
        <v>125</v>
      </c>
      <c r="D24" s="51">
        <v>256385280.12</v>
      </c>
      <c r="E24" s="52">
        <f t="shared" si="0"/>
        <v>2.7293730292617105E-3</v>
      </c>
      <c r="F24" s="51">
        <v>1.1200000000000001</v>
      </c>
      <c r="G24" s="59">
        <v>1.1299999999999999</v>
      </c>
      <c r="H24" s="53">
        <v>153</v>
      </c>
      <c r="I24" s="75">
        <v>3.3099999999999997E-2</v>
      </c>
      <c r="J24" s="75">
        <v>9.8599999999999993E-2</v>
      </c>
      <c r="K24" s="51">
        <v>346734758.85000002</v>
      </c>
      <c r="L24" s="52">
        <f t="shared" si="1"/>
        <v>3.5619793800781008E-3</v>
      </c>
      <c r="M24" s="51">
        <v>1.1200000000000001</v>
      </c>
      <c r="N24" s="59">
        <v>1.1399999999999999</v>
      </c>
      <c r="O24" s="53">
        <v>190</v>
      </c>
      <c r="P24" s="75">
        <v>6.6E-3</v>
      </c>
      <c r="Q24" s="75">
        <v>0.1057</v>
      </c>
      <c r="R24" s="80">
        <f t="shared" si="12"/>
        <v>0.35239729319761393</v>
      </c>
      <c r="S24" s="80">
        <f t="shared" si="13"/>
        <v>8.8495575221239024E-3</v>
      </c>
      <c r="T24" s="80">
        <f t="shared" si="14"/>
        <v>0.24183006535947713</v>
      </c>
      <c r="U24" s="81">
        <f t="shared" si="15"/>
        <v>-2.6499999999999996E-2</v>
      </c>
      <c r="V24" s="82">
        <f t="shared" si="16"/>
        <v>7.1000000000000091E-3</v>
      </c>
    </row>
    <row r="25" spans="1:22">
      <c r="A25" s="181">
        <v>20</v>
      </c>
      <c r="B25" s="166" t="s">
        <v>54</v>
      </c>
      <c r="C25" s="166" t="s">
        <v>55</v>
      </c>
      <c r="D25" s="51">
        <v>10583036092.77</v>
      </c>
      <c r="E25" s="52">
        <f>(D25/$D$26)</f>
        <v>0.11266268198310821</v>
      </c>
      <c r="F25" s="51">
        <v>233.37</v>
      </c>
      <c r="G25" s="59">
        <v>237.44</v>
      </c>
      <c r="H25" s="53">
        <v>79</v>
      </c>
      <c r="I25" s="75">
        <v>3.5499999999999997E-2</v>
      </c>
      <c r="J25" s="75">
        <v>0.1052</v>
      </c>
      <c r="K25" s="51">
        <v>10652406879.01</v>
      </c>
      <c r="L25" s="52">
        <f t="shared" si="1"/>
        <v>0.10943135259090202</v>
      </c>
      <c r="M25" s="51">
        <v>231.86</v>
      </c>
      <c r="N25" s="59">
        <v>235.85</v>
      </c>
      <c r="O25" s="53">
        <v>84</v>
      </c>
      <c r="P25" s="75">
        <v>-6.6E-3</v>
      </c>
      <c r="Q25" s="75">
        <v>9.7900000000000001E-2</v>
      </c>
      <c r="R25" s="80">
        <f t="shared" si="2"/>
        <v>6.5549040589015593E-3</v>
      </c>
      <c r="S25" s="80">
        <f t="shared" si="3"/>
        <v>-6.6964285714285858E-3</v>
      </c>
      <c r="T25" s="80">
        <f t="shared" si="4"/>
        <v>6.3291139240506333E-2</v>
      </c>
      <c r="U25" s="81">
        <f t="shared" si="5"/>
        <v>-4.2099999999999999E-2</v>
      </c>
      <c r="V25" s="82">
        <f t="shared" si="6"/>
        <v>-7.3000000000000009E-3</v>
      </c>
    </row>
    <row r="26" spans="1:22">
      <c r="A26" s="60"/>
      <c r="B26" s="61"/>
      <c r="C26" s="62" t="s">
        <v>56</v>
      </c>
      <c r="D26" s="63">
        <f>SUM(D6:D25)</f>
        <v>93935595234.247498</v>
      </c>
      <c r="E26" s="64">
        <f>(D26/$D$231)</f>
        <v>1.1699039218826821E-2</v>
      </c>
      <c r="F26" s="65"/>
      <c r="G26" s="66"/>
      <c r="H26" s="67">
        <f>SUM(H6:H25)</f>
        <v>70598</v>
      </c>
      <c r="I26" s="77"/>
      <c r="J26" s="53">
        <v>0</v>
      </c>
      <c r="K26" s="63">
        <f>SUM(K6:K25)</f>
        <v>97343280758.238815</v>
      </c>
      <c r="L26" s="64">
        <f>(K26/$K$231)</f>
        <v>1.2083125046563831E-2</v>
      </c>
      <c r="M26" s="65"/>
      <c r="N26" s="66"/>
      <c r="O26" s="67">
        <f>SUM(O6:O25)</f>
        <v>71500</v>
      </c>
      <c r="P26" s="77"/>
      <c r="Q26" s="67"/>
      <c r="R26" s="80">
        <f t="shared" si="2"/>
        <v>3.6276828985791397E-2</v>
      </c>
      <c r="S26" s="80" t="e">
        <f t="shared" si="3"/>
        <v>#DIV/0!</v>
      </c>
      <c r="T26" s="80">
        <f t="shared" si="4"/>
        <v>1.2776565908382673E-2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ht="15" customHeight="1">
      <c r="A28" s="193" t="s">
        <v>57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</row>
    <row r="29" spans="1:22">
      <c r="A29" s="180">
        <v>21</v>
      </c>
      <c r="B29" s="170" t="s">
        <v>58</v>
      </c>
      <c r="C29" s="166" t="s">
        <v>20</v>
      </c>
      <c r="D29" s="69">
        <v>6003867860.5200005</v>
      </c>
      <c r="E29" s="52">
        <f t="shared" ref="E29:E34" si="17">(D29/$K$72)</f>
        <v>1.1752660276699405E-3</v>
      </c>
      <c r="F29" s="59">
        <v>100</v>
      </c>
      <c r="G29" s="59">
        <v>100</v>
      </c>
      <c r="H29" s="53">
        <v>893</v>
      </c>
      <c r="I29" s="75">
        <v>0.15340000000000001</v>
      </c>
      <c r="J29" s="75">
        <v>0.15340000000000001</v>
      </c>
      <c r="K29" s="69">
        <v>5957953833.4499998</v>
      </c>
      <c r="L29" s="52">
        <f t="shared" ref="L29:L34" si="18">(K29/$K$72)</f>
        <v>1.1662782888551464E-3</v>
      </c>
      <c r="M29" s="59">
        <v>100</v>
      </c>
      <c r="N29" s="59">
        <v>100</v>
      </c>
      <c r="O29" s="53">
        <v>893</v>
      </c>
      <c r="P29" s="75">
        <v>0.13950000000000001</v>
      </c>
      <c r="Q29" s="75">
        <v>0.13950000000000001</v>
      </c>
      <c r="R29" s="80">
        <f>((K29-D29)/D29)</f>
        <v>-7.6474079937568764E-3</v>
      </c>
      <c r="S29" s="80">
        <f>((N29-G29)/G29)</f>
        <v>0</v>
      </c>
      <c r="T29" s="80">
        <f>((O29-H29)/H29)</f>
        <v>0</v>
      </c>
      <c r="U29" s="80">
        <f>P29-I29</f>
        <v>-1.3899999999999996E-2</v>
      </c>
      <c r="V29" s="127">
        <f>Q29-J29</f>
        <v>-1.3899999999999996E-2</v>
      </c>
    </row>
    <row r="30" spans="1:22">
      <c r="A30" s="180">
        <v>22</v>
      </c>
      <c r="B30" s="170" t="s">
        <v>59</v>
      </c>
      <c r="C30" s="166" t="s">
        <v>60</v>
      </c>
      <c r="D30" s="69">
        <v>34826152555.620003</v>
      </c>
      <c r="E30" s="52">
        <f t="shared" si="17"/>
        <v>6.8172709533160644E-3</v>
      </c>
      <c r="F30" s="59">
        <v>100</v>
      </c>
      <c r="G30" s="59">
        <v>100</v>
      </c>
      <c r="H30" s="53">
        <v>4014</v>
      </c>
      <c r="I30" s="75">
        <v>0.17841499999999999</v>
      </c>
      <c r="J30" s="75">
        <v>0.17841499999999999</v>
      </c>
      <c r="K30" s="69">
        <v>35308755128.309998</v>
      </c>
      <c r="L30" s="52">
        <f t="shared" si="18"/>
        <v>6.9117411218349864E-3</v>
      </c>
      <c r="M30" s="59">
        <v>100</v>
      </c>
      <c r="N30" s="59">
        <v>100</v>
      </c>
      <c r="O30" s="53">
        <v>4072</v>
      </c>
      <c r="P30" s="75">
        <v>0.17340900000000001</v>
      </c>
      <c r="Q30" s="75">
        <v>0.17340900000000001</v>
      </c>
      <c r="R30" s="80">
        <f t="shared" ref="R30:R72" si="19">((K30-D30)/D30)</f>
        <v>1.3857475985015627E-2</v>
      </c>
      <c r="S30" s="80">
        <f t="shared" ref="S30:S72" si="20">((N30-G30)/G30)</f>
        <v>0</v>
      </c>
      <c r="T30" s="80">
        <f t="shared" ref="T30:T72" si="21">((O30-H30)/H30)</f>
        <v>1.4449427005480818E-2</v>
      </c>
      <c r="U30" s="81">
        <f t="shared" ref="U30:U72" si="22">P30-I30</f>
        <v>-5.0059999999999827E-3</v>
      </c>
      <c r="V30" s="82">
        <f t="shared" ref="V30:V72" si="23">Q30-J30</f>
        <v>-5.0059999999999827E-3</v>
      </c>
    </row>
    <row r="31" spans="1:22">
      <c r="A31" s="180">
        <v>23</v>
      </c>
      <c r="B31" s="170" t="s">
        <v>61</v>
      </c>
      <c r="C31" s="166" t="s">
        <v>22</v>
      </c>
      <c r="D31" s="69">
        <v>3270516574.29</v>
      </c>
      <c r="E31" s="52">
        <f t="shared" si="17"/>
        <v>6.4020846427516168E-4</v>
      </c>
      <c r="F31" s="59">
        <v>100</v>
      </c>
      <c r="G31" s="59">
        <v>100</v>
      </c>
      <c r="H31" s="53">
        <v>2353</v>
      </c>
      <c r="I31" s="75">
        <v>0.16569999999999999</v>
      </c>
      <c r="J31" s="75">
        <v>0.16569999999999999</v>
      </c>
      <c r="K31" s="69">
        <v>3213356608.0599999</v>
      </c>
      <c r="L31" s="52">
        <f t="shared" si="18"/>
        <v>6.2901931621035703E-4</v>
      </c>
      <c r="M31" s="59">
        <v>100</v>
      </c>
      <c r="N31" s="59">
        <v>100</v>
      </c>
      <c r="O31" s="53">
        <v>2367</v>
      </c>
      <c r="P31" s="75">
        <v>0.18</v>
      </c>
      <c r="Q31" s="75">
        <v>0.18</v>
      </c>
      <c r="R31" s="80">
        <f t="shared" si="19"/>
        <v>-1.7477351033577605E-2</v>
      </c>
      <c r="S31" s="80">
        <f t="shared" si="20"/>
        <v>0</v>
      </c>
      <c r="T31" s="80">
        <f t="shared" si="21"/>
        <v>5.9498512537186571E-3</v>
      </c>
      <c r="U31" s="81">
        <f t="shared" si="22"/>
        <v>1.4300000000000007E-2</v>
      </c>
      <c r="V31" s="82">
        <f t="shared" si="23"/>
        <v>1.4300000000000007E-2</v>
      </c>
    </row>
    <row r="32" spans="1:22">
      <c r="A32" s="180">
        <v>24</v>
      </c>
      <c r="B32" s="170" t="s">
        <v>62</v>
      </c>
      <c r="C32" s="166" t="s">
        <v>24</v>
      </c>
      <c r="D32" s="69">
        <v>359371627896.45001</v>
      </c>
      <c r="E32" s="52">
        <f t="shared" si="17"/>
        <v>7.0347528524480216E-2</v>
      </c>
      <c r="F32" s="59">
        <v>1</v>
      </c>
      <c r="G32" s="59">
        <v>1</v>
      </c>
      <c r="H32" s="53">
        <v>78875</v>
      </c>
      <c r="I32" s="75">
        <v>0.1789</v>
      </c>
      <c r="J32" s="75">
        <v>0.1789</v>
      </c>
      <c r="K32" s="69">
        <v>355852828948.46002</v>
      </c>
      <c r="L32" s="52">
        <f t="shared" si="18"/>
        <v>6.9658718417754256E-2</v>
      </c>
      <c r="M32" s="59">
        <v>1</v>
      </c>
      <c r="N32" s="59">
        <v>1</v>
      </c>
      <c r="O32" s="53">
        <v>79165</v>
      </c>
      <c r="P32" s="75">
        <v>0.17829999999999999</v>
      </c>
      <c r="Q32" s="75">
        <v>0.17829999999999999</v>
      </c>
      <c r="R32" s="80">
        <f t="shared" si="19"/>
        <v>-9.7915324272730385E-3</v>
      </c>
      <c r="S32" s="80">
        <f t="shared" si="20"/>
        <v>0</v>
      </c>
      <c r="T32" s="80">
        <f t="shared" si="21"/>
        <v>3.6767036450079237E-3</v>
      </c>
      <c r="U32" s="81">
        <f t="shared" si="22"/>
        <v>-6.0000000000001719E-4</v>
      </c>
      <c r="V32" s="82">
        <f t="shared" si="23"/>
        <v>-6.0000000000001719E-4</v>
      </c>
    </row>
    <row r="33" spans="1:22">
      <c r="A33" s="180">
        <v>25</v>
      </c>
      <c r="B33" s="170" t="s">
        <v>63</v>
      </c>
      <c r="C33" s="166" t="s">
        <v>64</v>
      </c>
      <c r="D33" s="69">
        <v>1936804166.0899999</v>
      </c>
      <c r="E33" s="52">
        <f t="shared" si="17"/>
        <v>3.7913228464325944E-4</v>
      </c>
      <c r="F33" s="59">
        <v>1</v>
      </c>
      <c r="G33" s="59">
        <v>1</v>
      </c>
      <c r="H33" s="53">
        <v>300</v>
      </c>
      <c r="I33" s="75">
        <v>0.16200000000000001</v>
      </c>
      <c r="J33" s="75">
        <v>0.16200000000000001</v>
      </c>
      <c r="K33" s="69">
        <v>1876181501.3699999</v>
      </c>
      <c r="L33" s="52">
        <f t="shared" si="18"/>
        <v>3.6726530821948615E-4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-3.1300358488170969E-2</v>
      </c>
      <c r="S33" s="80">
        <f t="shared" si="20"/>
        <v>0</v>
      </c>
      <c r="T33" s="80">
        <f t="shared" si="21"/>
        <v>0</v>
      </c>
      <c r="U33" s="81">
        <f t="shared" si="22"/>
        <v>0</v>
      </c>
      <c r="V33" s="82">
        <f t="shared" si="23"/>
        <v>0</v>
      </c>
    </row>
    <row r="34" spans="1:22">
      <c r="A34" s="180">
        <v>26</v>
      </c>
      <c r="B34" s="170" t="s">
        <v>65</v>
      </c>
      <c r="C34" s="166" t="s">
        <v>26</v>
      </c>
      <c r="D34" s="69">
        <v>166285845777.48001</v>
      </c>
      <c r="E34" s="52">
        <f t="shared" si="17"/>
        <v>3.2550700642453662E-2</v>
      </c>
      <c r="F34" s="59">
        <v>1</v>
      </c>
      <c r="G34" s="59">
        <v>1</v>
      </c>
      <c r="H34" s="53">
        <v>38225</v>
      </c>
      <c r="I34" s="75">
        <v>0.15559999999999999</v>
      </c>
      <c r="J34" s="75">
        <v>0.15559999999999999</v>
      </c>
      <c r="K34" s="69">
        <v>167361210479.45001</v>
      </c>
      <c r="L34" s="52">
        <f t="shared" si="18"/>
        <v>3.2761204875881494E-2</v>
      </c>
      <c r="M34" s="59">
        <v>1</v>
      </c>
      <c r="N34" s="59">
        <v>1</v>
      </c>
      <c r="O34" s="53">
        <v>38335</v>
      </c>
      <c r="P34" s="75">
        <v>0.15329999999999999</v>
      </c>
      <c r="Q34" s="75">
        <v>0.15329999999999999</v>
      </c>
      <c r="R34" s="80">
        <f t="shared" si="19"/>
        <v>6.466964743403537E-3</v>
      </c>
      <c r="S34" s="80">
        <f t="shared" si="20"/>
        <v>0</v>
      </c>
      <c r="T34" s="80">
        <f t="shared" si="21"/>
        <v>2.8776978417266188E-3</v>
      </c>
      <c r="U34" s="81">
        <f t="shared" si="22"/>
        <v>-2.2999999999999965E-3</v>
      </c>
      <c r="V34" s="82">
        <f t="shared" si="23"/>
        <v>-2.2999999999999965E-3</v>
      </c>
    </row>
    <row r="35" spans="1:22">
      <c r="A35" s="180">
        <v>27</v>
      </c>
      <c r="B35" s="170" t="s">
        <v>66</v>
      </c>
      <c r="C35" s="166" t="s">
        <v>28</v>
      </c>
      <c r="D35" s="51">
        <v>17742174658.360001</v>
      </c>
      <c r="E35" s="52">
        <f t="shared" ref="E35" si="24">(D35/$D$26)</f>
        <v>0.18887594861262424</v>
      </c>
      <c r="F35" s="51">
        <v>1</v>
      </c>
      <c r="G35" s="51">
        <v>1</v>
      </c>
      <c r="H35" s="53">
        <v>1485</v>
      </c>
      <c r="I35" s="75">
        <v>0.17730000000000001</v>
      </c>
      <c r="J35" s="75">
        <v>0.17730000000000001</v>
      </c>
      <c r="K35" s="51">
        <v>17321830521.459999</v>
      </c>
      <c r="L35" s="52">
        <f t="shared" ref="L35" si="25">(K35/$K$26)</f>
        <v>0.17794582621968941</v>
      </c>
      <c r="M35" s="51">
        <v>1</v>
      </c>
      <c r="N35" s="51">
        <v>1</v>
      </c>
      <c r="O35" s="53">
        <v>1523</v>
      </c>
      <c r="P35" s="75">
        <v>0.1762</v>
      </c>
      <c r="Q35" s="75">
        <v>0.1762</v>
      </c>
      <c r="R35" s="80">
        <f t="shared" si="19"/>
        <v>-2.3691804696665975E-2</v>
      </c>
      <c r="S35" s="80">
        <f t="shared" si="20"/>
        <v>0</v>
      </c>
      <c r="T35" s="80">
        <f t="shared" si="21"/>
        <v>2.5589225589225589E-2</v>
      </c>
      <c r="U35" s="81">
        <f t="shared" si="22"/>
        <v>-1.1000000000000176E-3</v>
      </c>
      <c r="V35" s="82">
        <f t="shared" si="23"/>
        <v>-1.1000000000000176E-3</v>
      </c>
    </row>
    <row r="36" spans="1:22" ht="15" customHeight="1">
      <c r="A36" s="180">
        <v>28</v>
      </c>
      <c r="B36" s="170" t="s">
        <v>67</v>
      </c>
      <c r="C36" s="166" t="s">
        <v>48</v>
      </c>
      <c r="D36" s="69">
        <v>37310633666.199997</v>
      </c>
      <c r="E36" s="52">
        <f t="shared" ref="E36:E50" si="26">(D36/$K$72)</f>
        <v>7.3036118111575723E-3</v>
      </c>
      <c r="F36" s="59">
        <v>100</v>
      </c>
      <c r="G36" s="59">
        <v>100</v>
      </c>
      <c r="H36" s="53">
        <v>7311</v>
      </c>
      <c r="I36" s="75">
        <v>0.1759</v>
      </c>
      <c r="J36" s="75">
        <v>0.1759</v>
      </c>
      <c r="K36" s="69">
        <v>36751416350.290001</v>
      </c>
      <c r="L36" s="52">
        <f t="shared" ref="L36:L50" si="27">(K36/$K$72)</f>
        <v>7.1941441931582537E-3</v>
      </c>
      <c r="M36" s="59">
        <v>100</v>
      </c>
      <c r="N36" s="59">
        <v>100</v>
      </c>
      <c r="O36" s="53">
        <v>7311</v>
      </c>
      <c r="P36" s="75">
        <v>0.17499999999999999</v>
      </c>
      <c r="Q36" s="75">
        <v>0.17499999999999999</v>
      </c>
      <c r="R36" s="80">
        <f t="shared" si="19"/>
        <v>-1.4988148443498441E-2</v>
      </c>
      <c r="S36" s="80">
        <f t="shared" si="20"/>
        <v>0</v>
      </c>
      <c r="T36" s="80">
        <f t="shared" si="21"/>
        <v>0</v>
      </c>
      <c r="U36" s="81">
        <f t="shared" si="22"/>
        <v>-9.000000000000119E-4</v>
      </c>
      <c r="V36" s="82">
        <f t="shared" si="23"/>
        <v>-9.000000000000119E-4</v>
      </c>
    </row>
    <row r="37" spans="1:22" ht="15" customHeight="1">
      <c r="A37" s="180">
        <v>29</v>
      </c>
      <c r="B37" s="170" t="s">
        <v>68</v>
      </c>
      <c r="C37" s="166" t="s">
        <v>69</v>
      </c>
      <c r="D37" s="69">
        <v>2418756160.96</v>
      </c>
      <c r="E37" s="52">
        <f t="shared" si="26"/>
        <v>4.7347510159016841E-4</v>
      </c>
      <c r="F37" s="59">
        <v>1</v>
      </c>
      <c r="G37" s="59">
        <v>1</v>
      </c>
      <c r="H37" s="53">
        <v>613</v>
      </c>
      <c r="I37" s="75">
        <v>0.1633</v>
      </c>
      <c r="J37" s="75">
        <v>0.1633</v>
      </c>
      <c r="K37" s="69">
        <v>2441516813.4299998</v>
      </c>
      <c r="L37" s="52">
        <f t="shared" si="27"/>
        <v>4.779305330282074E-4</v>
      </c>
      <c r="M37" s="59">
        <v>1</v>
      </c>
      <c r="N37" s="59">
        <v>1</v>
      </c>
      <c r="O37" s="53">
        <v>623</v>
      </c>
      <c r="P37" s="75">
        <v>0.1633</v>
      </c>
      <c r="Q37" s="75">
        <v>0.1633</v>
      </c>
      <c r="R37" s="80">
        <f t="shared" si="19"/>
        <v>9.4100649074796063E-3</v>
      </c>
      <c r="S37" s="80">
        <f t="shared" si="20"/>
        <v>0</v>
      </c>
      <c r="T37" s="80">
        <f t="shared" si="21"/>
        <v>1.6313213703099509E-2</v>
      </c>
      <c r="U37" s="81">
        <f t="shared" si="22"/>
        <v>0</v>
      </c>
      <c r="V37" s="82">
        <f t="shared" si="23"/>
        <v>0</v>
      </c>
    </row>
    <row r="38" spans="1:22">
      <c r="A38" s="180">
        <v>30</v>
      </c>
      <c r="B38" s="170" t="s">
        <v>70</v>
      </c>
      <c r="C38" s="166" t="s">
        <v>71</v>
      </c>
      <c r="D38" s="69">
        <v>90240663158.429993</v>
      </c>
      <c r="E38" s="52">
        <f t="shared" si="26"/>
        <v>1.7664743493425835E-2</v>
      </c>
      <c r="F38" s="59">
        <v>100</v>
      </c>
      <c r="G38" s="59">
        <v>100</v>
      </c>
      <c r="H38" s="53">
        <v>5615</v>
      </c>
      <c r="I38" s="75">
        <v>0.15859999999999999</v>
      </c>
      <c r="J38" s="75">
        <v>0.15859999999999999</v>
      </c>
      <c r="K38" s="69">
        <v>90158250263.139999</v>
      </c>
      <c r="L38" s="52">
        <f t="shared" si="27"/>
        <v>1.7648611047088505E-2</v>
      </c>
      <c r="M38" s="59">
        <v>100</v>
      </c>
      <c r="N38" s="59">
        <v>100</v>
      </c>
      <c r="O38" s="53">
        <v>5646</v>
      </c>
      <c r="P38" s="75">
        <v>0.159</v>
      </c>
      <c r="Q38" s="75">
        <v>0.159</v>
      </c>
      <c r="R38" s="80">
        <f t="shared" si="19"/>
        <v>-9.1325675594056783E-4</v>
      </c>
      <c r="S38" s="80">
        <f t="shared" si="20"/>
        <v>0</v>
      </c>
      <c r="T38" s="80">
        <f t="shared" si="21"/>
        <v>5.5209260908281391E-3</v>
      </c>
      <c r="U38" s="81">
        <f t="shared" si="22"/>
        <v>4.0000000000001146E-4</v>
      </c>
      <c r="V38" s="82">
        <f t="shared" si="23"/>
        <v>4.0000000000001146E-4</v>
      </c>
    </row>
    <row r="39" spans="1:22">
      <c r="A39" s="180">
        <v>31</v>
      </c>
      <c r="B39" s="170" t="s">
        <v>72</v>
      </c>
      <c r="C39" s="166" t="s">
        <v>73</v>
      </c>
      <c r="D39" s="69">
        <v>37487738916.480003</v>
      </c>
      <c r="E39" s="52">
        <f t="shared" si="26"/>
        <v>7.3382804262589786E-3</v>
      </c>
      <c r="F39" s="59">
        <v>100</v>
      </c>
      <c r="G39" s="59">
        <v>100</v>
      </c>
      <c r="H39" s="53">
        <v>5584</v>
      </c>
      <c r="I39" s="75">
        <v>0.16839999999999999</v>
      </c>
      <c r="J39" s="75">
        <v>0.16839999999999999</v>
      </c>
      <c r="K39" s="69">
        <v>38282700722.459999</v>
      </c>
      <c r="L39" s="52">
        <f t="shared" si="27"/>
        <v>7.493895377415234E-3</v>
      </c>
      <c r="M39" s="59">
        <v>100</v>
      </c>
      <c r="N39" s="59">
        <v>100</v>
      </c>
      <c r="O39" s="53">
        <v>5606</v>
      </c>
      <c r="P39" s="75">
        <v>0.16420000000000001</v>
      </c>
      <c r="Q39" s="75">
        <v>0.16420000000000001</v>
      </c>
      <c r="R39" s="80">
        <f t="shared" si="19"/>
        <v>2.1205915026006602E-2</v>
      </c>
      <c r="S39" s="80">
        <f t="shared" si="20"/>
        <v>0</v>
      </c>
      <c r="T39" s="80">
        <f t="shared" si="21"/>
        <v>3.9398280802292263E-3</v>
      </c>
      <c r="U39" s="81">
        <f t="shared" si="22"/>
        <v>-4.1999999999999815E-3</v>
      </c>
      <c r="V39" s="82">
        <f t="shared" si="23"/>
        <v>-4.1999999999999815E-3</v>
      </c>
    </row>
    <row r="40" spans="1:22">
      <c r="A40" s="180">
        <v>32</v>
      </c>
      <c r="B40" s="170" t="s">
        <v>74</v>
      </c>
      <c r="C40" s="166" t="s">
        <v>75</v>
      </c>
      <c r="D40" s="69">
        <v>78820774554.419998</v>
      </c>
      <c r="E40" s="52">
        <f t="shared" si="26"/>
        <v>1.5429283382065954E-2</v>
      </c>
      <c r="F40" s="59">
        <v>1</v>
      </c>
      <c r="G40" s="59">
        <v>1</v>
      </c>
      <c r="H40" s="53">
        <v>14071</v>
      </c>
      <c r="I40" s="75">
        <v>0.1653</v>
      </c>
      <c r="J40" s="75">
        <v>0.1653</v>
      </c>
      <c r="K40" s="69">
        <v>79741408932.380005</v>
      </c>
      <c r="L40" s="52">
        <f t="shared" si="27"/>
        <v>1.5609498925355365E-2</v>
      </c>
      <c r="M40" s="59">
        <v>1</v>
      </c>
      <c r="N40" s="59">
        <v>1</v>
      </c>
      <c r="O40" s="53">
        <v>14239</v>
      </c>
      <c r="P40" s="75">
        <v>0.1681</v>
      </c>
      <c r="Q40" s="75">
        <v>0.1681</v>
      </c>
      <c r="R40" s="80">
        <f t="shared" si="19"/>
        <v>1.1680098085364231E-2</v>
      </c>
      <c r="S40" s="80">
        <f t="shared" si="20"/>
        <v>0</v>
      </c>
      <c r="T40" s="80">
        <f t="shared" si="21"/>
        <v>1.1939449932485253E-2</v>
      </c>
      <c r="U40" s="81">
        <f t="shared" si="22"/>
        <v>2.7999999999999969E-3</v>
      </c>
      <c r="V40" s="82">
        <f t="shared" si="23"/>
        <v>2.7999999999999969E-3</v>
      </c>
    </row>
    <row r="41" spans="1:22">
      <c r="A41" s="180">
        <v>33</v>
      </c>
      <c r="B41" s="170" t="s">
        <v>76</v>
      </c>
      <c r="C41" s="166" t="s">
        <v>77</v>
      </c>
      <c r="D41" s="69">
        <v>780218069.25</v>
      </c>
      <c r="E41" s="52">
        <v>0</v>
      </c>
      <c r="F41" s="59">
        <v>1000</v>
      </c>
      <c r="G41" s="59">
        <v>1000</v>
      </c>
      <c r="H41" s="53">
        <v>58</v>
      </c>
      <c r="I41" s="75">
        <v>0.19089999999999999</v>
      </c>
      <c r="J41" s="75">
        <v>0.19089999999999999</v>
      </c>
      <c r="K41" s="69">
        <v>843546977.20000005</v>
      </c>
      <c r="L41" s="52">
        <f t="shared" si="27"/>
        <v>1.6512557039537583E-4</v>
      </c>
      <c r="M41" s="59">
        <v>1000</v>
      </c>
      <c r="N41" s="59">
        <v>1000</v>
      </c>
      <c r="O41" s="53">
        <v>60</v>
      </c>
      <c r="P41" s="75">
        <v>1.61E-2</v>
      </c>
      <c r="Q41" s="75">
        <v>0.18870000000000001</v>
      </c>
      <c r="R41" s="80">
        <f t="shared" si="19"/>
        <v>8.1168214946465173E-2</v>
      </c>
      <c r="S41" s="80">
        <f t="shared" si="20"/>
        <v>0</v>
      </c>
      <c r="T41" s="80">
        <f t="shared" si="21"/>
        <v>3.4482758620689655E-2</v>
      </c>
      <c r="U41" s="81">
        <f t="shared" si="22"/>
        <v>-0.17479999999999998</v>
      </c>
      <c r="V41" s="82">
        <f t="shared" si="23"/>
        <v>-2.1999999999999797E-3</v>
      </c>
    </row>
    <row r="42" spans="1:22">
      <c r="A42" s="180">
        <v>34</v>
      </c>
      <c r="B42" s="170" t="s">
        <v>78</v>
      </c>
      <c r="C42" s="166" t="s">
        <v>79</v>
      </c>
      <c r="D42" s="69">
        <v>86741089580.960007</v>
      </c>
      <c r="E42" s="52">
        <f t="shared" si="26"/>
        <v>1.6979696781459122E-2</v>
      </c>
      <c r="F42" s="70">
        <v>100</v>
      </c>
      <c r="G42" s="70">
        <v>100</v>
      </c>
      <c r="H42" s="53">
        <v>4546</v>
      </c>
      <c r="I42" s="75">
        <v>0.1525</v>
      </c>
      <c r="J42" s="75">
        <v>0.1525</v>
      </c>
      <c r="K42" s="69">
        <v>87104040717.449997</v>
      </c>
      <c r="L42" s="52">
        <f t="shared" si="27"/>
        <v>1.7050745004093381E-2</v>
      </c>
      <c r="M42" s="70">
        <v>100</v>
      </c>
      <c r="N42" s="70">
        <v>100</v>
      </c>
      <c r="O42" s="53">
        <v>4546</v>
      </c>
      <c r="P42" s="75">
        <v>0.15129999999999999</v>
      </c>
      <c r="Q42" s="75">
        <v>0.15129999999999999</v>
      </c>
      <c r="R42" s="80">
        <f t="shared" si="19"/>
        <v>4.1843045578903977E-3</v>
      </c>
      <c r="S42" s="80">
        <f t="shared" si="20"/>
        <v>0</v>
      </c>
      <c r="T42" s="80">
        <f t="shared" si="21"/>
        <v>0</v>
      </c>
      <c r="U42" s="81">
        <f t="shared" si="22"/>
        <v>-1.2000000000000066E-3</v>
      </c>
      <c r="V42" s="82">
        <f t="shared" si="23"/>
        <v>-1.2000000000000066E-3</v>
      </c>
    </row>
    <row r="43" spans="1:22">
      <c r="A43" s="180">
        <v>35</v>
      </c>
      <c r="B43" s="170" t="s">
        <v>80</v>
      </c>
      <c r="C43" s="166" t="s">
        <v>79</v>
      </c>
      <c r="D43" s="69">
        <v>9742366780.3299999</v>
      </c>
      <c r="E43" s="52">
        <f t="shared" si="26"/>
        <v>1.9070827293374746E-3</v>
      </c>
      <c r="F43" s="70">
        <v>1000000</v>
      </c>
      <c r="G43" s="70">
        <v>1000000</v>
      </c>
      <c r="H43" s="53">
        <v>45</v>
      </c>
      <c r="I43" s="75">
        <v>0.16489999999999999</v>
      </c>
      <c r="J43" s="75">
        <v>0.16489999999999999</v>
      </c>
      <c r="K43" s="69">
        <v>9587967430.2399998</v>
      </c>
      <c r="L43" s="52">
        <f t="shared" si="27"/>
        <v>1.8768588278341896E-3</v>
      </c>
      <c r="M43" s="70">
        <v>1000000</v>
      </c>
      <c r="N43" s="70">
        <v>1000000</v>
      </c>
      <c r="O43" s="53">
        <v>45</v>
      </c>
      <c r="P43" s="75">
        <v>0.16089999999999999</v>
      </c>
      <c r="Q43" s="75">
        <v>0.16089999999999999</v>
      </c>
      <c r="R43" s="80">
        <f t="shared" si="19"/>
        <v>-1.584823827426976E-2</v>
      </c>
      <c r="S43" s="80">
        <f t="shared" si="20"/>
        <v>0</v>
      </c>
      <c r="T43" s="80">
        <f t="shared" si="21"/>
        <v>0</v>
      </c>
      <c r="U43" s="81">
        <f t="shared" si="22"/>
        <v>-4.0000000000000036E-3</v>
      </c>
      <c r="V43" s="82">
        <f t="shared" si="23"/>
        <v>-4.0000000000000036E-3</v>
      </c>
    </row>
    <row r="44" spans="1:22">
      <c r="A44" s="180">
        <v>36</v>
      </c>
      <c r="B44" s="170" t="s">
        <v>81</v>
      </c>
      <c r="C44" s="166" t="s">
        <v>82</v>
      </c>
      <c r="D44" s="69">
        <v>7350584582.5299997</v>
      </c>
      <c r="E44" s="52">
        <f t="shared" si="26"/>
        <v>1.4388878209944012E-3</v>
      </c>
      <c r="F44" s="59">
        <v>1</v>
      </c>
      <c r="G44" s="59">
        <v>1</v>
      </c>
      <c r="H44" s="53">
        <v>1063</v>
      </c>
      <c r="I44" s="75">
        <v>0.186</v>
      </c>
      <c r="J44" s="75">
        <v>0.186</v>
      </c>
      <c r="K44" s="69">
        <v>7209464039.6099997</v>
      </c>
      <c r="L44" s="52">
        <f t="shared" si="27"/>
        <v>1.411263265665522E-3</v>
      </c>
      <c r="M44" s="59">
        <v>1</v>
      </c>
      <c r="N44" s="59">
        <v>1</v>
      </c>
      <c r="O44" s="53">
        <v>1067</v>
      </c>
      <c r="P44" s="75">
        <v>0.19270000000000001</v>
      </c>
      <c r="Q44" s="75">
        <v>0.19270000000000001</v>
      </c>
      <c r="R44" s="80">
        <f t="shared" si="19"/>
        <v>-1.9198546909506856E-2</v>
      </c>
      <c r="S44" s="80">
        <f t="shared" si="20"/>
        <v>0</v>
      </c>
      <c r="T44" s="80">
        <f t="shared" si="21"/>
        <v>3.7629350893697085E-3</v>
      </c>
      <c r="U44" s="81">
        <f t="shared" si="22"/>
        <v>6.7000000000000115E-3</v>
      </c>
      <c r="V44" s="82">
        <f t="shared" si="23"/>
        <v>6.7000000000000115E-3</v>
      </c>
    </row>
    <row r="45" spans="1:22">
      <c r="A45" s="180">
        <v>37</v>
      </c>
      <c r="B45" s="170" t="s">
        <v>83</v>
      </c>
      <c r="C45" s="166" t="s">
        <v>84</v>
      </c>
      <c r="D45" s="69">
        <v>724322891325.20996</v>
      </c>
      <c r="E45" s="52">
        <f t="shared" si="26"/>
        <v>0.14178727896993656</v>
      </c>
      <c r="F45" s="59">
        <v>100</v>
      </c>
      <c r="G45" s="59">
        <v>100</v>
      </c>
      <c r="H45" s="53">
        <v>33129</v>
      </c>
      <c r="I45" s="75">
        <v>0.16239999999999999</v>
      </c>
      <c r="J45" s="75">
        <v>0.16239999999999999</v>
      </c>
      <c r="K45" s="69">
        <v>736004041660.96997</v>
      </c>
      <c r="L45" s="52">
        <f t="shared" si="27"/>
        <v>0.14407388145231281</v>
      </c>
      <c r="M45" s="59">
        <v>100</v>
      </c>
      <c r="N45" s="59">
        <v>100</v>
      </c>
      <c r="O45" s="53">
        <v>33128</v>
      </c>
      <c r="P45" s="75">
        <v>0.16239999999999999</v>
      </c>
      <c r="Q45" s="75">
        <v>0.16239999999999999</v>
      </c>
      <c r="R45" s="80">
        <f t="shared" si="19"/>
        <v>1.6126993189996188E-2</v>
      </c>
      <c r="S45" s="80">
        <f t="shared" si="20"/>
        <v>0</v>
      </c>
      <c r="T45" s="80">
        <f t="shared" si="21"/>
        <v>-3.0185034260013886E-5</v>
      </c>
      <c r="U45" s="81">
        <f t="shared" si="22"/>
        <v>0</v>
      </c>
      <c r="V45" s="82">
        <f t="shared" si="23"/>
        <v>0</v>
      </c>
    </row>
    <row r="46" spans="1:22">
      <c r="A46" s="180">
        <v>38</v>
      </c>
      <c r="B46" s="170" t="s">
        <v>85</v>
      </c>
      <c r="C46" s="166" t="s">
        <v>86</v>
      </c>
      <c r="D46" s="69">
        <v>4993371436.8199997</v>
      </c>
      <c r="E46" s="52">
        <f t="shared" si="26"/>
        <v>9.7745985580763675E-4</v>
      </c>
      <c r="F46" s="59">
        <v>1</v>
      </c>
      <c r="G46" s="59">
        <v>1</v>
      </c>
      <c r="H46" s="71">
        <v>1858</v>
      </c>
      <c r="I46" s="78">
        <v>0.17929999999999999</v>
      </c>
      <c r="J46" s="78">
        <v>0.17929999999999999</v>
      </c>
      <c r="K46" s="69">
        <v>5318560241.6199999</v>
      </c>
      <c r="L46" s="52">
        <f t="shared" si="27"/>
        <v>1.0411160460734449E-3</v>
      </c>
      <c r="M46" s="59">
        <v>1</v>
      </c>
      <c r="N46" s="59">
        <v>1</v>
      </c>
      <c r="O46" s="71">
        <v>1905</v>
      </c>
      <c r="P46" s="78">
        <v>0.1618</v>
      </c>
      <c r="Q46" s="78">
        <v>0.1618</v>
      </c>
      <c r="R46" s="80">
        <f t="shared" si="19"/>
        <v>6.5124096798033285E-2</v>
      </c>
      <c r="S46" s="80">
        <f t="shared" si="20"/>
        <v>0</v>
      </c>
      <c r="T46" s="80">
        <f t="shared" si="21"/>
        <v>2.5296017222820238E-2</v>
      </c>
      <c r="U46" s="81">
        <f t="shared" si="22"/>
        <v>-1.7499999999999988E-2</v>
      </c>
      <c r="V46" s="82">
        <f t="shared" si="23"/>
        <v>-1.7499999999999988E-2</v>
      </c>
    </row>
    <row r="47" spans="1:22">
      <c r="A47" s="180">
        <v>39</v>
      </c>
      <c r="B47" s="170" t="s">
        <v>87</v>
      </c>
      <c r="C47" s="166" t="s">
        <v>88</v>
      </c>
      <c r="D47" s="69">
        <v>3796665313.73</v>
      </c>
      <c r="E47" s="52">
        <f t="shared" si="26"/>
        <v>7.4320285944355201E-4</v>
      </c>
      <c r="F47" s="59">
        <v>1</v>
      </c>
      <c r="G47" s="59">
        <v>1</v>
      </c>
      <c r="H47" s="71">
        <v>537</v>
      </c>
      <c r="I47" s="78">
        <v>0.16750000000000001</v>
      </c>
      <c r="J47" s="78">
        <v>0.16750000000000001</v>
      </c>
      <c r="K47" s="69">
        <v>3889096208.6999998</v>
      </c>
      <c r="L47" s="52">
        <f t="shared" si="27"/>
        <v>7.6129634405864492E-4</v>
      </c>
      <c r="M47" s="59">
        <v>1</v>
      </c>
      <c r="N47" s="59">
        <v>1</v>
      </c>
      <c r="O47" s="71">
        <v>539</v>
      </c>
      <c r="P47" s="78">
        <v>0.1661</v>
      </c>
      <c r="Q47" s="78">
        <v>0.16689999999999999</v>
      </c>
      <c r="R47" s="80">
        <f t="shared" si="19"/>
        <v>2.434528390894479E-2</v>
      </c>
      <c r="S47" s="80">
        <f t="shared" si="20"/>
        <v>0</v>
      </c>
      <c r="T47" s="80">
        <f t="shared" si="21"/>
        <v>3.7243947858472998E-3</v>
      </c>
      <c r="U47" s="81">
        <f t="shared" si="22"/>
        <v>-1.4000000000000123E-3</v>
      </c>
      <c r="V47" s="82">
        <f t="shared" si="23"/>
        <v>-6.0000000000001719E-4</v>
      </c>
    </row>
    <row r="48" spans="1:22">
      <c r="A48" s="180">
        <v>40</v>
      </c>
      <c r="B48" s="170" t="s">
        <v>89</v>
      </c>
      <c r="C48" s="166" t="s">
        <v>90</v>
      </c>
      <c r="D48" s="69">
        <v>7292094.1699999999</v>
      </c>
      <c r="E48" s="52">
        <f t="shared" si="26"/>
        <v>1.4274382360954831E-6</v>
      </c>
      <c r="F48" s="59">
        <v>1</v>
      </c>
      <c r="G48" s="59">
        <v>1</v>
      </c>
      <c r="H48" s="71">
        <v>23</v>
      </c>
      <c r="I48" s="78">
        <v>0.02</v>
      </c>
      <c r="J48" s="78">
        <v>0.02</v>
      </c>
      <c r="K48" s="69">
        <v>7399004.5899999999</v>
      </c>
      <c r="L48" s="52">
        <f t="shared" si="27"/>
        <v>1.4483661091847889E-6</v>
      </c>
      <c r="M48" s="59">
        <v>1</v>
      </c>
      <c r="N48" s="59">
        <v>1</v>
      </c>
      <c r="O48" s="71">
        <v>24</v>
      </c>
      <c r="P48" s="78">
        <v>0</v>
      </c>
      <c r="Q48" s="78">
        <v>0</v>
      </c>
      <c r="R48" s="80">
        <f t="shared" si="19"/>
        <v>1.4661140888694794E-2</v>
      </c>
      <c r="S48" s="80">
        <f t="shared" si="20"/>
        <v>0</v>
      </c>
      <c r="T48" s="80">
        <f t="shared" si="21"/>
        <v>4.3478260869565216E-2</v>
      </c>
      <c r="U48" s="81">
        <f t="shared" si="22"/>
        <v>-0.02</v>
      </c>
      <c r="V48" s="82">
        <f t="shared" si="23"/>
        <v>-0.02</v>
      </c>
    </row>
    <row r="49" spans="1:22">
      <c r="A49" s="180">
        <v>41</v>
      </c>
      <c r="B49" s="170" t="s">
        <v>91</v>
      </c>
      <c r="C49" s="166" t="s">
        <v>92</v>
      </c>
      <c r="D49" s="69">
        <v>1814842458.3499999</v>
      </c>
      <c r="E49" s="52">
        <f t="shared" si="26"/>
        <v>3.552580996822637E-4</v>
      </c>
      <c r="F49" s="59">
        <v>10</v>
      </c>
      <c r="G49" s="59">
        <v>10</v>
      </c>
      <c r="H49" s="53">
        <v>549</v>
      </c>
      <c r="I49" s="75">
        <v>0.16950000000000001</v>
      </c>
      <c r="J49" s="75">
        <v>0.16950000000000001</v>
      </c>
      <c r="K49" s="69">
        <v>1784251795.1600001</v>
      </c>
      <c r="L49" s="52">
        <f t="shared" si="27"/>
        <v>3.492699320466112E-4</v>
      </c>
      <c r="M49" s="59">
        <v>10</v>
      </c>
      <c r="N49" s="59">
        <v>10</v>
      </c>
      <c r="O49" s="53">
        <v>561</v>
      </c>
      <c r="P49" s="75">
        <v>0.16600000000000001</v>
      </c>
      <c r="Q49" s="75">
        <v>0.16600000000000001</v>
      </c>
      <c r="R49" s="80">
        <f t="shared" si="19"/>
        <v>-1.6855822966480478E-2</v>
      </c>
      <c r="S49" s="80">
        <f t="shared" si="20"/>
        <v>0</v>
      </c>
      <c r="T49" s="80">
        <f t="shared" si="21"/>
        <v>2.185792349726776E-2</v>
      </c>
      <c r="U49" s="81">
        <f t="shared" si="22"/>
        <v>-3.5000000000000031E-3</v>
      </c>
      <c r="V49" s="82">
        <f t="shared" si="23"/>
        <v>-3.5000000000000031E-3</v>
      </c>
    </row>
    <row r="50" spans="1:22">
      <c r="A50" s="180">
        <v>42</v>
      </c>
      <c r="B50" s="170" t="s">
        <v>93</v>
      </c>
      <c r="C50" s="166" t="s">
        <v>94</v>
      </c>
      <c r="D50" s="69">
        <v>10460083134.879999</v>
      </c>
      <c r="E50" s="52">
        <f t="shared" si="26"/>
        <v>2.0475767689469124E-3</v>
      </c>
      <c r="F50" s="59">
        <v>100</v>
      </c>
      <c r="G50" s="59">
        <v>100</v>
      </c>
      <c r="H50" s="53">
        <v>1004</v>
      </c>
      <c r="I50" s="75">
        <v>0.17030000000000001</v>
      </c>
      <c r="J50" s="75">
        <v>0.17030000000000001</v>
      </c>
      <c r="K50" s="69">
        <v>10583716398.049999</v>
      </c>
      <c r="L50" s="52">
        <f t="shared" si="27"/>
        <v>2.0717781633595293E-3</v>
      </c>
      <c r="M50" s="59">
        <v>100</v>
      </c>
      <c r="N50" s="59">
        <v>100</v>
      </c>
      <c r="O50" s="53">
        <v>1011</v>
      </c>
      <c r="P50" s="75">
        <v>0.17660000000000001</v>
      </c>
      <c r="Q50" s="75">
        <v>0.17660000000000001</v>
      </c>
      <c r="R50" s="80">
        <f t="shared" si="19"/>
        <v>1.1819529689753123E-2</v>
      </c>
      <c r="S50" s="80">
        <f t="shared" si="20"/>
        <v>0</v>
      </c>
      <c r="T50" s="80">
        <f t="shared" si="21"/>
        <v>6.9721115537848604E-3</v>
      </c>
      <c r="U50" s="81">
        <f t="shared" si="22"/>
        <v>6.3E-3</v>
      </c>
      <c r="V50" s="82">
        <f t="shared" si="23"/>
        <v>6.3E-3</v>
      </c>
    </row>
    <row r="51" spans="1:22">
      <c r="A51" s="180">
        <v>43</v>
      </c>
      <c r="B51" s="170" t="s">
        <v>95</v>
      </c>
      <c r="C51" s="170" t="s">
        <v>96</v>
      </c>
      <c r="D51" s="72">
        <v>207364461.97</v>
      </c>
      <c r="E51" s="52">
        <f>(D51/$D$197)</f>
        <v>2.2811700066618576E-3</v>
      </c>
      <c r="F51" s="51">
        <v>1</v>
      </c>
      <c r="G51" s="51">
        <v>1</v>
      </c>
      <c r="H51" s="53">
        <v>123</v>
      </c>
      <c r="I51" s="75">
        <v>0.1507</v>
      </c>
      <c r="J51" s="75">
        <v>0.1507</v>
      </c>
      <c r="K51" s="72">
        <v>207457718.88</v>
      </c>
      <c r="L51" s="79">
        <f>(K51/$K$197)</f>
        <v>2.2430889957453432E-3</v>
      </c>
      <c r="M51" s="51">
        <v>1</v>
      </c>
      <c r="N51" s="51">
        <v>1</v>
      </c>
      <c r="O51" s="53">
        <v>123</v>
      </c>
      <c r="P51" s="75">
        <v>0.15379999999999999</v>
      </c>
      <c r="Q51" s="75">
        <v>0.15379999999999999</v>
      </c>
      <c r="R51" s="81">
        <f t="shared" si="19"/>
        <v>4.4972464960504259E-4</v>
      </c>
      <c r="S51" s="81">
        <f t="shared" si="20"/>
        <v>0</v>
      </c>
      <c r="T51" s="81">
        <f t="shared" si="21"/>
        <v>0</v>
      </c>
      <c r="U51" s="81">
        <f t="shared" si="22"/>
        <v>3.0999999999999917E-3</v>
      </c>
      <c r="V51" s="82">
        <f t="shared" si="23"/>
        <v>3.0999999999999917E-3</v>
      </c>
    </row>
    <row r="52" spans="1:22">
      <c r="A52" s="180">
        <v>44</v>
      </c>
      <c r="B52" s="170" t="s">
        <v>97</v>
      </c>
      <c r="C52" s="166" t="s">
        <v>38</v>
      </c>
      <c r="D52" s="69">
        <v>1204648361.1500001</v>
      </c>
      <c r="E52" s="52">
        <f t="shared" ref="E52" si="28">(D52/$K$72)</f>
        <v>2.3581170122975395E-4</v>
      </c>
      <c r="F52" s="59">
        <v>100</v>
      </c>
      <c r="G52" s="59">
        <v>100</v>
      </c>
      <c r="H52" s="53">
        <v>6411</v>
      </c>
      <c r="I52" s="75">
        <v>0.14990000000000001</v>
      </c>
      <c r="J52" s="75">
        <v>0.14990000000000001</v>
      </c>
      <c r="K52" s="69">
        <v>1360362344.53</v>
      </c>
      <c r="L52" s="52">
        <f t="shared" ref="L52" si="29">(K52/$K$72)</f>
        <v>2.6629294414701985E-4</v>
      </c>
      <c r="M52" s="59">
        <v>100</v>
      </c>
      <c r="N52" s="59">
        <v>100</v>
      </c>
      <c r="O52" s="53">
        <v>6871</v>
      </c>
      <c r="P52" s="75">
        <v>0.15229999999999999</v>
      </c>
      <c r="Q52" s="75">
        <v>0.15229999999999999</v>
      </c>
      <c r="R52" s="80">
        <f t="shared" ref="R52" si="30">((K52-D52)/D52)</f>
        <v>0.12926094319453502</v>
      </c>
      <c r="S52" s="80">
        <f t="shared" ref="S52" si="31">((N52-G52)/G52)</f>
        <v>0</v>
      </c>
      <c r="T52" s="80">
        <f t="shared" ref="T52" si="32">((O52-H52)/H52)</f>
        <v>7.1751676805490563E-2</v>
      </c>
      <c r="U52" s="81">
        <f t="shared" ref="U52" si="33">P52-I52</f>
        <v>2.3999999999999855E-3</v>
      </c>
      <c r="V52" s="82">
        <f t="shared" ref="V52" si="34">Q52-J52</f>
        <v>2.3999999999999855E-3</v>
      </c>
    </row>
    <row r="53" spans="1:22">
      <c r="A53" s="180">
        <v>45</v>
      </c>
      <c r="B53" s="170" t="s">
        <v>98</v>
      </c>
      <c r="C53" s="166" t="s">
        <v>38</v>
      </c>
      <c r="D53" s="69">
        <v>294331766877.76001</v>
      </c>
      <c r="E53" s="52">
        <f t="shared" ref="E53:E71" si="35">(D53/$K$72)</f>
        <v>5.7615879381719047E-2</v>
      </c>
      <c r="F53" s="59">
        <v>100</v>
      </c>
      <c r="G53" s="59">
        <v>100</v>
      </c>
      <c r="H53" s="53">
        <v>29169</v>
      </c>
      <c r="I53" s="75">
        <v>0.17599999999999999</v>
      </c>
      <c r="J53" s="75">
        <v>0.17599999999999999</v>
      </c>
      <c r="K53" s="69">
        <v>300945205628.22998</v>
      </c>
      <c r="L53" s="52">
        <f t="shared" ref="L53:L71" si="36">(K53/$K$72)</f>
        <v>5.8910469814099101E-2</v>
      </c>
      <c r="M53" s="59">
        <v>100</v>
      </c>
      <c r="N53" s="59">
        <v>100</v>
      </c>
      <c r="O53" s="53">
        <v>29736</v>
      </c>
      <c r="P53" s="75">
        <v>0.17699999999999999</v>
      </c>
      <c r="Q53" s="75">
        <v>0.17699999999999999</v>
      </c>
      <c r="R53" s="80">
        <f t="shared" si="19"/>
        <v>2.24693339105888E-2</v>
      </c>
      <c r="S53" s="80">
        <f t="shared" si="20"/>
        <v>0</v>
      </c>
      <c r="T53" s="80">
        <f t="shared" si="21"/>
        <v>1.9438444924406047E-2</v>
      </c>
      <c r="U53" s="81">
        <f t="shared" si="22"/>
        <v>1.0000000000000009E-3</v>
      </c>
      <c r="V53" s="82">
        <f t="shared" si="23"/>
        <v>1.0000000000000009E-3</v>
      </c>
    </row>
    <row r="54" spans="1:22">
      <c r="A54" s="180">
        <v>46</v>
      </c>
      <c r="B54" s="170" t="s">
        <v>99</v>
      </c>
      <c r="C54" s="166" t="s">
        <v>42</v>
      </c>
      <c r="D54" s="69">
        <v>53762805863.459999</v>
      </c>
      <c r="E54" s="52">
        <f t="shared" si="35"/>
        <v>1.0524148890589715E-2</v>
      </c>
      <c r="F54" s="59">
        <v>1</v>
      </c>
      <c r="G54" s="59">
        <v>1</v>
      </c>
      <c r="H54" s="53">
        <v>3030</v>
      </c>
      <c r="I54" s="75">
        <v>0.1691</v>
      </c>
      <c r="J54" s="75">
        <v>0.1691</v>
      </c>
      <c r="K54" s="69">
        <v>55147050720.32</v>
      </c>
      <c r="L54" s="52">
        <f t="shared" si="36"/>
        <v>1.0795116871904264E-2</v>
      </c>
      <c r="M54" s="59">
        <v>1</v>
      </c>
      <c r="N54" s="59">
        <v>1</v>
      </c>
      <c r="O54" s="53">
        <v>3079</v>
      </c>
      <c r="P54" s="75">
        <v>0.16789999999999999</v>
      </c>
      <c r="Q54" s="75">
        <v>0.16789999999999999</v>
      </c>
      <c r="R54" s="80">
        <f t="shared" si="19"/>
        <v>2.5747258436911408E-2</v>
      </c>
      <c r="S54" s="80">
        <f t="shared" si="20"/>
        <v>0</v>
      </c>
      <c r="T54" s="80">
        <f t="shared" si="21"/>
        <v>1.6171617161716171E-2</v>
      </c>
      <c r="U54" s="81">
        <f t="shared" si="22"/>
        <v>-1.2000000000000066E-3</v>
      </c>
      <c r="V54" s="82">
        <f t="shared" si="23"/>
        <v>-1.2000000000000066E-3</v>
      </c>
    </row>
    <row r="55" spans="1:22">
      <c r="A55" s="180">
        <v>47</v>
      </c>
      <c r="B55" s="170" t="s">
        <v>100</v>
      </c>
      <c r="C55" s="166" t="s">
        <v>101</v>
      </c>
      <c r="D55" s="69">
        <v>5179323377.8620005</v>
      </c>
      <c r="E55" s="52">
        <f t="shared" si="35"/>
        <v>1.0138602237309605E-3</v>
      </c>
      <c r="F55" s="59">
        <v>100</v>
      </c>
      <c r="G55" s="59">
        <v>100</v>
      </c>
      <c r="H55" s="53">
        <v>931</v>
      </c>
      <c r="I55" s="75">
        <v>0.1658</v>
      </c>
      <c r="J55" s="75">
        <v>0.1658</v>
      </c>
      <c r="K55" s="69">
        <v>5201933601.007</v>
      </c>
      <c r="L55" s="52">
        <f t="shared" si="36"/>
        <v>1.0182862084057887E-3</v>
      </c>
      <c r="M55" s="59">
        <v>100</v>
      </c>
      <c r="N55" s="59">
        <v>100</v>
      </c>
      <c r="O55" s="53">
        <v>936</v>
      </c>
      <c r="P55" s="75">
        <v>0.16539999999999999</v>
      </c>
      <c r="Q55" s="75">
        <v>0.16539999999999999</v>
      </c>
      <c r="R55" s="80">
        <f t="shared" si="19"/>
        <v>4.3654781706897192E-3</v>
      </c>
      <c r="S55" s="80">
        <f t="shared" si="20"/>
        <v>0</v>
      </c>
      <c r="T55" s="80">
        <f t="shared" si="21"/>
        <v>5.3705692803437165E-3</v>
      </c>
      <c r="U55" s="81">
        <f t="shared" si="22"/>
        <v>-4.0000000000001146E-4</v>
      </c>
      <c r="V55" s="82">
        <f t="shared" si="23"/>
        <v>-4.0000000000001146E-4</v>
      </c>
    </row>
    <row r="56" spans="1:22">
      <c r="A56" s="180">
        <v>48</v>
      </c>
      <c r="B56" s="170" t="s">
        <v>102</v>
      </c>
      <c r="C56" s="166" t="s">
        <v>44</v>
      </c>
      <c r="D56" s="73">
        <v>96441122461.070007</v>
      </c>
      <c r="E56" s="52">
        <f t="shared" si="35"/>
        <v>1.88784925871162E-2</v>
      </c>
      <c r="F56" s="59">
        <v>10</v>
      </c>
      <c r="G56" s="59">
        <v>10</v>
      </c>
      <c r="H56" s="53">
        <v>8601</v>
      </c>
      <c r="I56" s="75">
        <v>0.19320000000000001</v>
      </c>
      <c r="J56" s="75">
        <v>0.19320000000000001</v>
      </c>
      <c r="K56" s="73">
        <v>98280937332.020004</v>
      </c>
      <c r="L56" s="52">
        <f t="shared" si="36"/>
        <v>1.923863907355839E-2</v>
      </c>
      <c r="M56" s="59">
        <v>10</v>
      </c>
      <c r="N56" s="59">
        <v>10</v>
      </c>
      <c r="O56" s="53">
        <v>8830</v>
      </c>
      <c r="P56" s="75">
        <v>0.19</v>
      </c>
      <c r="Q56" s="75">
        <v>0.19</v>
      </c>
      <c r="R56" s="80">
        <f t="shared" si="19"/>
        <v>1.9077078573952386E-2</v>
      </c>
      <c r="S56" s="80">
        <f t="shared" si="20"/>
        <v>0</v>
      </c>
      <c r="T56" s="80">
        <f t="shared" si="21"/>
        <v>2.6624811068480411E-2</v>
      </c>
      <c r="U56" s="81">
        <f t="shared" si="22"/>
        <v>-3.2000000000000084E-3</v>
      </c>
      <c r="V56" s="82">
        <f t="shared" si="23"/>
        <v>-3.2000000000000084E-3</v>
      </c>
    </row>
    <row r="57" spans="1:22">
      <c r="A57" s="180">
        <v>49</v>
      </c>
      <c r="B57" s="170" t="s">
        <v>103</v>
      </c>
      <c r="C57" s="166" t="s">
        <v>104</v>
      </c>
      <c r="D57" s="69">
        <v>36809704751</v>
      </c>
      <c r="E57" s="52">
        <f t="shared" si="35"/>
        <v>7.2055542339441517E-3</v>
      </c>
      <c r="F57" s="59">
        <v>100</v>
      </c>
      <c r="G57" s="59">
        <v>100</v>
      </c>
      <c r="H57" s="53">
        <v>5579</v>
      </c>
      <c r="I57" s="75">
        <v>0.1852</v>
      </c>
      <c r="J57" s="75">
        <v>0.1852</v>
      </c>
      <c r="K57" s="69">
        <v>37738891407</v>
      </c>
      <c r="L57" s="52">
        <f t="shared" si="36"/>
        <v>7.3874438983290124E-3</v>
      </c>
      <c r="M57" s="59">
        <v>100</v>
      </c>
      <c r="N57" s="59">
        <v>100</v>
      </c>
      <c r="O57" s="53">
        <v>5638</v>
      </c>
      <c r="P57" s="75">
        <v>0.17829999999999999</v>
      </c>
      <c r="Q57" s="75">
        <v>0.17829999999999999</v>
      </c>
      <c r="R57" s="80">
        <f t="shared" si="19"/>
        <v>2.5242980411972933E-2</v>
      </c>
      <c r="S57" s="80">
        <f t="shared" si="20"/>
        <v>0</v>
      </c>
      <c r="T57" s="80">
        <f t="shared" si="21"/>
        <v>1.0575371930453487E-2</v>
      </c>
      <c r="U57" s="81">
        <f t="shared" si="22"/>
        <v>-6.9000000000000172E-3</v>
      </c>
      <c r="V57" s="82">
        <f t="shared" si="23"/>
        <v>-6.9000000000000172E-3</v>
      </c>
    </row>
    <row r="58" spans="1:22">
      <c r="A58" s="180">
        <v>50</v>
      </c>
      <c r="B58" s="170" t="s">
        <v>105</v>
      </c>
      <c r="C58" s="166" t="s">
        <v>106</v>
      </c>
      <c r="D58" s="69">
        <v>177500142.08000001</v>
      </c>
      <c r="E58" s="52">
        <f t="shared" si="35"/>
        <v>3.4745915756237808E-5</v>
      </c>
      <c r="F58" s="59">
        <v>1</v>
      </c>
      <c r="G58" s="59">
        <v>1</v>
      </c>
      <c r="H58" s="53">
        <v>93</v>
      </c>
      <c r="I58" s="75">
        <v>0.13519999999999999</v>
      </c>
      <c r="J58" s="75">
        <v>0.13519999999999999</v>
      </c>
      <c r="K58" s="69">
        <v>177556133.40000001</v>
      </c>
      <c r="L58" s="52">
        <f t="shared" si="36"/>
        <v>3.4756876140071887E-5</v>
      </c>
      <c r="M58" s="59">
        <v>1</v>
      </c>
      <c r="N58" s="59">
        <v>1</v>
      </c>
      <c r="O58" s="53">
        <v>93</v>
      </c>
      <c r="P58" s="75">
        <v>0.1152</v>
      </c>
      <c r="Q58" s="75">
        <v>0.1152</v>
      </c>
      <c r="R58" s="80">
        <f t="shared" si="19"/>
        <v>3.1544380384077291E-4</v>
      </c>
      <c r="S58" s="80">
        <f t="shared" si="20"/>
        <v>0</v>
      </c>
      <c r="T58" s="80">
        <f t="shared" si="21"/>
        <v>0</v>
      </c>
      <c r="U58" s="81">
        <f t="shared" si="22"/>
        <v>-1.999999999999999E-2</v>
      </c>
      <c r="V58" s="82">
        <f t="shared" si="23"/>
        <v>-1.999999999999999E-2</v>
      </c>
    </row>
    <row r="59" spans="1:22">
      <c r="A59" s="180">
        <v>51</v>
      </c>
      <c r="B59" s="170" t="s">
        <v>107</v>
      </c>
      <c r="C59" s="166" t="s">
        <v>46</v>
      </c>
      <c r="D59" s="73">
        <v>2413698323.4699998</v>
      </c>
      <c r="E59" s="52">
        <f t="shared" si="35"/>
        <v>4.7248502240895243E-4</v>
      </c>
      <c r="F59" s="59">
        <v>10</v>
      </c>
      <c r="G59" s="59">
        <v>10</v>
      </c>
      <c r="H59" s="53">
        <v>941</v>
      </c>
      <c r="I59" s="75">
        <v>0.1658</v>
      </c>
      <c r="J59" s="75">
        <v>0.1658</v>
      </c>
      <c r="K59" s="73">
        <v>2469131273.5500002</v>
      </c>
      <c r="L59" s="52">
        <f t="shared" si="36"/>
        <v>4.8333610450403797E-4</v>
      </c>
      <c r="M59" s="59">
        <v>10</v>
      </c>
      <c r="N59" s="59">
        <v>10</v>
      </c>
      <c r="O59" s="53">
        <v>946</v>
      </c>
      <c r="P59" s="75">
        <v>0.15709999999999999</v>
      </c>
      <c r="Q59" s="75">
        <v>0.15709999999999999</v>
      </c>
      <c r="R59" s="80">
        <f t="shared" si="19"/>
        <v>2.2965981100864525E-2</v>
      </c>
      <c r="S59" s="80">
        <f t="shared" si="20"/>
        <v>0</v>
      </c>
      <c r="T59" s="80">
        <f t="shared" si="21"/>
        <v>5.3134962805526037E-3</v>
      </c>
      <c r="U59" s="81">
        <f t="shared" si="22"/>
        <v>-8.7000000000000133E-3</v>
      </c>
      <c r="V59" s="82">
        <f t="shared" si="23"/>
        <v>-8.7000000000000133E-3</v>
      </c>
    </row>
    <row r="60" spans="1:22">
      <c r="A60" s="180">
        <v>52</v>
      </c>
      <c r="B60" s="170" t="s">
        <v>108</v>
      </c>
      <c r="C60" s="166" t="s">
        <v>109</v>
      </c>
      <c r="D60" s="73">
        <v>1268664511</v>
      </c>
      <c r="E60" s="52">
        <f t="shared" si="35"/>
        <v>2.4834295739474505E-4</v>
      </c>
      <c r="F60" s="59">
        <v>1</v>
      </c>
      <c r="G60" s="59">
        <v>1</v>
      </c>
      <c r="H60" s="53">
        <v>193</v>
      </c>
      <c r="I60" s="75">
        <v>0.2087</v>
      </c>
      <c r="J60" s="75">
        <v>0.2087</v>
      </c>
      <c r="K60" s="73">
        <v>1293664511</v>
      </c>
      <c r="L60" s="52">
        <f t="shared" si="36"/>
        <v>2.5323674442909253E-4</v>
      </c>
      <c r="M60" s="59">
        <v>1</v>
      </c>
      <c r="N60" s="59">
        <v>1</v>
      </c>
      <c r="O60" s="53">
        <v>202</v>
      </c>
      <c r="P60" s="75">
        <v>0.21859999999999999</v>
      </c>
      <c r="Q60" s="75">
        <v>0.21859999999999999</v>
      </c>
      <c r="R60" s="80">
        <f t="shared" si="19"/>
        <v>1.970576128143936E-2</v>
      </c>
      <c r="S60" s="80">
        <f t="shared" si="20"/>
        <v>0</v>
      </c>
      <c r="T60" s="80">
        <f t="shared" si="21"/>
        <v>4.6632124352331605E-2</v>
      </c>
      <c r="U60" s="81">
        <f t="shared" si="22"/>
        <v>9.8999999999999921E-3</v>
      </c>
      <c r="V60" s="82">
        <f t="shared" si="23"/>
        <v>9.8999999999999921E-3</v>
      </c>
    </row>
    <row r="61" spans="1:22">
      <c r="A61" s="180">
        <v>53</v>
      </c>
      <c r="B61" s="170" t="s">
        <v>110</v>
      </c>
      <c r="C61" s="166" t="s">
        <v>111</v>
      </c>
      <c r="D61" s="73">
        <v>2551597253.9699998</v>
      </c>
      <c r="E61" s="52">
        <f t="shared" si="35"/>
        <v>4.9947894233420397E-4</v>
      </c>
      <c r="F61" s="59">
        <v>1</v>
      </c>
      <c r="G61" s="59">
        <v>1</v>
      </c>
      <c r="H61" s="53">
        <v>2021</v>
      </c>
      <c r="I61" s="75">
        <v>0.1517</v>
      </c>
      <c r="J61" s="75">
        <v>0.1517</v>
      </c>
      <c r="K61" s="73">
        <v>2645811966.5900002</v>
      </c>
      <c r="L61" s="52">
        <f t="shared" si="36"/>
        <v>5.1792161189678537E-4</v>
      </c>
      <c r="M61" s="59">
        <v>1</v>
      </c>
      <c r="N61" s="59">
        <v>1</v>
      </c>
      <c r="O61" s="53">
        <v>2077</v>
      </c>
      <c r="P61" s="75">
        <v>0.1535</v>
      </c>
      <c r="Q61" s="75">
        <v>0.1535</v>
      </c>
      <c r="R61" s="80">
        <f t="shared" si="19"/>
        <v>3.6923818002003575E-2</v>
      </c>
      <c r="S61" s="80">
        <f t="shared" si="20"/>
        <v>0</v>
      </c>
      <c r="T61" s="80">
        <f t="shared" si="21"/>
        <v>2.7709054923305294E-2</v>
      </c>
      <c r="U61" s="81">
        <f t="shared" si="22"/>
        <v>1.799999999999996E-3</v>
      </c>
      <c r="V61" s="82">
        <f t="shared" si="23"/>
        <v>1.799999999999996E-3</v>
      </c>
    </row>
    <row r="62" spans="1:22">
      <c r="A62" s="180">
        <v>54</v>
      </c>
      <c r="B62" s="170" t="s">
        <v>112</v>
      </c>
      <c r="C62" s="166" t="s">
        <v>113</v>
      </c>
      <c r="D62" s="73">
        <v>15322715665.0891</v>
      </c>
      <c r="E62" s="52">
        <f t="shared" si="35"/>
        <v>2.9994442901122615E-3</v>
      </c>
      <c r="F62" s="59">
        <v>100</v>
      </c>
      <c r="G62" s="59">
        <v>100</v>
      </c>
      <c r="H62" s="53">
        <v>149</v>
      </c>
      <c r="I62" s="75">
        <v>0.16520000000000001</v>
      </c>
      <c r="J62" s="75">
        <v>0.16520000000000001</v>
      </c>
      <c r="K62" s="73">
        <v>15318389296.634399</v>
      </c>
      <c r="L62" s="52">
        <f t="shared" si="36"/>
        <v>2.9985973970782847E-3</v>
      </c>
      <c r="M62" s="59">
        <v>100</v>
      </c>
      <c r="N62" s="59">
        <v>100</v>
      </c>
      <c r="O62" s="53">
        <v>154</v>
      </c>
      <c r="P62" s="75">
        <v>0.16689999999999999</v>
      </c>
      <c r="Q62" s="75">
        <v>0.16689999999999999</v>
      </c>
      <c r="R62" s="80">
        <f t="shared" si="19"/>
        <v>-2.8234997955078954E-4</v>
      </c>
      <c r="S62" s="80">
        <f t="shared" si="20"/>
        <v>0</v>
      </c>
      <c r="T62" s="80">
        <f t="shared" si="21"/>
        <v>3.3557046979865772E-2</v>
      </c>
      <c r="U62" s="81">
        <f t="shared" si="22"/>
        <v>1.6999999999999793E-3</v>
      </c>
      <c r="V62" s="82">
        <f t="shared" si="23"/>
        <v>1.6999999999999793E-3</v>
      </c>
    </row>
    <row r="63" spans="1:22">
      <c r="A63" s="180">
        <v>54</v>
      </c>
      <c r="B63" s="170" t="s">
        <v>330</v>
      </c>
      <c r="C63" s="166" t="s">
        <v>77</v>
      </c>
      <c r="D63" s="73">
        <v>72532655.209999993</v>
      </c>
      <c r="E63" s="52">
        <f t="shared" si="35"/>
        <v>1.4198374705339858E-5</v>
      </c>
      <c r="F63" s="59">
        <v>1000</v>
      </c>
      <c r="G63" s="59">
        <v>1000</v>
      </c>
      <c r="H63" s="53">
        <v>23</v>
      </c>
      <c r="I63" s="75">
        <v>0.24299999999999999</v>
      </c>
      <c r="J63" s="75">
        <v>0.24299999999999999</v>
      </c>
      <c r="K63" s="73">
        <v>72805795.329999998</v>
      </c>
      <c r="L63" s="52">
        <f t="shared" si="36"/>
        <v>1.4251842288452504E-5</v>
      </c>
      <c r="M63" s="59">
        <v>1000</v>
      </c>
      <c r="N63" s="59">
        <v>1000</v>
      </c>
      <c r="O63" s="53">
        <v>23</v>
      </c>
      <c r="P63" s="75">
        <v>8.6E-3</v>
      </c>
      <c r="Q63" s="75">
        <v>0.24299999999999999</v>
      </c>
      <c r="R63" s="80">
        <f t="shared" si="19"/>
        <v>3.765753772686199E-3</v>
      </c>
      <c r="S63" s="80">
        <f t="shared" si="20"/>
        <v>0</v>
      </c>
      <c r="T63" s="80">
        <f t="shared" si="21"/>
        <v>0</v>
      </c>
      <c r="U63" s="81">
        <f t="shared" si="22"/>
        <v>-0.2344</v>
      </c>
      <c r="V63" s="82">
        <f t="shared" si="23"/>
        <v>0</v>
      </c>
    </row>
    <row r="64" spans="1:22">
      <c r="A64" s="180">
        <v>56</v>
      </c>
      <c r="B64" s="170" t="s">
        <v>114</v>
      </c>
      <c r="C64" s="166" t="s">
        <v>50</v>
      </c>
      <c r="D64" s="69">
        <v>2456886559332.6099</v>
      </c>
      <c r="E64" s="52">
        <f t="shared" si="35"/>
        <v>0.48093918355698373</v>
      </c>
      <c r="F64" s="59">
        <v>100</v>
      </c>
      <c r="G64" s="59">
        <v>100</v>
      </c>
      <c r="H64" s="53">
        <v>273370</v>
      </c>
      <c r="I64" s="75">
        <v>0.1547</v>
      </c>
      <c r="J64" s="75">
        <v>0.1547</v>
      </c>
      <c r="K64" s="69">
        <v>2480493982887.7402</v>
      </c>
      <c r="L64" s="52">
        <f t="shared" si="36"/>
        <v>0.48556037168932165</v>
      </c>
      <c r="M64" s="59">
        <v>100</v>
      </c>
      <c r="N64" s="59">
        <v>100</v>
      </c>
      <c r="O64" s="53">
        <v>276904</v>
      </c>
      <c r="P64" s="75">
        <v>0.15509999999999999</v>
      </c>
      <c r="Q64" s="75">
        <v>0.15509999999999999</v>
      </c>
      <c r="R64" s="80">
        <f t="shared" si="19"/>
        <v>9.6086746314991058E-3</v>
      </c>
      <c r="S64" s="80">
        <f t="shared" si="20"/>
        <v>0</v>
      </c>
      <c r="T64" s="80">
        <f t="shared" si="21"/>
        <v>1.2927534111277755E-2</v>
      </c>
      <c r="U64" s="81">
        <f t="shared" si="22"/>
        <v>3.999999999999837E-4</v>
      </c>
      <c r="V64" s="82">
        <f t="shared" si="23"/>
        <v>3.999999999999837E-4</v>
      </c>
    </row>
    <row r="65" spans="1:22">
      <c r="A65" s="180">
        <v>57</v>
      </c>
      <c r="B65" s="170" t="s">
        <v>115</v>
      </c>
      <c r="C65" s="170" t="s">
        <v>116</v>
      </c>
      <c r="D65" s="69">
        <v>8203134790.4099998</v>
      </c>
      <c r="E65" s="52">
        <f t="shared" si="35"/>
        <v>1.6057757871325378E-3</v>
      </c>
      <c r="F65" s="59">
        <v>100</v>
      </c>
      <c r="G65" s="59">
        <v>100</v>
      </c>
      <c r="H65" s="53">
        <v>1012</v>
      </c>
      <c r="I65" s="75">
        <v>0.20100000000000001</v>
      </c>
      <c r="J65" s="75">
        <v>0.20100000000000001</v>
      </c>
      <c r="K65" s="69">
        <v>8309792426.0900002</v>
      </c>
      <c r="L65" s="52">
        <f t="shared" si="36"/>
        <v>1.6266541773167357E-3</v>
      </c>
      <c r="M65" s="59">
        <v>100</v>
      </c>
      <c r="N65" s="59">
        <v>100</v>
      </c>
      <c r="O65" s="53">
        <v>1023</v>
      </c>
      <c r="P65" s="75">
        <v>0.20080000000000001</v>
      </c>
      <c r="Q65" s="75">
        <v>0.20080000000000001</v>
      </c>
      <c r="R65" s="80">
        <f t="shared" si="19"/>
        <v>1.3002058164970061E-2</v>
      </c>
      <c r="S65" s="80">
        <f t="shared" si="20"/>
        <v>0</v>
      </c>
      <c r="T65" s="80">
        <f t="shared" si="21"/>
        <v>1.0869565217391304E-2</v>
      </c>
      <c r="U65" s="81">
        <f t="shared" si="22"/>
        <v>-2.0000000000000573E-4</v>
      </c>
      <c r="V65" s="82">
        <f t="shared" si="23"/>
        <v>-2.0000000000000573E-4</v>
      </c>
    </row>
    <row r="66" spans="1:22">
      <c r="A66" s="180">
        <v>58</v>
      </c>
      <c r="B66" s="183" t="s">
        <v>117</v>
      </c>
      <c r="C66" s="166" t="s">
        <v>118</v>
      </c>
      <c r="D66" s="69">
        <v>13572108502.67</v>
      </c>
      <c r="E66" s="52">
        <f t="shared" si="35"/>
        <v>2.6567603447649624E-3</v>
      </c>
      <c r="F66" s="59">
        <v>1</v>
      </c>
      <c r="G66" s="59">
        <v>1</v>
      </c>
      <c r="H66" s="53">
        <v>657</v>
      </c>
      <c r="I66" s="75">
        <v>0.19439500000000001</v>
      </c>
      <c r="J66" s="75">
        <v>0.19439500000000001</v>
      </c>
      <c r="K66" s="69">
        <v>13774470694.049999</v>
      </c>
      <c r="L66" s="52">
        <f t="shared" si="36"/>
        <v>2.696373043501666E-3</v>
      </c>
      <c r="M66" s="59">
        <v>1</v>
      </c>
      <c r="N66" s="59">
        <v>1</v>
      </c>
      <c r="O66" s="53">
        <v>671</v>
      </c>
      <c r="P66" s="75">
        <v>0.19345599999999999</v>
      </c>
      <c r="Q66" s="75">
        <v>0.19345599999999999</v>
      </c>
      <c r="R66" s="80">
        <f t="shared" si="19"/>
        <v>1.4910151310696422E-2</v>
      </c>
      <c r="S66" s="80">
        <f t="shared" si="20"/>
        <v>0</v>
      </c>
      <c r="T66" s="80">
        <f t="shared" si="21"/>
        <v>2.1308980213089801E-2</v>
      </c>
      <c r="U66" s="81">
        <f t="shared" si="22"/>
        <v>-9.3900000000002315E-4</v>
      </c>
      <c r="V66" s="82">
        <f t="shared" si="23"/>
        <v>-9.3900000000002315E-4</v>
      </c>
    </row>
    <row r="67" spans="1:22">
      <c r="A67" s="180">
        <v>59</v>
      </c>
      <c r="B67" s="170" t="s">
        <v>119</v>
      </c>
      <c r="C67" s="166" t="s">
        <v>53</v>
      </c>
      <c r="D67" s="69">
        <v>221699296419.37</v>
      </c>
      <c r="E67" s="52">
        <f t="shared" si="35"/>
        <v>4.339796569364314E-2</v>
      </c>
      <c r="F67" s="59">
        <v>1</v>
      </c>
      <c r="G67" s="59">
        <v>1</v>
      </c>
      <c r="H67" s="53">
        <v>78617</v>
      </c>
      <c r="I67" s="75">
        <v>0.15329999999999999</v>
      </c>
      <c r="J67" s="75">
        <v>0.15329999999999999</v>
      </c>
      <c r="K67" s="69">
        <v>224452309558.82001</v>
      </c>
      <c r="L67" s="52">
        <f t="shared" si="36"/>
        <v>4.3936872093932294E-2</v>
      </c>
      <c r="M67" s="59">
        <v>1</v>
      </c>
      <c r="N67" s="59">
        <v>1</v>
      </c>
      <c r="O67" s="53">
        <v>79098</v>
      </c>
      <c r="P67" s="75">
        <v>0.15329999999999999</v>
      </c>
      <c r="Q67" s="75">
        <v>0.15329999999999999</v>
      </c>
      <c r="R67" s="80">
        <f t="shared" si="19"/>
        <v>1.2417780227152222E-2</v>
      </c>
      <c r="S67" s="80">
        <f t="shared" si="20"/>
        <v>0</v>
      </c>
      <c r="T67" s="80">
        <f t="shared" si="21"/>
        <v>6.1182695854586156E-3</v>
      </c>
      <c r="U67" s="81">
        <f t="shared" si="22"/>
        <v>0</v>
      </c>
      <c r="V67" s="82">
        <f t="shared" si="23"/>
        <v>0</v>
      </c>
    </row>
    <row r="68" spans="1:22">
      <c r="A68" s="180">
        <v>60</v>
      </c>
      <c r="B68" s="170" t="s">
        <v>120</v>
      </c>
      <c r="C68" s="166" t="s">
        <v>121</v>
      </c>
      <c r="D68" s="69">
        <v>2620019075.9200001</v>
      </c>
      <c r="E68" s="52">
        <f t="shared" si="35"/>
        <v>5.1287261533921778E-4</v>
      </c>
      <c r="F68" s="59">
        <v>1</v>
      </c>
      <c r="G68" s="59">
        <v>1</v>
      </c>
      <c r="H68" s="53">
        <v>153</v>
      </c>
      <c r="I68" s="75">
        <v>0.1477</v>
      </c>
      <c r="J68" s="75">
        <v>0.1477</v>
      </c>
      <c r="K68" s="69">
        <v>2450410578.1700001</v>
      </c>
      <c r="L68" s="52">
        <f t="shared" si="36"/>
        <v>4.7967150065105342E-4</v>
      </c>
      <c r="M68" s="59">
        <v>1</v>
      </c>
      <c r="N68" s="59">
        <v>1</v>
      </c>
      <c r="O68" s="53">
        <v>153</v>
      </c>
      <c r="P68" s="75">
        <v>0.15409999999999999</v>
      </c>
      <c r="Q68" s="75">
        <v>0.15409999999999999</v>
      </c>
      <c r="R68" s="80">
        <f t="shared" si="19"/>
        <v>-6.4735596511045726E-2</v>
      </c>
      <c r="S68" s="80">
        <f t="shared" si="20"/>
        <v>0</v>
      </c>
      <c r="T68" s="80">
        <f t="shared" si="21"/>
        <v>0</v>
      </c>
      <c r="U68" s="81">
        <f t="shared" si="22"/>
        <v>6.399999999999989E-3</v>
      </c>
      <c r="V68" s="82">
        <f t="shared" si="23"/>
        <v>6.399999999999989E-3</v>
      </c>
    </row>
    <row r="69" spans="1:22">
      <c r="A69" s="180">
        <v>61</v>
      </c>
      <c r="B69" s="170" t="s">
        <v>122</v>
      </c>
      <c r="C69" s="166" t="s">
        <v>123</v>
      </c>
      <c r="D69" s="69">
        <v>8700576927.5599995</v>
      </c>
      <c r="E69" s="52">
        <f t="shared" si="35"/>
        <v>1.7031508223774492E-3</v>
      </c>
      <c r="F69" s="59">
        <v>1</v>
      </c>
      <c r="G69" s="59">
        <v>1</v>
      </c>
      <c r="H69" s="53">
        <v>555</v>
      </c>
      <c r="I69" s="75">
        <v>0.16769999999999999</v>
      </c>
      <c r="J69" s="75">
        <v>0.16769999999999999</v>
      </c>
      <c r="K69" s="69">
        <v>8428126623.2700005</v>
      </c>
      <c r="L69" s="52">
        <f t="shared" si="36"/>
        <v>1.649818271711912E-3</v>
      </c>
      <c r="M69" s="59">
        <v>1</v>
      </c>
      <c r="N69" s="59">
        <v>1</v>
      </c>
      <c r="O69" s="53">
        <v>535</v>
      </c>
      <c r="P69" s="75">
        <v>0.14230000000000001</v>
      </c>
      <c r="Q69" s="75">
        <v>0.14230000000000001</v>
      </c>
      <c r="R69" s="80">
        <f t="shared" si="19"/>
        <v>-3.1314050385208798E-2</v>
      </c>
      <c r="S69" s="80">
        <f t="shared" si="20"/>
        <v>0</v>
      </c>
      <c r="T69" s="80">
        <f t="shared" si="21"/>
        <v>-3.6036036036036036E-2</v>
      </c>
      <c r="U69" s="81">
        <f t="shared" si="22"/>
        <v>-2.5399999999999978E-2</v>
      </c>
      <c r="V69" s="82">
        <f t="shared" si="23"/>
        <v>-2.5399999999999978E-2</v>
      </c>
    </row>
    <row r="70" spans="1:22">
      <c r="A70" s="180">
        <v>62</v>
      </c>
      <c r="B70" s="170" t="s">
        <v>124</v>
      </c>
      <c r="C70" s="166" t="s">
        <v>125</v>
      </c>
      <c r="D70" s="69">
        <v>11960915693.620001</v>
      </c>
      <c r="E70" s="52">
        <f t="shared" si="35"/>
        <v>2.3413669656144492E-3</v>
      </c>
      <c r="F70" s="59">
        <v>1</v>
      </c>
      <c r="G70" s="59">
        <v>1</v>
      </c>
      <c r="H70" s="53">
        <v>5696</v>
      </c>
      <c r="I70" s="75">
        <v>0.18679999999999999</v>
      </c>
      <c r="J70" s="75">
        <v>0.18679999999999999</v>
      </c>
      <c r="K70" s="69">
        <v>12575558228</v>
      </c>
      <c r="L70" s="52">
        <f t="shared" si="36"/>
        <v>2.4616841522347426E-3</v>
      </c>
      <c r="M70" s="59">
        <v>1</v>
      </c>
      <c r="N70" s="59">
        <v>1</v>
      </c>
      <c r="O70" s="53">
        <v>5798</v>
      </c>
      <c r="P70" s="75">
        <v>0.18290000000000001</v>
      </c>
      <c r="Q70" s="75">
        <v>0.18290000000000001</v>
      </c>
      <c r="R70" s="80">
        <f t="shared" si="19"/>
        <v>5.1387581864476471E-2</v>
      </c>
      <c r="S70" s="80">
        <f t="shared" si="20"/>
        <v>0</v>
      </c>
      <c r="T70" s="80">
        <f t="shared" si="21"/>
        <v>1.7907303370786515E-2</v>
      </c>
      <c r="U70" s="81">
        <f t="shared" si="22"/>
        <v>-3.8999999999999868E-3</v>
      </c>
      <c r="V70" s="82">
        <f t="shared" si="23"/>
        <v>-3.8999999999999868E-3</v>
      </c>
    </row>
    <row r="71" spans="1:22">
      <c r="A71" s="180">
        <v>63</v>
      </c>
      <c r="B71" s="170" t="s">
        <v>126</v>
      </c>
      <c r="C71" s="166" t="s">
        <v>127</v>
      </c>
      <c r="D71" s="69">
        <v>140840049140.72</v>
      </c>
      <c r="E71" s="52">
        <f t="shared" si="35"/>
        <v>2.7569648256068877E-2</v>
      </c>
      <c r="F71" s="59">
        <v>1</v>
      </c>
      <c r="G71" s="59">
        <v>1</v>
      </c>
      <c r="H71" s="53">
        <v>7413</v>
      </c>
      <c r="I71" s="75">
        <v>0.1716</v>
      </c>
      <c r="J71" s="75">
        <v>0.1716</v>
      </c>
      <c r="K71" s="69">
        <v>140574829749.37</v>
      </c>
      <c r="L71" s="52">
        <f t="shared" si="36"/>
        <v>2.7517731167323027E-2</v>
      </c>
      <c r="M71" s="59">
        <v>1</v>
      </c>
      <c r="N71" s="59">
        <v>1</v>
      </c>
      <c r="O71" s="53">
        <v>7492</v>
      </c>
      <c r="P71" s="75">
        <v>0.1716</v>
      </c>
      <c r="Q71" s="75">
        <v>0.1716</v>
      </c>
      <c r="R71" s="80">
        <f t="shared" si="19"/>
        <v>-1.883124814057774E-3</v>
      </c>
      <c r="S71" s="80">
        <f t="shared" si="20"/>
        <v>0</v>
      </c>
      <c r="T71" s="80">
        <f t="shared" si="21"/>
        <v>1.0656953999730203E-2</v>
      </c>
      <c r="U71" s="81">
        <f t="shared" si="22"/>
        <v>0</v>
      </c>
      <c r="V71" s="82">
        <f t="shared" si="23"/>
        <v>0</v>
      </c>
    </row>
    <row r="72" spans="1:22">
      <c r="A72" s="60"/>
      <c r="B72" s="61"/>
      <c r="C72" s="62" t="s">
        <v>56</v>
      </c>
      <c r="D72" s="84">
        <f>SUM(D29:D71)</f>
        <v>5059951065309.5</v>
      </c>
      <c r="E72" s="64">
        <f>(D72/$D$231)</f>
        <v>0.6301824756715676</v>
      </c>
      <c r="F72" s="65"/>
      <c r="G72" s="70"/>
      <c r="H72" s="67">
        <f>SUM(H29:H71)</f>
        <v>626888</v>
      </c>
      <c r="I72" s="88"/>
      <c r="J72" s="88"/>
      <c r="K72" s="84">
        <f>SUM(K29:K71)</f>
        <v>5108518173049.8516</v>
      </c>
      <c r="L72" s="64">
        <f>(K72/$K$231)</f>
        <v>0.63411530212249201</v>
      </c>
      <c r="M72" s="65"/>
      <c r="N72" s="70"/>
      <c r="O72" s="67">
        <f>SUM(O29:O71)</f>
        <v>633348</v>
      </c>
      <c r="P72" s="88"/>
      <c r="Q72" s="88"/>
      <c r="R72" s="80">
        <f t="shared" si="19"/>
        <v>9.5983354608550706E-3</v>
      </c>
      <c r="S72" s="80" t="e">
        <f t="shared" si="20"/>
        <v>#DIV/0!</v>
      </c>
      <c r="T72" s="80">
        <f t="shared" si="21"/>
        <v>1.0304871045545616E-2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</row>
    <row r="74" spans="1:22" ht="15" customHeight="1">
      <c r="A74" s="193" t="s">
        <v>128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</row>
    <row r="75" spans="1:22">
      <c r="A75" s="180">
        <v>64</v>
      </c>
      <c r="B75" s="170" t="s">
        <v>129</v>
      </c>
      <c r="C75" s="166" t="s">
        <v>22</v>
      </c>
      <c r="D75" s="57">
        <v>728541515.40999997</v>
      </c>
      <c r="E75" s="52">
        <f>(D75/$D$114)</f>
        <v>2.9917104411628826E-3</v>
      </c>
      <c r="F75" s="85">
        <v>1.6475</v>
      </c>
      <c r="G75" s="85">
        <v>1.6475</v>
      </c>
      <c r="H75" s="53">
        <v>541</v>
      </c>
      <c r="I75" s="75">
        <v>1.459E-3</v>
      </c>
      <c r="J75" s="75">
        <v>-1.3100000000000001E-2</v>
      </c>
      <c r="K75" s="57">
        <v>727474295.13999999</v>
      </c>
      <c r="L75" s="52">
        <f t="shared" ref="L75:L98" si="37">(K75/$K$114)</f>
        <v>2.9932863139526008E-3</v>
      </c>
      <c r="M75" s="85">
        <v>1.6544000000000001</v>
      </c>
      <c r="N75" s="85">
        <v>1.6544000000000001</v>
      </c>
      <c r="O75" s="53">
        <v>541</v>
      </c>
      <c r="P75" s="75">
        <v>1.029E-3</v>
      </c>
      <c r="Q75" s="75">
        <v>-8.8999999999999999E-3</v>
      </c>
      <c r="R75" s="80">
        <f>((K75-D75)/D75)</f>
        <v>-1.4648722789659878E-3</v>
      </c>
      <c r="S75" s="80">
        <f>((N75-G75)/G75)</f>
        <v>4.1881638846738263E-3</v>
      </c>
      <c r="T75" s="80">
        <f>((O75-H75)/H75)</f>
        <v>0</v>
      </c>
      <c r="U75" s="81">
        <f>P75-I75</f>
        <v>-4.3000000000000004E-4</v>
      </c>
      <c r="V75" s="82">
        <f>Q75-J75</f>
        <v>4.2000000000000006E-3</v>
      </c>
    </row>
    <row r="76" spans="1:22">
      <c r="A76" s="180">
        <v>65</v>
      </c>
      <c r="B76" s="170" t="s">
        <v>130</v>
      </c>
      <c r="C76" s="166" t="s">
        <v>24</v>
      </c>
      <c r="D76" s="57">
        <v>1427728780.21</v>
      </c>
      <c r="E76" s="52">
        <f>(D76/$D$114)</f>
        <v>5.8628794770867977E-3</v>
      </c>
      <c r="F76" s="85">
        <v>1.331</v>
      </c>
      <c r="G76" s="85">
        <v>1.331</v>
      </c>
      <c r="H76" s="53">
        <v>1463</v>
      </c>
      <c r="I76" s="75">
        <v>4.7100000000000003E-2</v>
      </c>
      <c r="J76" s="75">
        <v>3.09E-2</v>
      </c>
      <c r="K76" s="57">
        <v>1328942281.27</v>
      </c>
      <c r="L76" s="52">
        <f t="shared" si="37"/>
        <v>5.4681035043209385E-3</v>
      </c>
      <c r="M76" s="85">
        <v>1.3338000000000001</v>
      </c>
      <c r="N76" s="85">
        <v>1.3338000000000001</v>
      </c>
      <c r="O76" s="53">
        <v>1460</v>
      </c>
      <c r="P76" s="75">
        <v>0.10970000000000001</v>
      </c>
      <c r="Q76" s="75">
        <v>5.4899999999999997E-2</v>
      </c>
      <c r="R76" s="80">
        <f t="shared" ref="R76:R114" si="38">((K76-D76)/D76)</f>
        <v>-6.9191362049499258E-2</v>
      </c>
      <c r="S76" s="80">
        <f t="shared" ref="S76:S114" si="39">((N76-G76)/G76)</f>
        <v>2.1036814425245197E-3</v>
      </c>
      <c r="T76" s="80">
        <f t="shared" ref="T76:T114" si="40">((O76-H76)/H76)</f>
        <v>-2.050580997949419E-3</v>
      </c>
      <c r="U76" s="81">
        <f t="shared" ref="U76:U114" si="41">P76-I76</f>
        <v>6.2600000000000003E-2</v>
      </c>
      <c r="V76" s="82">
        <f t="shared" ref="V76:V114" si="42">Q76-J76</f>
        <v>2.3999999999999997E-2</v>
      </c>
    </row>
    <row r="77" spans="1:22">
      <c r="A77" s="180">
        <v>66</v>
      </c>
      <c r="B77" s="170" t="s">
        <v>131</v>
      </c>
      <c r="C77" s="166" t="s">
        <v>24</v>
      </c>
      <c r="D77" s="57">
        <v>848884841.54999995</v>
      </c>
      <c r="E77" s="52">
        <f>(D77/$D$114)</f>
        <v>3.4858928284695187E-3</v>
      </c>
      <c r="F77" s="85">
        <v>1.1879999999999999</v>
      </c>
      <c r="G77" s="85">
        <v>1.1879999999999999</v>
      </c>
      <c r="H77" s="53">
        <v>604</v>
      </c>
      <c r="I77" s="75">
        <v>0.1232</v>
      </c>
      <c r="J77" s="75">
        <v>0.1139</v>
      </c>
      <c r="K77" s="57">
        <v>853406636.50999999</v>
      </c>
      <c r="L77" s="52">
        <f t="shared" si="37"/>
        <v>3.5114510881928854E-3</v>
      </c>
      <c r="M77" s="85">
        <v>1.1906000000000001</v>
      </c>
      <c r="N77" s="85">
        <v>1.1906000000000001</v>
      </c>
      <c r="O77" s="53">
        <v>636</v>
      </c>
      <c r="P77" s="75">
        <v>0.11409999999999999</v>
      </c>
      <c r="Q77" s="75">
        <v>0.11409999999999999</v>
      </c>
      <c r="R77" s="80">
        <f t="shared" si="38"/>
        <v>5.3267472084241492E-3</v>
      </c>
      <c r="S77" s="80">
        <f t="shared" si="39"/>
        <v>2.1885521885523216E-3</v>
      </c>
      <c r="T77" s="80">
        <f t="shared" si="40"/>
        <v>5.2980132450331126E-2</v>
      </c>
      <c r="U77" s="81">
        <f t="shared" si="41"/>
        <v>-9.1000000000000109E-3</v>
      </c>
      <c r="V77" s="82">
        <f t="shared" si="42"/>
        <v>1.9999999999999185E-4</v>
      </c>
    </row>
    <row r="78" spans="1:22">
      <c r="A78" s="180">
        <v>67</v>
      </c>
      <c r="B78" s="170" t="s">
        <v>132</v>
      </c>
      <c r="C78" s="166" t="s">
        <v>64</v>
      </c>
      <c r="D78" s="57">
        <v>326517614.25999999</v>
      </c>
      <c r="E78" s="52">
        <f>(D78/$D$114)</f>
        <v>1.3408242840567549E-3</v>
      </c>
      <c r="F78" s="56">
        <v>1268.69</v>
      </c>
      <c r="G78" s="56">
        <v>1268.69</v>
      </c>
      <c r="H78" s="53">
        <v>109</v>
      </c>
      <c r="I78" s="75">
        <v>2.0999999999999999E-3</v>
      </c>
      <c r="J78" s="75">
        <v>4.3200000000000002E-2</v>
      </c>
      <c r="K78" s="57">
        <v>327424913.19</v>
      </c>
      <c r="L78" s="52">
        <f t="shared" si="37"/>
        <v>1.3472318101770634E-3</v>
      </c>
      <c r="M78" s="56" t="s">
        <v>336</v>
      </c>
      <c r="N78" s="56" t="s">
        <v>336</v>
      </c>
      <c r="O78" s="53">
        <v>109</v>
      </c>
      <c r="P78" s="75">
        <v>2.2000000000000001E-3</v>
      </c>
      <c r="Q78" s="75">
        <v>7.6300000000000007E-2</v>
      </c>
      <c r="R78" s="80">
        <f t="shared" si="38"/>
        <v>2.7787135835114292E-3</v>
      </c>
      <c r="S78" s="80" t="e">
        <f t="shared" si="39"/>
        <v>#VALUE!</v>
      </c>
      <c r="T78" s="80">
        <f t="shared" si="40"/>
        <v>0</v>
      </c>
      <c r="U78" s="81">
        <f t="shared" si="41"/>
        <v>1.0000000000000026E-4</v>
      </c>
      <c r="V78" s="82">
        <f t="shared" si="42"/>
        <v>3.3100000000000004E-2</v>
      </c>
    </row>
    <row r="79" spans="1:22" ht="15" customHeight="1">
      <c r="A79" s="180">
        <v>68</v>
      </c>
      <c r="B79" s="170" t="s">
        <v>133</v>
      </c>
      <c r="C79" s="166" t="s">
        <v>28</v>
      </c>
      <c r="D79" s="57">
        <v>1821245562.48</v>
      </c>
      <c r="E79" s="52">
        <f>(D79/$K$114)</f>
        <v>7.4937485117177452E-3</v>
      </c>
      <c r="F79" s="56">
        <v>1.0831</v>
      </c>
      <c r="G79" s="56">
        <v>1.0831</v>
      </c>
      <c r="H79" s="53">
        <v>1059</v>
      </c>
      <c r="I79" s="75">
        <v>5.1000000000000004E-3</v>
      </c>
      <c r="J79" s="75">
        <v>1.8E-3</v>
      </c>
      <c r="K79" s="57">
        <v>1739276130.3099999</v>
      </c>
      <c r="L79" s="52">
        <f t="shared" si="37"/>
        <v>7.1564747673173211E-3</v>
      </c>
      <c r="M79" s="56">
        <v>1.0817000000000001</v>
      </c>
      <c r="N79" s="56">
        <v>1.0817000000000001</v>
      </c>
      <c r="O79" s="53">
        <v>1074</v>
      </c>
      <c r="P79" s="75">
        <v>-1.2999999999999999E-3</v>
      </c>
      <c r="Q79" s="75">
        <v>5.0000000000000001E-4</v>
      </c>
      <c r="R79" s="80">
        <f t="shared" si="38"/>
        <v>-4.5007347640908926E-2</v>
      </c>
      <c r="S79" s="80">
        <f t="shared" si="39"/>
        <v>-1.2925860954665735E-3</v>
      </c>
      <c r="T79" s="80">
        <f t="shared" si="40"/>
        <v>1.4164305949008499E-2</v>
      </c>
      <c r="U79" s="81">
        <f t="shared" si="41"/>
        <v>-6.4000000000000003E-3</v>
      </c>
      <c r="V79" s="82">
        <f t="shared" si="42"/>
        <v>-1.2999999999999999E-3</v>
      </c>
    </row>
    <row r="80" spans="1:22">
      <c r="A80" s="180">
        <v>69</v>
      </c>
      <c r="B80" s="170" t="s">
        <v>134</v>
      </c>
      <c r="C80" s="166" t="s">
        <v>135</v>
      </c>
      <c r="D80" s="57">
        <v>483716870.10000002</v>
      </c>
      <c r="E80" s="52">
        <f t="shared" ref="E80:E98" si="43">(D80/$D$114)</f>
        <v>1.9863532554220951E-3</v>
      </c>
      <c r="F80" s="56">
        <v>2.7570999999999999</v>
      </c>
      <c r="G80" s="56">
        <v>2.7570999999999999</v>
      </c>
      <c r="H80" s="53">
        <v>1390</v>
      </c>
      <c r="I80" s="75">
        <v>0.14030000000000001</v>
      </c>
      <c r="J80" s="75">
        <v>0.1424</v>
      </c>
      <c r="K80" s="57">
        <v>485021022.61000001</v>
      </c>
      <c r="L80" s="52">
        <f t="shared" si="37"/>
        <v>1.9956812201569443E-3</v>
      </c>
      <c r="M80" s="56">
        <v>2.7645</v>
      </c>
      <c r="N80" s="56">
        <v>2.7645</v>
      </c>
      <c r="O80" s="53">
        <v>1390</v>
      </c>
      <c r="P80" s="75">
        <v>0.14000000000000001</v>
      </c>
      <c r="Q80" s="75">
        <v>0.1419</v>
      </c>
      <c r="R80" s="80">
        <f t="shared" si="38"/>
        <v>2.6961071457573512E-3</v>
      </c>
      <c r="S80" s="80">
        <f t="shared" si="39"/>
        <v>2.6839795437235041E-3</v>
      </c>
      <c r="T80" s="80">
        <f t="shared" si="40"/>
        <v>0</v>
      </c>
      <c r="U80" s="81">
        <f t="shared" si="41"/>
        <v>-2.9999999999999472E-4</v>
      </c>
      <c r="V80" s="82">
        <f t="shared" si="42"/>
        <v>-5.0000000000000044E-4</v>
      </c>
    </row>
    <row r="81" spans="1:22">
      <c r="A81" s="180">
        <v>70</v>
      </c>
      <c r="B81" s="166" t="s">
        <v>136</v>
      </c>
      <c r="C81" s="166" t="s">
        <v>137</v>
      </c>
      <c r="D81" s="57">
        <v>1245753606.6800001</v>
      </c>
      <c r="E81" s="52">
        <f t="shared" si="43"/>
        <v>5.1156097399933011E-3</v>
      </c>
      <c r="F81" s="56">
        <v>1127.5999999999999</v>
      </c>
      <c r="G81" s="56">
        <v>1127.5999999999999</v>
      </c>
      <c r="H81" s="53">
        <v>252</v>
      </c>
      <c r="I81" s="75">
        <v>3.5899999999999999E-3</v>
      </c>
      <c r="J81" s="75">
        <v>7.6699999999999997E-3</v>
      </c>
      <c r="K81" s="57">
        <v>1262656865.54</v>
      </c>
      <c r="L81" s="52">
        <f t="shared" si="37"/>
        <v>5.1953636576421176E-3</v>
      </c>
      <c r="M81" s="56">
        <v>1131.67</v>
      </c>
      <c r="N81" s="56">
        <v>1131.67</v>
      </c>
      <c r="O81" s="53">
        <v>249</v>
      </c>
      <c r="P81" s="75">
        <v>1.1849999999999999E-2</v>
      </c>
      <c r="Q81" s="75">
        <v>2.0459999999999999E-2</v>
      </c>
      <c r="R81" s="80">
        <f t="shared" ref="R81" si="44">((K81-D81)/D81)</f>
        <v>1.3568701522805929E-2</v>
      </c>
      <c r="S81" s="80">
        <f t="shared" si="39"/>
        <v>3.6094359702023449E-3</v>
      </c>
      <c r="T81" s="80">
        <f t="shared" ref="T81" si="45">((O81-H81)/H81)</f>
        <v>-1.1904761904761904E-2</v>
      </c>
      <c r="U81" s="81">
        <f t="shared" si="41"/>
        <v>8.26E-3</v>
      </c>
      <c r="V81" s="82">
        <f t="shared" si="42"/>
        <v>1.2789999999999999E-2</v>
      </c>
    </row>
    <row r="82" spans="1:22">
      <c r="A82" s="180">
        <v>71</v>
      </c>
      <c r="B82" s="170" t="s">
        <v>138</v>
      </c>
      <c r="C82" s="166" t="s">
        <v>69</v>
      </c>
      <c r="D82" s="57">
        <v>232000696.31999999</v>
      </c>
      <c r="E82" s="52">
        <f t="shared" si="43"/>
        <v>9.5269643645084199E-4</v>
      </c>
      <c r="F82" s="56">
        <v>11.44</v>
      </c>
      <c r="G82" s="56">
        <v>11.522</v>
      </c>
      <c r="H82" s="53">
        <v>46</v>
      </c>
      <c r="I82" s="75">
        <v>7.4999999999999997E-3</v>
      </c>
      <c r="J82" s="75">
        <v>-4.36E-2</v>
      </c>
      <c r="K82" s="57">
        <v>232308393.36000001</v>
      </c>
      <c r="L82" s="52">
        <f t="shared" si="37"/>
        <v>9.5586268697917985E-4</v>
      </c>
      <c r="M82" s="56">
        <v>11.4551</v>
      </c>
      <c r="N82" s="56">
        <v>11.529199999999999</v>
      </c>
      <c r="O82" s="53">
        <v>46</v>
      </c>
      <c r="P82" s="75">
        <v>-2.5100000000000001E-3</v>
      </c>
      <c r="Q82" s="75">
        <v>-1.6400000000000001E-2</v>
      </c>
      <c r="R82" s="80">
        <f t="shared" si="38"/>
        <v>1.3262763641692396E-3</v>
      </c>
      <c r="S82" s="80">
        <f t="shared" si="39"/>
        <v>6.2489151189022794E-4</v>
      </c>
      <c r="T82" s="80">
        <f t="shared" si="40"/>
        <v>0</v>
      </c>
      <c r="U82" s="81">
        <f t="shared" si="41"/>
        <v>-1.001E-2</v>
      </c>
      <c r="V82" s="82">
        <f t="shared" si="42"/>
        <v>2.7199999999999998E-2</v>
      </c>
    </row>
    <row r="83" spans="1:22">
      <c r="A83" s="180">
        <v>72</v>
      </c>
      <c r="B83" s="170" t="s">
        <v>139</v>
      </c>
      <c r="C83" s="166" t="s">
        <v>71</v>
      </c>
      <c r="D83" s="57">
        <v>1999467963.8696599</v>
      </c>
      <c r="E83" s="52">
        <f t="shared" si="43"/>
        <v>8.2106908909826068E-3</v>
      </c>
      <c r="F83" s="57">
        <v>4778.1400000000003</v>
      </c>
      <c r="G83" s="57">
        <v>4778.1400000000003</v>
      </c>
      <c r="H83" s="53">
        <v>1173</v>
      </c>
      <c r="I83" s="75">
        <v>0.1244</v>
      </c>
      <c r="J83" s="75">
        <v>0.12230000000000001</v>
      </c>
      <c r="K83" s="57">
        <v>2043625922.2664299</v>
      </c>
      <c r="L83" s="52">
        <f t="shared" si="37"/>
        <v>8.4087610309057596E-3</v>
      </c>
      <c r="M83" s="57">
        <v>4789.0134504141797</v>
      </c>
      <c r="N83" s="57">
        <v>4789.0134504141797</v>
      </c>
      <c r="O83" s="53">
        <v>1174</v>
      </c>
      <c r="P83" s="75">
        <v>0.1187</v>
      </c>
      <c r="Q83" s="75">
        <v>0.12139999999999999</v>
      </c>
      <c r="R83" s="80">
        <f t="shared" si="38"/>
        <v>2.2084854168560483E-2</v>
      </c>
      <c r="S83" s="80">
        <f t="shared" si="39"/>
        <v>2.2756659315506427E-3</v>
      </c>
      <c r="T83" s="80">
        <f t="shared" si="40"/>
        <v>8.5251491901108269E-4</v>
      </c>
      <c r="U83" s="81">
        <f t="shared" si="41"/>
        <v>-5.6999999999999967E-3</v>
      </c>
      <c r="V83" s="82">
        <f t="shared" si="42"/>
        <v>-9.000000000000119E-4</v>
      </c>
    </row>
    <row r="84" spans="1:22">
      <c r="A84" s="180">
        <v>73</v>
      </c>
      <c r="B84" s="170" t="s">
        <v>140</v>
      </c>
      <c r="C84" s="166" t="s">
        <v>73</v>
      </c>
      <c r="D84" s="57">
        <v>373247288.49000001</v>
      </c>
      <c r="E84" s="52">
        <f t="shared" si="43"/>
        <v>1.5327167861983182E-3</v>
      </c>
      <c r="F84" s="85">
        <v>112.59</v>
      </c>
      <c r="G84" s="85">
        <v>112.59</v>
      </c>
      <c r="H84" s="53">
        <v>97</v>
      </c>
      <c r="I84" s="75">
        <v>2.0999999999999999E-3</v>
      </c>
      <c r="J84" s="75">
        <v>0.1225</v>
      </c>
      <c r="K84" s="57">
        <v>372804542.69</v>
      </c>
      <c r="L84" s="52">
        <f t="shared" si="37"/>
        <v>1.5339521174402208E-3</v>
      </c>
      <c r="M84" s="85">
        <v>112.83</v>
      </c>
      <c r="N84" s="85">
        <v>112.83</v>
      </c>
      <c r="O84" s="53">
        <v>97</v>
      </c>
      <c r="P84" s="75">
        <v>2.0999999999999999E-3</v>
      </c>
      <c r="Q84" s="75">
        <v>0.1225</v>
      </c>
      <c r="R84" s="80">
        <f t="shared" si="38"/>
        <v>-1.1861996420420718E-3</v>
      </c>
      <c r="S84" s="80">
        <f t="shared" si="39"/>
        <v>2.1316280309085609E-3</v>
      </c>
      <c r="T84" s="80">
        <f t="shared" si="40"/>
        <v>0</v>
      </c>
      <c r="U84" s="81">
        <f t="shared" si="41"/>
        <v>0</v>
      </c>
      <c r="V84" s="82">
        <f t="shared" si="42"/>
        <v>0</v>
      </c>
    </row>
    <row r="85" spans="1:22" ht="13.5" customHeight="1">
      <c r="A85" s="180">
        <v>74</v>
      </c>
      <c r="B85" s="170" t="s">
        <v>141</v>
      </c>
      <c r="C85" s="166" t="s">
        <v>75</v>
      </c>
      <c r="D85" s="57">
        <v>793890150.99000001</v>
      </c>
      <c r="E85" s="52">
        <f t="shared" si="43"/>
        <v>3.2600605505872043E-3</v>
      </c>
      <c r="F85" s="85">
        <v>1.5013000000000001</v>
      </c>
      <c r="G85" s="85">
        <v>1.4979</v>
      </c>
      <c r="H85" s="53">
        <v>1922</v>
      </c>
      <c r="I85" s="75">
        <v>2.3E-3</v>
      </c>
      <c r="J85" s="75">
        <v>0.14050000000000001</v>
      </c>
      <c r="K85" s="57">
        <v>900051041.63999999</v>
      </c>
      <c r="L85" s="52">
        <f t="shared" si="37"/>
        <v>3.7033754770418688E-3</v>
      </c>
      <c r="M85" s="85">
        <v>1.5034000000000001</v>
      </c>
      <c r="N85" s="85">
        <v>1.5034000000000001</v>
      </c>
      <c r="O85" s="53">
        <v>2074</v>
      </c>
      <c r="P85" s="75">
        <v>2.3E-3</v>
      </c>
      <c r="Q85" s="75">
        <v>0.14050000000000001</v>
      </c>
      <c r="R85" s="80">
        <f t="shared" si="38"/>
        <v>0.13372239284945758</v>
      </c>
      <c r="S85" s="80">
        <f t="shared" si="39"/>
        <v>3.671807196742146E-3</v>
      </c>
      <c r="T85" s="80">
        <f t="shared" si="40"/>
        <v>7.9084287200832465E-2</v>
      </c>
      <c r="U85" s="81">
        <f t="shared" si="41"/>
        <v>0</v>
      </c>
      <c r="V85" s="82">
        <f t="shared" si="42"/>
        <v>0</v>
      </c>
    </row>
    <row r="86" spans="1:22" ht="13.5" customHeight="1">
      <c r="A86" s="180">
        <v>75</v>
      </c>
      <c r="B86" s="170" t="s">
        <v>142</v>
      </c>
      <c r="C86" s="166" t="s">
        <v>75</v>
      </c>
      <c r="D86" s="57">
        <v>77296019.159999996</v>
      </c>
      <c r="E86" s="52">
        <f t="shared" si="43"/>
        <v>3.1741129735229928E-4</v>
      </c>
      <c r="F86" s="85">
        <v>0.99460000000000004</v>
      </c>
      <c r="G86" s="85">
        <v>0.99460000000000004</v>
      </c>
      <c r="H86" s="53">
        <v>87</v>
      </c>
      <c r="I86" s="75">
        <v>1.6000000000000001E-3</v>
      </c>
      <c r="J86" s="75">
        <v>5.0000000000000001E-3</v>
      </c>
      <c r="K86" s="57">
        <v>126402773.31</v>
      </c>
      <c r="L86" s="52">
        <f t="shared" si="37"/>
        <v>5.2010042680843051E-4</v>
      </c>
      <c r="M86" s="85">
        <v>0.99750000000000005</v>
      </c>
      <c r="N86" s="85">
        <v>0.99750000000000005</v>
      </c>
      <c r="O86" s="53">
        <v>98</v>
      </c>
      <c r="P86" s="75">
        <v>2.8999999999999998E-3</v>
      </c>
      <c r="Q86" s="75">
        <v>6.4000000000000003E-3</v>
      </c>
      <c r="R86" s="80">
        <f t="shared" ref="R86" si="46">((K86-D86)/D86)</f>
        <v>0.63530767410351086</v>
      </c>
      <c r="S86" s="80">
        <f t="shared" ref="S86" si="47">((N86-G86)/G86)</f>
        <v>2.9157450231248878E-3</v>
      </c>
      <c r="T86" s="80">
        <f t="shared" ref="T86" si="48">((O86-H86)/H86)</f>
        <v>0.12643678160919541</v>
      </c>
      <c r="U86" s="81">
        <f t="shared" ref="U86" si="49">P86-I86</f>
        <v>1.2999999999999997E-3</v>
      </c>
      <c r="V86" s="82">
        <f t="shared" ref="V86" si="50">Q86-J86</f>
        <v>1.4000000000000002E-3</v>
      </c>
    </row>
    <row r="87" spans="1:22">
      <c r="A87" s="180">
        <v>76</v>
      </c>
      <c r="B87" s="170" t="s">
        <v>143</v>
      </c>
      <c r="C87" s="166" t="s">
        <v>30</v>
      </c>
      <c r="D87" s="57">
        <v>295365021.11000001</v>
      </c>
      <c r="E87" s="52">
        <f t="shared" si="43"/>
        <v>1.2128980969763872E-3</v>
      </c>
      <c r="F87" s="85">
        <v>140.60849999999999</v>
      </c>
      <c r="G87" s="85">
        <v>140.60849999999999</v>
      </c>
      <c r="H87" s="53">
        <v>391</v>
      </c>
      <c r="I87" s="75">
        <v>5.0299999999999997E-4</v>
      </c>
      <c r="J87" s="75">
        <v>2.3199999999999998E-2</v>
      </c>
      <c r="K87" s="57">
        <v>290960683.42000002</v>
      </c>
      <c r="L87" s="52">
        <f t="shared" si="37"/>
        <v>1.1971950588464081E-3</v>
      </c>
      <c r="M87" s="85">
        <v>141.1079</v>
      </c>
      <c r="N87" s="85">
        <v>141.1079</v>
      </c>
      <c r="O87" s="53">
        <v>391</v>
      </c>
      <c r="P87" s="75">
        <v>5.0100000000000003E-4</v>
      </c>
      <c r="Q87" s="75">
        <v>2.4799999999999999E-2</v>
      </c>
      <c r="R87" s="80">
        <f t="shared" si="38"/>
        <v>-1.4911507372972683E-2</v>
      </c>
      <c r="S87" s="80">
        <f t="shared" si="39"/>
        <v>3.5517056223486384E-3</v>
      </c>
      <c r="T87" s="80">
        <f t="shared" si="40"/>
        <v>0</v>
      </c>
      <c r="U87" s="81">
        <f t="shared" si="41"/>
        <v>-1.9999999999999402E-6</v>
      </c>
      <c r="V87" s="82">
        <f t="shared" si="42"/>
        <v>1.6000000000000007E-3</v>
      </c>
    </row>
    <row r="88" spans="1:22">
      <c r="A88" s="180">
        <v>77</v>
      </c>
      <c r="B88" s="170" t="s">
        <v>144</v>
      </c>
      <c r="C88" s="166" t="s">
        <v>77</v>
      </c>
      <c r="D88" s="57">
        <v>2638390840.2399998</v>
      </c>
      <c r="E88" s="52">
        <f t="shared" si="43"/>
        <v>1.0834387962328296E-2</v>
      </c>
      <c r="F88" s="56">
        <v>1296.3800000000001</v>
      </c>
      <c r="G88" s="56">
        <v>1296.3800000000001</v>
      </c>
      <c r="H88" s="53">
        <v>313</v>
      </c>
      <c r="I88" s="75">
        <v>1.9099999999999999E-2</v>
      </c>
      <c r="J88" s="75">
        <v>0.23830000000000001</v>
      </c>
      <c r="K88" s="57">
        <v>2648969985.3699999</v>
      </c>
      <c r="L88" s="52">
        <f t="shared" si="37"/>
        <v>1.089952683723802E-2</v>
      </c>
      <c r="M88" s="56">
        <v>1300.8399999999999</v>
      </c>
      <c r="N88" s="56">
        <v>1300.8399999999999</v>
      </c>
      <c r="O88" s="53">
        <v>315</v>
      </c>
      <c r="P88" s="75">
        <v>1.9300000000000001E-2</v>
      </c>
      <c r="Q88" s="75">
        <v>0.2346</v>
      </c>
      <c r="R88" s="80">
        <f t="shared" si="38"/>
        <v>4.0096959740194473E-3</v>
      </c>
      <c r="S88" s="80">
        <f t="shared" si="39"/>
        <v>3.4403492803034672E-3</v>
      </c>
      <c r="T88" s="80">
        <f t="shared" si="40"/>
        <v>6.3897763578274758E-3</v>
      </c>
      <c r="U88" s="81">
        <f t="shared" si="41"/>
        <v>2.0000000000000226E-4</v>
      </c>
      <c r="V88" s="82">
        <f t="shared" si="42"/>
        <v>-3.7000000000000088E-3</v>
      </c>
    </row>
    <row r="89" spans="1:22">
      <c r="A89" s="180">
        <v>78</v>
      </c>
      <c r="B89" s="170" t="s">
        <v>145</v>
      </c>
      <c r="C89" s="166" t="s">
        <v>79</v>
      </c>
      <c r="D89" s="57">
        <v>129644956.54000001</v>
      </c>
      <c r="E89" s="52">
        <f t="shared" si="43"/>
        <v>5.3237895428176224E-4</v>
      </c>
      <c r="F89" s="56">
        <v>968.64</v>
      </c>
      <c r="G89" s="56">
        <v>970.51</v>
      </c>
      <c r="H89" s="53">
        <v>72</v>
      </c>
      <c r="I89" s="75">
        <v>-9.1000000000000004E-3</v>
      </c>
      <c r="J89" s="75">
        <v>-1.0200000000000001E-2</v>
      </c>
      <c r="K89" s="57">
        <v>129808631.12</v>
      </c>
      <c r="L89" s="52">
        <f t="shared" si="37"/>
        <v>5.3411426570012578E-4</v>
      </c>
      <c r="M89" s="56">
        <v>969.86</v>
      </c>
      <c r="N89" s="56">
        <v>972.24</v>
      </c>
      <c r="O89" s="53">
        <v>72</v>
      </c>
      <c r="P89" s="75">
        <v>1.66E-2</v>
      </c>
      <c r="Q89" s="75">
        <v>6.4000000000000003E-3</v>
      </c>
      <c r="R89" s="80">
        <f t="shared" si="38"/>
        <v>1.2624832031124858E-3</v>
      </c>
      <c r="S89" s="80">
        <f t="shared" si="39"/>
        <v>1.7825679282027164E-3</v>
      </c>
      <c r="T89" s="80">
        <f t="shared" si="40"/>
        <v>0</v>
      </c>
      <c r="U89" s="81">
        <f t="shared" si="41"/>
        <v>2.5700000000000001E-2</v>
      </c>
      <c r="V89" s="82">
        <f t="shared" si="42"/>
        <v>1.66E-2</v>
      </c>
    </row>
    <row r="90" spans="1:22">
      <c r="A90" s="180">
        <v>79</v>
      </c>
      <c r="B90" s="170" t="s">
        <v>146</v>
      </c>
      <c r="C90" s="166" t="s">
        <v>82</v>
      </c>
      <c r="D90" s="57">
        <v>719262057.07000005</v>
      </c>
      <c r="E90" s="52">
        <f t="shared" si="43"/>
        <v>2.9536049223737571E-3</v>
      </c>
      <c r="F90" s="86">
        <v>1.1880999999999999</v>
      </c>
      <c r="G90" s="86">
        <v>1.1880999999999999</v>
      </c>
      <c r="H90" s="53">
        <v>55</v>
      </c>
      <c r="I90" s="75">
        <v>0.1351</v>
      </c>
      <c r="J90" s="75">
        <v>0.1351</v>
      </c>
      <c r="K90" s="57">
        <v>725178462.87</v>
      </c>
      <c r="L90" s="52">
        <f t="shared" si="37"/>
        <v>2.9838398175487668E-3</v>
      </c>
      <c r="M90" s="86">
        <v>1.2</v>
      </c>
      <c r="N90" s="86">
        <v>1.2</v>
      </c>
      <c r="O90" s="53">
        <v>52</v>
      </c>
      <c r="P90" s="75">
        <v>0.13557</v>
      </c>
      <c r="Q90" s="75">
        <v>0.1356</v>
      </c>
      <c r="R90" s="80">
        <f t="shared" si="38"/>
        <v>8.2256609282312741E-3</v>
      </c>
      <c r="S90" s="80">
        <f t="shared" si="39"/>
        <v>1.0015991919872083E-2</v>
      </c>
      <c r="T90" s="80">
        <f t="shared" si="40"/>
        <v>-5.4545454545454543E-2</v>
      </c>
      <c r="U90" s="81">
        <f t="shared" si="41"/>
        <v>4.699999999999982E-4</v>
      </c>
      <c r="V90" s="82">
        <f t="shared" si="42"/>
        <v>5.0000000000000044E-4</v>
      </c>
    </row>
    <row r="91" spans="1:22">
      <c r="A91" s="180">
        <v>80</v>
      </c>
      <c r="B91" s="170" t="s">
        <v>147</v>
      </c>
      <c r="C91" s="166" t="s">
        <v>32</v>
      </c>
      <c r="D91" s="86">
        <v>11503295343.790001</v>
      </c>
      <c r="E91" s="52">
        <f t="shared" si="43"/>
        <v>4.7237567193997881E-2</v>
      </c>
      <c r="F91" s="86">
        <v>1672.78</v>
      </c>
      <c r="G91" s="86">
        <v>1672.78</v>
      </c>
      <c r="H91" s="53">
        <v>2041</v>
      </c>
      <c r="I91" s="75">
        <v>-1.6999999999999999E-3</v>
      </c>
      <c r="J91" s="75">
        <v>2.2000000000000001E-3</v>
      </c>
      <c r="K91" s="86">
        <v>11630205362.68</v>
      </c>
      <c r="L91" s="52">
        <f t="shared" si="37"/>
        <v>4.7853971986554708E-2</v>
      </c>
      <c r="M91" s="86">
        <v>1675.66</v>
      </c>
      <c r="N91" s="86">
        <v>1675.66</v>
      </c>
      <c r="O91" s="53">
        <v>2047</v>
      </c>
      <c r="P91" s="75">
        <v>1.6999999999999999E-3</v>
      </c>
      <c r="Q91" s="75">
        <v>5.5999999999999999E-3</v>
      </c>
      <c r="R91" s="80">
        <f t="shared" si="38"/>
        <v>1.1032492437787504E-2</v>
      </c>
      <c r="S91" s="80">
        <f t="shared" si="39"/>
        <v>1.7216848599338282E-3</v>
      </c>
      <c r="T91" s="80">
        <f t="shared" si="40"/>
        <v>2.9397354238118569E-3</v>
      </c>
      <c r="U91" s="81">
        <f t="shared" si="41"/>
        <v>3.3999999999999998E-3</v>
      </c>
      <c r="V91" s="82">
        <f t="shared" si="42"/>
        <v>3.3999999999999998E-3</v>
      </c>
    </row>
    <row r="92" spans="1:22">
      <c r="A92" s="180">
        <v>81</v>
      </c>
      <c r="B92" s="170" t="s">
        <v>148</v>
      </c>
      <c r="C92" s="166" t="s">
        <v>92</v>
      </c>
      <c r="D92" s="57">
        <v>24004576.489999998</v>
      </c>
      <c r="E92" s="52">
        <f t="shared" si="43"/>
        <v>9.8573301042989995E-5</v>
      </c>
      <c r="F92" s="85">
        <v>0.73160000000000003</v>
      </c>
      <c r="G92" s="85">
        <v>0.73160000000000003</v>
      </c>
      <c r="H92" s="53">
        <v>744</v>
      </c>
      <c r="I92" s="75">
        <v>2.3E-3</v>
      </c>
      <c r="J92" s="75">
        <v>5.3E-3</v>
      </c>
      <c r="K92" s="57">
        <v>24004576.489999998</v>
      </c>
      <c r="L92" s="52">
        <f t="shared" si="37"/>
        <v>9.8769909479643644E-5</v>
      </c>
      <c r="M92" s="85">
        <v>0.73329999999999995</v>
      </c>
      <c r="N92" s="85">
        <v>0.73329999999999995</v>
      </c>
      <c r="O92" s="53">
        <v>744</v>
      </c>
      <c r="P92" s="75">
        <v>2.3E-3</v>
      </c>
      <c r="Q92" s="75">
        <v>5.3E-3</v>
      </c>
      <c r="R92" s="80">
        <f t="shared" si="38"/>
        <v>0</v>
      </c>
      <c r="S92" s="80">
        <f t="shared" si="39"/>
        <v>2.323674138873597E-3</v>
      </c>
      <c r="T92" s="80">
        <f t="shared" si="40"/>
        <v>0</v>
      </c>
      <c r="U92" s="81">
        <f t="shared" si="41"/>
        <v>0</v>
      </c>
      <c r="V92" s="82">
        <f t="shared" si="42"/>
        <v>0</v>
      </c>
    </row>
    <row r="93" spans="1:22">
      <c r="A93" s="180">
        <v>82</v>
      </c>
      <c r="B93" s="170" t="s">
        <v>149</v>
      </c>
      <c r="C93" s="166" t="s">
        <v>38</v>
      </c>
      <c r="D93" s="57">
        <v>11739243470.790001</v>
      </c>
      <c r="E93" s="52">
        <f t="shared" si="43"/>
        <v>4.8206473509132819E-2</v>
      </c>
      <c r="F93" s="85">
        <v>1</v>
      </c>
      <c r="G93" s="85">
        <v>1</v>
      </c>
      <c r="H93" s="53">
        <v>5247</v>
      </c>
      <c r="I93" s="75">
        <v>0.06</v>
      </c>
      <c r="J93" s="75">
        <v>0.06</v>
      </c>
      <c r="K93" s="57">
        <v>11791080886.66</v>
      </c>
      <c r="L93" s="52">
        <f t="shared" si="37"/>
        <v>4.8515914968452943E-2</v>
      </c>
      <c r="M93" s="85">
        <v>1</v>
      </c>
      <c r="N93" s="85">
        <v>1</v>
      </c>
      <c r="O93" s="53">
        <v>5286</v>
      </c>
      <c r="P93" s="75">
        <v>0.06</v>
      </c>
      <c r="Q93" s="75">
        <v>0.06</v>
      </c>
      <c r="R93" s="80">
        <f t="shared" si="38"/>
        <v>4.4157373513022896E-3</v>
      </c>
      <c r="S93" s="80">
        <f t="shared" si="39"/>
        <v>0</v>
      </c>
      <c r="T93" s="80">
        <f t="shared" si="40"/>
        <v>7.4328187535734709E-3</v>
      </c>
      <c r="U93" s="81">
        <f t="shared" si="41"/>
        <v>0</v>
      </c>
      <c r="V93" s="82">
        <f t="shared" si="42"/>
        <v>0</v>
      </c>
    </row>
    <row r="94" spans="1:22">
      <c r="A94" s="180">
        <v>83</v>
      </c>
      <c r="B94" s="170" t="s">
        <v>150</v>
      </c>
      <c r="C94" s="166" t="s">
        <v>151</v>
      </c>
      <c r="D94" s="57">
        <v>1772495997.77</v>
      </c>
      <c r="E94" s="52">
        <f t="shared" si="43"/>
        <v>7.2786446225561853E-3</v>
      </c>
      <c r="F94" s="57">
        <v>277.52999999999997</v>
      </c>
      <c r="G94" s="57">
        <v>277.52999999999997</v>
      </c>
      <c r="H94" s="53">
        <v>562</v>
      </c>
      <c r="I94" s="75">
        <v>3.0000000000000001E-3</v>
      </c>
      <c r="J94" s="75">
        <v>0.18720000000000001</v>
      </c>
      <c r="K94" s="57">
        <v>1730532434.49</v>
      </c>
      <c r="L94" s="52">
        <f t="shared" si="37"/>
        <v>7.1204977091501543E-3</v>
      </c>
      <c r="M94" s="57">
        <v>278.2</v>
      </c>
      <c r="N94" s="57">
        <v>278.2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-2.3674842331263296E-2</v>
      </c>
      <c r="S94" s="80">
        <f t="shared" si="39"/>
        <v>2.4141534248550284E-3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80">
        <v>84</v>
      </c>
      <c r="B95" s="170" t="s">
        <v>152</v>
      </c>
      <c r="C95" s="166" t="s">
        <v>42</v>
      </c>
      <c r="D95" s="57">
        <v>1087781995.2</v>
      </c>
      <c r="E95" s="52">
        <f t="shared" si="43"/>
        <v>4.4669091382079995E-3</v>
      </c>
      <c r="F95" s="85">
        <v>3.6</v>
      </c>
      <c r="G95" s="85">
        <v>3.63</v>
      </c>
      <c r="H95" s="71">
        <v>795</v>
      </c>
      <c r="I95" s="78">
        <v>7.4999999999999997E-3</v>
      </c>
      <c r="J95" s="78">
        <v>-6.6000000000000003E-2</v>
      </c>
      <c r="K95" s="57">
        <v>1082590382.79</v>
      </c>
      <c r="L95" s="52">
        <f t="shared" si="37"/>
        <v>4.4544570139050622E-3</v>
      </c>
      <c r="M95" s="85">
        <v>3.61</v>
      </c>
      <c r="N95" s="85">
        <v>3.64</v>
      </c>
      <c r="O95" s="71">
        <v>796</v>
      </c>
      <c r="P95" s="78">
        <v>9.7999999999999997E-3</v>
      </c>
      <c r="Q95" s="78">
        <v>-8.8999999999999999E-3</v>
      </c>
      <c r="R95" s="80">
        <f t="shared" si="38"/>
        <v>-4.7726588902085604E-3</v>
      </c>
      <c r="S95" s="80">
        <f t="shared" si="39"/>
        <v>2.7548209366391823E-3</v>
      </c>
      <c r="T95" s="80">
        <f t="shared" si="40"/>
        <v>1.2578616352201257E-3</v>
      </c>
      <c r="U95" s="81">
        <f t="shared" si="41"/>
        <v>2.3E-3</v>
      </c>
      <c r="V95" s="82">
        <f t="shared" si="42"/>
        <v>5.7100000000000005E-2</v>
      </c>
    </row>
    <row r="96" spans="1:22">
      <c r="A96" s="180">
        <v>85</v>
      </c>
      <c r="B96" s="170" t="s">
        <v>153</v>
      </c>
      <c r="C96" s="166" t="s">
        <v>44</v>
      </c>
      <c r="D96" s="57">
        <v>715735664.33000004</v>
      </c>
      <c r="E96" s="52">
        <f t="shared" si="43"/>
        <v>2.9391240098152441E-3</v>
      </c>
      <c r="F96" s="85">
        <v>111.01</v>
      </c>
      <c r="G96" s="85">
        <v>111.01</v>
      </c>
      <c r="H96" s="71">
        <v>282</v>
      </c>
      <c r="I96" s="78">
        <v>0.14649999999999999</v>
      </c>
      <c r="J96" s="78">
        <v>0.1706</v>
      </c>
      <c r="K96" s="57">
        <v>734278012.72000003</v>
      </c>
      <c r="L96" s="52">
        <f t="shared" si="37"/>
        <v>3.0212810827743553E-3</v>
      </c>
      <c r="M96" s="85">
        <v>114.10675000000001</v>
      </c>
      <c r="N96" s="85">
        <v>114.10675000000001</v>
      </c>
      <c r="O96" s="71">
        <v>282</v>
      </c>
      <c r="P96" s="78">
        <v>9.6299999999999997E-2</v>
      </c>
      <c r="Q96" s="78">
        <v>0.12039999999999999</v>
      </c>
      <c r="R96" s="80">
        <f t="shared" si="38"/>
        <v>2.590669895897597E-2</v>
      </c>
      <c r="S96" s="80">
        <f t="shared" si="39"/>
        <v>2.7896135483289793E-2</v>
      </c>
      <c r="T96" s="80">
        <f t="shared" si="40"/>
        <v>0</v>
      </c>
      <c r="U96" s="81">
        <f t="shared" si="41"/>
        <v>-5.0199999999999995E-2</v>
      </c>
      <c r="V96" s="82">
        <f t="shared" si="42"/>
        <v>-5.0200000000000009E-2</v>
      </c>
    </row>
    <row r="97" spans="1:22">
      <c r="A97" s="180">
        <v>86</v>
      </c>
      <c r="B97" s="166" t="s">
        <v>154</v>
      </c>
      <c r="C97" s="172" t="s">
        <v>48</v>
      </c>
      <c r="D97" s="57">
        <v>1063046853.0700001</v>
      </c>
      <c r="E97" s="52">
        <f t="shared" si="43"/>
        <v>4.3653358147820532E-3</v>
      </c>
      <c r="F97" s="85">
        <v>108.55</v>
      </c>
      <c r="G97" s="85">
        <v>108.55</v>
      </c>
      <c r="H97" s="53">
        <v>289</v>
      </c>
      <c r="I97" s="75">
        <v>-6.1999999999999998E-3</v>
      </c>
      <c r="J97" s="75">
        <v>-1.4500000000000001E-2</v>
      </c>
      <c r="K97" s="57">
        <v>1078245236.49</v>
      </c>
      <c r="L97" s="52">
        <f t="shared" si="37"/>
        <v>4.436578352021334E-3</v>
      </c>
      <c r="M97" s="85">
        <v>109.61</v>
      </c>
      <c r="N97" s="85">
        <v>110</v>
      </c>
      <c r="O97" s="53">
        <v>289</v>
      </c>
      <c r="P97" s="75">
        <v>2.8999999999999998E-3</v>
      </c>
      <c r="Q97" s="75">
        <v>-6.4000000000000003E-3</v>
      </c>
      <c r="R97" s="80">
        <f t="shared" si="38"/>
        <v>1.4297002409732138E-2</v>
      </c>
      <c r="S97" s="80">
        <f t="shared" si="39"/>
        <v>1.3357899585444522E-2</v>
      </c>
      <c r="T97" s="80">
        <f t="shared" si="40"/>
        <v>0</v>
      </c>
      <c r="U97" s="81">
        <f t="shared" si="41"/>
        <v>9.1000000000000004E-3</v>
      </c>
      <c r="V97" s="82">
        <f t="shared" si="42"/>
        <v>8.0999999999999996E-3</v>
      </c>
    </row>
    <row r="98" spans="1:22">
      <c r="A98" s="180">
        <v>87</v>
      </c>
      <c r="B98" s="170" t="s">
        <v>155</v>
      </c>
      <c r="C98" s="166" t="s">
        <v>20</v>
      </c>
      <c r="D98" s="159">
        <v>1649961357.48</v>
      </c>
      <c r="E98" s="161">
        <f t="shared" si="43"/>
        <v>6.77546373992189E-3</v>
      </c>
      <c r="F98" s="162">
        <v>392.47680000000003</v>
      </c>
      <c r="G98" s="162">
        <v>392.47680000000003</v>
      </c>
      <c r="H98" s="55">
        <v>90</v>
      </c>
      <c r="I98" s="76">
        <v>1.6000000000000001E-3</v>
      </c>
      <c r="J98" s="76">
        <v>1.8E-3</v>
      </c>
      <c r="K98" s="159">
        <v>1629226495.9000001</v>
      </c>
      <c r="L98" s="161">
        <f t="shared" si="37"/>
        <v>6.7036614284328921E-3</v>
      </c>
      <c r="M98" s="162">
        <v>393.6841</v>
      </c>
      <c r="N98" s="162">
        <v>393.6841</v>
      </c>
      <c r="O98" s="55">
        <v>90</v>
      </c>
      <c r="P98" s="76">
        <v>4.5999999999999999E-3</v>
      </c>
      <c r="Q98" s="76">
        <v>4.8999999999999998E-3</v>
      </c>
      <c r="R98" s="81">
        <f t="shared" si="38"/>
        <v>-1.256687708836312E-2</v>
      </c>
      <c r="S98" s="81">
        <f t="shared" si="39"/>
        <v>3.0761053901784134E-3</v>
      </c>
      <c r="T98" s="81">
        <f t="shared" si="40"/>
        <v>0</v>
      </c>
      <c r="U98" s="81">
        <f t="shared" si="41"/>
        <v>3.0000000000000001E-3</v>
      </c>
      <c r="V98" s="82">
        <f t="shared" si="42"/>
        <v>3.0999999999999999E-3</v>
      </c>
    </row>
    <row r="99" spans="1:22">
      <c r="A99" s="180">
        <v>88</v>
      </c>
      <c r="B99" s="170" t="s">
        <v>156</v>
      </c>
      <c r="C99" s="166" t="s">
        <v>104</v>
      </c>
      <c r="D99" s="69">
        <v>1800652637.6500001</v>
      </c>
      <c r="E99" s="52">
        <f>(D99/$K$72)</f>
        <v>3.5248042125980873E-4</v>
      </c>
      <c r="F99" s="85">
        <v>101.42</v>
      </c>
      <c r="G99" s="85">
        <v>101.42</v>
      </c>
      <c r="H99" s="53">
        <v>411</v>
      </c>
      <c r="I99" s="75">
        <v>8.6999999999999994E-3</v>
      </c>
      <c r="J99" s="75">
        <v>8.1799999999999998E-2</v>
      </c>
      <c r="K99" s="69">
        <v>1795826610</v>
      </c>
      <c r="L99" s="52">
        <f t="shared" ref="L99:L113" si="51">(K99/$K$114)</f>
        <v>7.3891589707790473E-3</v>
      </c>
      <c r="M99" s="85">
        <v>101.43</v>
      </c>
      <c r="N99" s="85">
        <v>101.43</v>
      </c>
      <c r="O99" s="53">
        <v>414</v>
      </c>
      <c r="P99" s="75">
        <v>2.0000000000000001E-4</v>
      </c>
      <c r="Q99" s="75">
        <v>5.8400000000000001E-2</v>
      </c>
      <c r="R99" s="80">
        <f t="shared" si="38"/>
        <v>-2.6801547111820847E-3</v>
      </c>
      <c r="S99" s="80">
        <f t="shared" si="39"/>
        <v>9.8599881680192419E-5</v>
      </c>
      <c r="T99" s="80">
        <f t="shared" si="40"/>
        <v>7.2992700729927005E-3</v>
      </c>
      <c r="U99" s="81">
        <f t="shared" si="41"/>
        <v>-8.4999999999999989E-3</v>
      </c>
      <c r="V99" s="82">
        <f t="shared" si="42"/>
        <v>-2.3399999999999997E-2</v>
      </c>
    </row>
    <row r="100" spans="1:22">
      <c r="A100" s="180">
        <v>89</v>
      </c>
      <c r="B100" s="170" t="s">
        <v>157</v>
      </c>
      <c r="C100" s="166" t="s">
        <v>46</v>
      </c>
      <c r="D100" s="57">
        <v>58760729.090000004</v>
      </c>
      <c r="E100" s="52">
        <f t="shared" ref="E100:E113" si="52">(D100/$D$114)</f>
        <v>2.4129728097919674E-4</v>
      </c>
      <c r="F100" s="57">
        <v>12</v>
      </c>
      <c r="G100" s="57">
        <v>12.73</v>
      </c>
      <c r="H100" s="53">
        <v>55</v>
      </c>
      <c r="I100" s="75">
        <v>1.2999999999999999E-3</v>
      </c>
      <c r="J100" s="75">
        <v>5.0000000000000001E-4</v>
      </c>
      <c r="K100" s="57">
        <v>59946880.479999997</v>
      </c>
      <c r="L100" s="52">
        <f t="shared" si="51"/>
        <v>2.4665913023140431E-4</v>
      </c>
      <c r="M100" s="57">
        <v>12.239343999999999</v>
      </c>
      <c r="N100" s="57">
        <v>12.860143000000001</v>
      </c>
      <c r="O100" s="53">
        <v>55</v>
      </c>
      <c r="P100" s="75">
        <v>1.2999999999999999E-2</v>
      </c>
      <c r="Q100" s="75">
        <v>2.01E-2</v>
      </c>
      <c r="R100" s="80">
        <f t="shared" si="38"/>
        <v>2.0186124446877469E-2</v>
      </c>
      <c r="S100" s="80">
        <f t="shared" si="39"/>
        <v>1.0223330714846846E-2</v>
      </c>
      <c r="T100" s="80">
        <f t="shared" si="40"/>
        <v>0</v>
      </c>
      <c r="U100" s="81">
        <f t="shared" si="41"/>
        <v>1.1699999999999999E-2</v>
      </c>
      <c r="V100" s="82">
        <f t="shared" si="42"/>
        <v>1.9599999999999999E-2</v>
      </c>
    </row>
    <row r="101" spans="1:22">
      <c r="A101" s="180">
        <v>90</v>
      </c>
      <c r="B101" s="170" t="s">
        <v>158</v>
      </c>
      <c r="C101" s="166" t="s">
        <v>159</v>
      </c>
      <c r="D101" s="57">
        <v>1043849182.75</v>
      </c>
      <c r="E101" s="52">
        <f t="shared" si="52"/>
        <v>4.2865017750910893E-3</v>
      </c>
      <c r="F101" s="57">
        <v>156.41</v>
      </c>
      <c r="G101" s="57">
        <v>156.41</v>
      </c>
      <c r="H101" s="53">
        <v>178</v>
      </c>
      <c r="I101" s="75">
        <v>9.2200000000000004E-2</v>
      </c>
      <c r="J101" s="75">
        <v>8.8200000000000001E-2</v>
      </c>
      <c r="K101" s="57">
        <v>1040441195.99</v>
      </c>
      <c r="L101" s="52">
        <f t="shared" si="51"/>
        <v>4.2810287775597606E-3</v>
      </c>
      <c r="M101" s="57">
        <v>157.09</v>
      </c>
      <c r="N101" s="57">
        <v>157.09</v>
      </c>
      <c r="O101" s="53">
        <v>179</v>
      </c>
      <c r="P101" s="75">
        <v>0.29020000000000001</v>
      </c>
      <c r="Q101" s="75">
        <v>0.1366</v>
      </c>
      <c r="R101" s="80">
        <f t="shared" si="38"/>
        <v>-3.2648267741339E-3</v>
      </c>
      <c r="S101" s="80">
        <f t="shared" si="39"/>
        <v>4.3475481107346512E-3</v>
      </c>
      <c r="T101" s="80">
        <f t="shared" si="40"/>
        <v>5.6179775280898875E-3</v>
      </c>
      <c r="U101" s="81">
        <f t="shared" si="41"/>
        <v>0.19800000000000001</v>
      </c>
      <c r="V101" s="82">
        <f t="shared" si="42"/>
        <v>4.8399999999999999E-2</v>
      </c>
    </row>
    <row r="102" spans="1:22">
      <c r="A102" s="180">
        <v>91</v>
      </c>
      <c r="B102" s="170" t="s">
        <v>160</v>
      </c>
      <c r="C102" s="166" t="s">
        <v>161</v>
      </c>
      <c r="D102" s="57">
        <v>10875488142.373301</v>
      </c>
      <c r="E102" s="52">
        <f t="shared" si="52"/>
        <v>4.4659515950811572E-2</v>
      </c>
      <c r="F102" s="57">
        <v>1.01</v>
      </c>
      <c r="G102" s="57">
        <v>1.01</v>
      </c>
      <c r="H102" s="53">
        <v>5200</v>
      </c>
      <c r="I102" s="75">
        <v>0.16539999999999999</v>
      </c>
      <c r="J102" s="75">
        <v>0.16539999999999999</v>
      </c>
      <c r="K102" s="57">
        <v>10871595899.9974</v>
      </c>
      <c r="L102" s="52">
        <f t="shared" si="51"/>
        <v>4.4732576031463585E-2</v>
      </c>
      <c r="M102" s="57">
        <v>1.01</v>
      </c>
      <c r="N102" s="57">
        <v>1.01</v>
      </c>
      <c r="O102" s="53">
        <v>5207</v>
      </c>
      <c r="P102" s="75">
        <v>0.16239999999999999</v>
      </c>
      <c r="Q102" s="75">
        <v>0.16239999999999999</v>
      </c>
      <c r="R102" s="80">
        <f t="shared" si="38"/>
        <v>-3.5789128036793437E-4</v>
      </c>
      <c r="S102" s="80">
        <f t="shared" si="39"/>
        <v>0</v>
      </c>
      <c r="T102" s="80">
        <f t="shared" si="40"/>
        <v>1.3461538461538461E-3</v>
      </c>
      <c r="U102" s="81">
        <f t="shared" si="41"/>
        <v>-3.0000000000000027E-3</v>
      </c>
      <c r="V102" s="82">
        <f t="shared" si="42"/>
        <v>-3.0000000000000027E-3</v>
      </c>
    </row>
    <row r="103" spans="1:22" ht="14.25" customHeight="1">
      <c r="A103" s="180">
        <v>92</v>
      </c>
      <c r="B103" s="170" t="s">
        <v>162</v>
      </c>
      <c r="C103" s="166" t="s">
        <v>50</v>
      </c>
      <c r="D103" s="57">
        <v>4856659027.9099998</v>
      </c>
      <c r="E103" s="52">
        <f t="shared" si="52"/>
        <v>1.9943568370004914E-2</v>
      </c>
      <c r="F103" s="57">
        <v>5176.1000000000004</v>
      </c>
      <c r="G103" s="57">
        <v>5176.1000000000004</v>
      </c>
      <c r="H103" s="53">
        <v>13</v>
      </c>
      <c r="I103" s="75">
        <v>0</v>
      </c>
      <c r="J103" s="75">
        <v>0</v>
      </c>
      <c r="K103" s="57">
        <v>4856659027.9200001</v>
      </c>
      <c r="L103" s="52">
        <f t="shared" si="51"/>
        <v>1.9983346623965059E-2</v>
      </c>
      <c r="M103" s="57">
        <v>5176.1000000000004</v>
      </c>
      <c r="N103" s="57">
        <v>5176.1000000000004</v>
      </c>
      <c r="O103" s="53">
        <v>13</v>
      </c>
      <c r="P103" s="75">
        <v>0</v>
      </c>
      <c r="Q103" s="75">
        <v>0</v>
      </c>
      <c r="R103" s="80">
        <f t="shared" si="38"/>
        <v>2.0590757605932664E-12</v>
      </c>
      <c r="S103" s="80">
        <f t="shared" si="39"/>
        <v>0</v>
      </c>
      <c r="T103" s="80">
        <f t="shared" si="40"/>
        <v>0</v>
      </c>
      <c r="U103" s="81">
        <f t="shared" si="41"/>
        <v>0</v>
      </c>
      <c r="V103" s="82">
        <f t="shared" si="42"/>
        <v>0</v>
      </c>
    </row>
    <row r="104" spans="1:22" ht="13.5" customHeight="1">
      <c r="A104" s="180">
        <v>93</v>
      </c>
      <c r="B104" s="170" t="s">
        <v>163</v>
      </c>
      <c r="C104" s="166" t="s">
        <v>50</v>
      </c>
      <c r="D104" s="57">
        <v>15617016516.99</v>
      </c>
      <c r="E104" s="52">
        <f t="shared" si="52"/>
        <v>6.4130307450494098E-2</v>
      </c>
      <c r="F104" s="85">
        <v>259.24</v>
      </c>
      <c r="G104" s="85">
        <v>259.24</v>
      </c>
      <c r="H104" s="53">
        <v>6030</v>
      </c>
      <c r="I104" s="75">
        <v>0</v>
      </c>
      <c r="J104" s="75">
        <v>0</v>
      </c>
      <c r="K104" s="57">
        <v>15584880503.07</v>
      </c>
      <c r="L104" s="52">
        <f t="shared" si="51"/>
        <v>6.4125990191101559E-2</v>
      </c>
      <c r="M104" s="85">
        <v>259.24</v>
      </c>
      <c r="N104" s="85">
        <v>259.24</v>
      </c>
      <c r="O104" s="53">
        <v>6017</v>
      </c>
      <c r="P104" s="75">
        <v>0</v>
      </c>
      <c r="Q104" s="75">
        <v>0</v>
      </c>
      <c r="R104" s="80">
        <f t="shared" si="38"/>
        <v>-2.0577562868707221E-3</v>
      </c>
      <c r="S104" s="80">
        <f t="shared" si="39"/>
        <v>0</v>
      </c>
      <c r="T104" s="80">
        <f t="shared" si="40"/>
        <v>-2.1558872305140961E-3</v>
      </c>
      <c r="U104" s="81">
        <f t="shared" si="41"/>
        <v>0</v>
      </c>
      <c r="V104" s="82">
        <f t="shared" si="42"/>
        <v>0</v>
      </c>
    </row>
    <row r="105" spans="1:22" ht="13.5" customHeight="1">
      <c r="A105" s="180">
        <v>94</v>
      </c>
      <c r="B105" s="170" t="s">
        <v>164</v>
      </c>
      <c r="C105" s="166" t="s">
        <v>50</v>
      </c>
      <c r="D105" s="57">
        <v>638459846.10000002</v>
      </c>
      <c r="E105" s="52">
        <f t="shared" si="52"/>
        <v>2.6217956663261411E-3</v>
      </c>
      <c r="F105" s="56">
        <v>9532.02</v>
      </c>
      <c r="G105" s="56">
        <v>9569.41</v>
      </c>
      <c r="H105" s="53">
        <v>19</v>
      </c>
      <c r="I105" s="75">
        <v>3.8E-3</v>
      </c>
      <c r="J105" s="75">
        <v>1.55E-2</v>
      </c>
      <c r="K105" s="57">
        <v>640258638.32000005</v>
      </c>
      <c r="L105" s="52">
        <f t="shared" si="51"/>
        <v>2.6344263051993676E-3</v>
      </c>
      <c r="M105" s="56">
        <v>9540.4</v>
      </c>
      <c r="N105" s="56">
        <v>9577.49</v>
      </c>
      <c r="O105" s="53">
        <v>20</v>
      </c>
      <c r="P105" s="75">
        <v>8.0000000000000004E-4</v>
      </c>
      <c r="Q105" s="75">
        <v>1.6299999999999999E-2</v>
      </c>
      <c r="R105" s="80">
        <f t="shared" si="38"/>
        <v>2.817392872845271E-3</v>
      </c>
      <c r="S105" s="80">
        <f t="shared" si="39"/>
        <v>8.4435717562523994E-4</v>
      </c>
      <c r="T105" s="80">
        <f t="shared" si="40"/>
        <v>5.2631578947368418E-2</v>
      </c>
      <c r="U105" s="81">
        <f t="shared" si="41"/>
        <v>-3.0000000000000001E-3</v>
      </c>
      <c r="V105" s="82">
        <f t="shared" si="42"/>
        <v>7.9999999999999863E-4</v>
      </c>
    </row>
    <row r="106" spans="1:22" ht="15" customHeight="1">
      <c r="A106" s="180">
        <v>95</v>
      </c>
      <c r="B106" s="170" t="s">
        <v>165</v>
      </c>
      <c r="C106" s="166" t="s">
        <v>50</v>
      </c>
      <c r="D106" s="57">
        <v>6836591518.7399998</v>
      </c>
      <c r="E106" s="52">
        <f t="shared" si="52"/>
        <v>2.8074038055428747E-2</v>
      </c>
      <c r="F106" s="85">
        <v>162.46</v>
      </c>
      <c r="G106" s="85">
        <v>162.46</v>
      </c>
      <c r="H106" s="53">
        <v>5424</v>
      </c>
      <c r="I106" s="75">
        <v>2.8E-3</v>
      </c>
      <c r="J106" s="75">
        <v>6.4000000000000003E-3</v>
      </c>
      <c r="K106" s="57">
        <v>6895210392.3500004</v>
      </c>
      <c r="L106" s="52">
        <f t="shared" si="51"/>
        <v>2.8371227735645325E-2</v>
      </c>
      <c r="M106" s="85">
        <v>162.88999999999999</v>
      </c>
      <c r="N106" s="85">
        <v>162.88999999999999</v>
      </c>
      <c r="O106" s="53">
        <v>5513</v>
      </c>
      <c r="P106" s="75">
        <v>2.5999999999999999E-3</v>
      </c>
      <c r="Q106" s="75">
        <v>8.9999999999999993E-3</v>
      </c>
      <c r="R106" s="80">
        <f t="shared" si="38"/>
        <v>8.5742834641090587E-3</v>
      </c>
      <c r="S106" s="80">
        <f t="shared" si="39"/>
        <v>2.6468053674749375E-3</v>
      </c>
      <c r="T106" s="80">
        <f t="shared" si="40"/>
        <v>1.6408554572271385E-2</v>
      </c>
      <c r="U106" s="81">
        <f t="shared" si="41"/>
        <v>-2.0000000000000009E-4</v>
      </c>
      <c r="V106" s="82">
        <f t="shared" si="42"/>
        <v>2.599999999999999E-3</v>
      </c>
    </row>
    <row r="107" spans="1:22" ht="15" customHeight="1">
      <c r="A107" s="180">
        <v>96</v>
      </c>
      <c r="B107" s="170" t="s">
        <v>166</v>
      </c>
      <c r="C107" s="166" t="s">
        <v>50</v>
      </c>
      <c r="D107" s="57">
        <v>6469900134.5200005</v>
      </c>
      <c r="E107" s="52">
        <f t="shared" si="52"/>
        <v>2.6568242682548635E-2</v>
      </c>
      <c r="F107" s="85">
        <v>388.04</v>
      </c>
      <c r="G107" s="85">
        <v>388.04</v>
      </c>
      <c r="H107" s="53">
        <v>11095</v>
      </c>
      <c r="I107" s="75">
        <v>3.0000000000000001E-3</v>
      </c>
      <c r="J107" s="75">
        <v>7.3000000000000001E-3</v>
      </c>
      <c r="K107" s="57">
        <v>6401304058.5500002</v>
      </c>
      <c r="L107" s="52">
        <f t="shared" si="51"/>
        <v>2.633898676271372E-2</v>
      </c>
      <c r="M107" s="85">
        <v>388.07</v>
      </c>
      <c r="N107" s="85">
        <v>388.07</v>
      </c>
      <c r="O107" s="53">
        <v>11165</v>
      </c>
      <c r="P107" s="75">
        <v>1E-4</v>
      </c>
      <c r="Q107" s="75">
        <v>7.4000000000000003E-3</v>
      </c>
      <c r="R107" s="80">
        <f t="shared" si="38"/>
        <v>-1.0602339223755173E-2</v>
      </c>
      <c r="S107" s="80">
        <f t="shared" si="39"/>
        <v>7.7311617358964831E-5</v>
      </c>
      <c r="T107" s="80">
        <f t="shared" si="40"/>
        <v>6.3091482649842269E-3</v>
      </c>
      <c r="U107" s="81">
        <f t="shared" si="41"/>
        <v>-2.9000000000000002E-3</v>
      </c>
      <c r="V107" s="82">
        <f t="shared" si="42"/>
        <v>1.0000000000000026E-4</v>
      </c>
    </row>
    <row r="108" spans="1:22" ht="15" customHeight="1">
      <c r="A108" s="180">
        <v>97</v>
      </c>
      <c r="B108" s="170" t="s">
        <v>167</v>
      </c>
      <c r="C108" s="166" t="s">
        <v>118</v>
      </c>
      <c r="D108" s="57">
        <v>91526016.219999999</v>
      </c>
      <c r="E108" s="52">
        <f t="shared" si="52"/>
        <v>3.7584589563069795E-4</v>
      </c>
      <c r="F108" s="85">
        <v>112.86199999999999</v>
      </c>
      <c r="G108" s="85">
        <v>112.86199999999999</v>
      </c>
      <c r="H108" s="53">
        <v>23</v>
      </c>
      <c r="I108" s="75">
        <v>2.5000000000000001E-3</v>
      </c>
      <c r="J108" s="75">
        <v>0.23830000000000001</v>
      </c>
      <c r="K108" s="57">
        <v>112491835.95999999</v>
      </c>
      <c r="L108" s="52">
        <f t="shared" si="51"/>
        <v>4.6286209046832139E-4</v>
      </c>
      <c r="M108" s="85">
        <v>113.607</v>
      </c>
      <c r="N108" s="85">
        <v>113.607</v>
      </c>
      <c r="O108" s="53">
        <v>24</v>
      </c>
      <c r="P108" s="75">
        <v>2.5000000000000001E-3</v>
      </c>
      <c r="Q108" s="75">
        <v>2.46E-2</v>
      </c>
      <c r="R108" s="80">
        <f t="shared" ref="R108" si="53">((K108-D108)/D108)</f>
        <v>0.2290695105706852</v>
      </c>
      <c r="S108" s="80">
        <f t="shared" ref="S108" si="54">((N108-G108)/G108)</f>
        <v>6.6009817299002727E-3</v>
      </c>
      <c r="T108" s="80">
        <f t="shared" ref="T108" si="55">((O108-H108)/H108)</f>
        <v>4.3478260869565216E-2</v>
      </c>
      <c r="U108" s="81">
        <f t="shared" ref="U108" si="56">P108-I108</f>
        <v>0</v>
      </c>
      <c r="V108" s="82">
        <f t="shared" ref="V108" si="57">Q108-J108</f>
        <v>-0.2137</v>
      </c>
    </row>
    <row r="109" spans="1:22">
      <c r="A109" s="180">
        <v>98</v>
      </c>
      <c r="B109" s="170" t="s">
        <v>168</v>
      </c>
      <c r="C109" s="166" t="s">
        <v>53</v>
      </c>
      <c r="D109" s="57">
        <v>84714770078.949997</v>
      </c>
      <c r="E109" s="52">
        <f t="shared" si="52"/>
        <v>0.34787593679308521</v>
      </c>
      <c r="F109" s="57">
        <v>1.9850000000000001</v>
      </c>
      <c r="G109" s="57">
        <v>1.9850000000000001</v>
      </c>
      <c r="H109" s="53">
        <v>6857</v>
      </c>
      <c r="I109" s="75">
        <v>1.8E-3</v>
      </c>
      <c r="J109" s="75">
        <v>8.6400000000000005E-2</v>
      </c>
      <c r="K109" s="57">
        <v>83793440761.550003</v>
      </c>
      <c r="L109" s="52">
        <f t="shared" si="51"/>
        <v>0.34477886174971528</v>
      </c>
      <c r="M109" s="57">
        <v>1.9869000000000001</v>
      </c>
      <c r="N109" s="57">
        <v>1.9869000000000001</v>
      </c>
      <c r="O109" s="53">
        <v>6880</v>
      </c>
      <c r="P109" s="75">
        <v>1E-3</v>
      </c>
      <c r="Q109" s="75">
        <v>7.5600000000000001E-2</v>
      </c>
      <c r="R109" s="80">
        <f t="shared" si="38"/>
        <v>-1.0875663317522556E-2</v>
      </c>
      <c r="S109" s="80">
        <f t="shared" si="39"/>
        <v>9.5717884130983011E-4</v>
      </c>
      <c r="T109" s="80">
        <f t="shared" si="40"/>
        <v>3.3542365465947209E-3</v>
      </c>
      <c r="U109" s="81">
        <f t="shared" si="41"/>
        <v>-7.9999999999999993E-4</v>
      </c>
      <c r="V109" s="82">
        <f t="shared" si="42"/>
        <v>-1.0800000000000004E-2</v>
      </c>
    </row>
    <row r="110" spans="1:22">
      <c r="A110" s="180">
        <v>99</v>
      </c>
      <c r="B110" s="170" t="s">
        <v>169</v>
      </c>
      <c r="C110" s="166" t="s">
        <v>53</v>
      </c>
      <c r="D110" s="57">
        <v>64270891811.239998</v>
      </c>
      <c r="E110" s="52">
        <f t="shared" si="52"/>
        <v>0.26392442163893393</v>
      </c>
      <c r="F110" s="57">
        <v>129.86750000000001</v>
      </c>
      <c r="G110" s="57">
        <v>129.86750000000001</v>
      </c>
      <c r="H110" s="53">
        <v>1238</v>
      </c>
      <c r="I110" s="75">
        <v>3.3E-3</v>
      </c>
      <c r="J110" s="75">
        <v>0.16919999999999999</v>
      </c>
      <c r="K110" s="57">
        <v>65069934953.18</v>
      </c>
      <c r="L110" s="52">
        <f t="shared" si="51"/>
        <v>0.26773859509036846</v>
      </c>
      <c r="M110" s="57">
        <v>130.24119999999999</v>
      </c>
      <c r="N110" s="57">
        <v>130.24119999999999</v>
      </c>
      <c r="O110" s="53">
        <v>1261</v>
      </c>
      <c r="P110" s="75">
        <v>2.8999999999999998E-3</v>
      </c>
      <c r="Q110" s="75">
        <v>0.16689999999999999</v>
      </c>
      <c r="R110" s="80">
        <f t="shared" ref="R110:R112" si="58">((K110-D110)/D110)</f>
        <v>1.2432426553014813E-2</v>
      </c>
      <c r="S110" s="80">
        <f t="shared" ref="S110:S112" si="59">((N110-G110)/G110)</f>
        <v>2.8775482703523609E-3</v>
      </c>
      <c r="T110" s="80">
        <f t="shared" ref="T110:T112" si="60">((O110-H110)/H110)</f>
        <v>1.8578352180936994E-2</v>
      </c>
      <c r="U110" s="81">
        <f t="shared" ref="U110:U112" si="61">P110-I110</f>
        <v>-4.0000000000000018E-4</v>
      </c>
      <c r="V110" s="82">
        <f t="shared" ref="V110:V112" si="62">Q110-J110</f>
        <v>-2.2999999999999965E-3</v>
      </c>
    </row>
    <row r="111" spans="1:22">
      <c r="A111" s="180">
        <v>100</v>
      </c>
      <c r="B111" s="170" t="s">
        <v>170</v>
      </c>
      <c r="C111" s="170" t="s">
        <v>171</v>
      </c>
      <c r="D111" s="57">
        <v>115991276.64</v>
      </c>
      <c r="E111" s="52">
        <f t="shared" si="52"/>
        <v>4.7631096659249802E-4</v>
      </c>
      <c r="F111" s="57">
        <v>117.05</v>
      </c>
      <c r="G111" s="57">
        <v>117.05</v>
      </c>
      <c r="H111" s="87">
        <v>88</v>
      </c>
      <c r="I111" s="89">
        <v>2.3999999999999998E-3</v>
      </c>
      <c r="J111" s="89">
        <v>3.3999999999999998E-3</v>
      </c>
      <c r="K111" s="57">
        <v>116160258.48999999</v>
      </c>
      <c r="L111" s="52">
        <f t="shared" si="51"/>
        <v>4.7795628558449553E-4</v>
      </c>
      <c r="M111" s="57">
        <v>117.2041</v>
      </c>
      <c r="N111" s="57">
        <v>117.2041</v>
      </c>
      <c r="O111" s="87">
        <v>88</v>
      </c>
      <c r="P111" s="89">
        <v>1.2999999999999999E-3</v>
      </c>
      <c r="Q111" s="89">
        <v>4.7000000000000002E-3</v>
      </c>
      <c r="R111" s="80">
        <f t="shared" si="58"/>
        <v>1.4568496433094698E-3</v>
      </c>
      <c r="S111" s="80">
        <f t="shared" si="59"/>
        <v>1.3165313968389551E-3</v>
      </c>
      <c r="T111" s="80">
        <f t="shared" si="60"/>
        <v>0</v>
      </c>
      <c r="U111" s="81">
        <f t="shared" si="61"/>
        <v>-1.0999999999999998E-3</v>
      </c>
      <c r="V111" s="82">
        <f t="shared" si="62"/>
        <v>1.3000000000000004E-3</v>
      </c>
    </row>
    <row r="112" spans="1:22">
      <c r="A112" s="180">
        <v>101</v>
      </c>
      <c r="B112" s="170" t="s">
        <v>172</v>
      </c>
      <c r="C112" s="166" t="s">
        <v>125</v>
      </c>
      <c r="D112" s="57">
        <v>365919589.43000001</v>
      </c>
      <c r="E112" s="52">
        <f t="shared" si="52"/>
        <v>1.502626045555811E-3</v>
      </c>
      <c r="F112" s="57">
        <v>1.36</v>
      </c>
      <c r="G112" s="57">
        <v>1.36</v>
      </c>
      <c r="H112" s="53">
        <v>787</v>
      </c>
      <c r="I112" s="75">
        <v>3.8E-3</v>
      </c>
      <c r="J112" s="75">
        <v>-1.0800000000000001E-2</v>
      </c>
      <c r="K112" s="57">
        <v>372681534.85000002</v>
      </c>
      <c r="L112" s="52">
        <f t="shared" si="51"/>
        <v>1.5334459859020475E-3</v>
      </c>
      <c r="M112" s="57">
        <v>1.37</v>
      </c>
      <c r="N112" s="57">
        <v>1.37</v>
      </c>
      <c r="O112" s="53">
        <v>801</v>
      </c>
      <c r="P112" s="75">
        <v>9.1999999999999998E-3</v>
      </c>
      <c r="Q112" s="75">
        <v>-8.9999999999999998E-4</v>
      </c>
      <c r="R112" s="80">
        <f t="shared" si="58"/>
        <v>1.8479320635807525E-2</v>
      </c>
      <c r="S112" s="80">
        <f t="shared" si="59"/>
        <v>7.3529411764705942E-3</v>
      </c>
      <c r="T112" s="80">
        <f t="shared" si="60"/>
        <v>1.7789072426937738E-2</v>
      </c>
      <c r="U112" s="81">
        <f t="shared" si="61"/>
        <v>5.4000000000000003E-3</v>
      </c>
      <c r="V112" s="82">
        <f t="shared" si="62"/>
        <v>9.9000000000000008E-3</v>
      </c>
    </row>
    <row r="113" spans="1:28">
      <c r="A113" s="182">
        <v>102</v>
      </c>
      <c r="B113" s="170" t="s">
        <v>173</v>
      </c>
      <c r="C113" s="166" t="s">
        <v>127</v>
      </c>
      <c r="D113" s="57">
        <v>2067067548.3599999</v>
      </c>
      <c r="E113" s="52">
        <f t="shared" si="52"/>
        <v>8.4882843821705578E-3</v>
      </c>
      <c r="F113" s="85">
        <v>31.363800000000001</v>
      </c>
      <c r="G113" s="85">
        <v>31.363800000000001</v>
      </c>
      <c r="H113" s="53">
        <v>1316</v>
      </c>
      <c r="I113" s="75">
        <v>0.1186</v>
      </c>
      <c r="J113" s="75">
        <v>0.1186</v>
      </c>
      <c r="K113" s="57">
        <v>1530010804.5799999</v>
      </c>
      <c r="L113" s="52">
        <f t="shared" si="51"/>
        <v>6.2954257382627681E-3</v>
      </c>
      <c r="M113" s="85">
        <v>42.305700000000002</v>
      </c>
      <c r="N113" s="85">
        <v>42.720799999999997</v>
      </c>
      <c r="O113" s="53">
        <v>1508</v>
      </c>
      <c r="P113" s="75">
        <v>0.1288</v>
      </c>
      <c r="Q113" s="75">
        <v>0.1288</v>
      </c>
      <c r="R113" s="80">
        <f t="shared" si="38"/>
        <v>-0.2598157685780989</v>
      </c>
      <c r="S113" s="80">
        <f t="shared" si="39"/>
        <v>0.36210535713146991</v>
      </c>
      <c r="T113" s="80">
        <f t="shared" si="40"/>
        <v>0.1458966565349544</v>
      </c>
      <c r="U113" s="81">
        <f t="shared" si="41"/>
        <v>1.0200000000000001E-2</v>
      </c>
      <c r="V113" s="82">
        <f t="shared" si="42"/>
        <v>1.0200000000000001E-2</v>
      </c>
    </row>
    <row r="114" spans="1:28">
      <c r="A114" s="60"/>
      <c r="B114" s="61"/>
      <c r="C114" s="62" t="s">
        <v>56</v>
      </c>
      <c r="D114" s="84">
        <f>SUM(D75:D113)</f>
        <v>243520063100.36298</v>
      </c>
      <c r="E114" s="64">
        <f>(D114/$D$231)</f>
        <v>3.0328766871364266E-2</v>
      </c>
      <c r="F114" s="65"/>
      <c r="G114" s="70"/>
      <c r="H114" s="67">
        <f>SUM(H75:H113)</f>
        <v>58358</v>
      </c>
      <c r="I114" s="78"/>
      <c r="J114" s="78"/>
      <c r="K114" s="84">
        <f>SUM(K75:K113)</f>
        <v>243035319324.12384</v>
      </c>
      <c r="L114" s="64">
        <f>(K114/$K$231)</f>
        <v>3.0167733522546324E-2</v>
      </c>
      <c r="M114" s="65"/>
      <c r="N114" s="70"/>
      <c r="O114" s="67">
        <f>SUM(O75:O113)</f>
        <v>59019</v>
      </c>
      <c r="P114" s="78"/>
      <c r="Q114" s="78"/>
      <c r="R114" s="80">
        <f t="shared" si="38"/>
        <v>-1.9905701816418969E-3</v>
      </c>
      <c r="S114" s="80" t="e">
        <f t="shared" si="39"/>
        <v>#DIV/0!</v>
      </c>
      <c r="T114" s="80">
        <f t="shared" si="40"/>
        <v>1.1326639021213886E-2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</row>
    <row r="116" spans="1:28" ht="15" customHeight="1">
      <c r="A116" s="193" t="s">
        <v>174</v>
      </c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8">
      <c r="A117" s="192" t="s">
        <v>175</v>
      </c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Z117" s="90"/>
      <c r="AB117" s="92"/>
    </row>
    <row r="118" spans="1:28" ht="16.5" customHeight="1">
      <c r="A118" s="180">
        <v>103</v>
      </c>
      <c r="B118" s="170" t="s">
        <v>176</v>
      </c>
      <c r="C118" s="166" t="s">
        <v>20</v>
      </c>
      <c r="D118" s="57">
        <v>3448614321.6100001</v>
      </c>
      <c r="E118" s="52">
        <f t="shared" ref="E118:E123" si="63">(D118/$D$156)</f>
        <v>1.7753914134058986E-3</v>
      </c>
      <c r="F118" s="57">
        <v>115.08880000000001</v>
      </c>
      <c r="G118" s="57">
        <v>115.08880000000001</v>
      </c>
      <c r="H118" s="53">
        <v>163</v>
      </c>
      <c r="I118" s="75">
        <v>2.3E-3</v>
      </c>
      <c r="J118" s="75">
        <v>5.0000000000000001E-4</v>
      </c>
      <c r="K118" s="57">
        <v>3456462537.5599999</v>
      </c>
      <c r="L118" s="52">
        <f t="shared" ref="L118:L134" si="64">(K118/$K$156)</f>
        <v>1.8046981886741709E-3</v>
      </c>
      <c r="M118" s="165">
        <v>114.8134</v>
      </c>
      <c r="N118" s="57">
        <v>114.8134</v>
      </c>
      <c r="O118" s="53">
        <v>163</v>
      </c>
      <c r="P118" s="75">
        <v>-1E-4</v>
      </c>
      <c r="Q118" s="75">
        <v>-1.9E-3</v>
      </c>
      <c r="R118" s="80">
        <f>((K118-D118)/D118)</f>
        <v>2.2757592522946539E-3</v>
      </c>
      <c r="S118" s="80">
        <f>((N118-G118)/G118)</f>
        <v>-2.3929348468313574E-3</v>
      </c>
      <c r="T118" s="80">
        <f>((O118-H118)/H118)</f>
        <v>0</v>
      </c>
      <c r="U118" s="80">
        <f>P118-I118</f>
        <v>-2.3999999999999998E-3</v>
      </c>
      <c r="V118" s="127">
        <f>Q118-J118</f>
        <v>-2.4000000000000002E-3</v>
      </c>
      <c r="X118" s="90"/>
      <c r="Y118" s="93"/>
      <c r="Z118" s="90"/>
      <c r="AA118" s="94"/>
    </row>
    <row r="119" spans="1:28" ht="16.5" customHeight="1">
      <c r="A119" s="180">
        <v>104</v>
      </c>
      <c r="B119" s="170" t="s">
        <v>177</v>
      </c>
      <c r="C119" s="166" t="s">
        <v>60</v>
      </c>
      <c r="D119" s="57">
        <v>5949370801.7464495</v>
      </c>
      <c r="E119" s="52">
        <f t="shared" si="63"/>
        <v>3.0628133074786057E-3</v>
      </c>
      <c r="F119" s="57">
        <v>142135.13759199998</v>
      </c>
      <c r="G119" s="57">
        <v>142135.13759199998</v>
      </c>
      <c r="H119" s="53">
        <v>102</v>
      </c>
      <c r="I119" s="75">
        <v>4.2700000000000002E-4</v>
      </c>
      <c r="J119" s="75">
        <v>2.4120000000000001E-3</v>
      </c>
      <c r="K119" s="57">
        <f>4251926.09*W137</f>
        <v>6044650805.5853853</v>
      </c>
      <c r="L119" s="52">
        <f t="shared" si="64"/>
        <v>3.1560505116044382E-3</v>
      </c>
      <c r="M119" s="57">
        <f>100.5*W137</f>
        <v>142873.46325</v>
      </c>
      <c r="N119" s="57">
        <f>100.5*W137</f>
        <v>142873.46325</v>
      </c>
      <c r="O119" s="53">
        <v>102</v>
      </c>
      <c r="P119" s="75">
        <v>2.6069999999999999E-3</v>
      </c>
      <c r="Q119" s="75">
        <v>5.019E-3</v>
      </c>
      <c r="R119" s="81">
        <f>((K119-D119)/D119)</f>
        <v>1.6015139586015754E-2</v>
      </c>
      <c r="S119" s="81">
        <f>((N119-G119)/G119)</f>
        <v>5.1945329670653687E-3</v>
      </c>
      <c r="T119" s="81">
        <f>((O119-H119)/H119)</f>
        <v>0</v>
      </c>
      <c r="U119" s="81">
        <f>P119-I119</f>
        <v>2.1800000000000001E-3</v>
      </c>
      <c r="V119" s="82">
        <f>Q119-J119</f>
        <v>2.6069999999999999E-3</v>
      </c>
      <c r="X119" s="90"/>
      <c r="Y119" s="93"/>
      <c r="Z119" s="90"/>
      <c r="AA119" s="94"/>
    </row>
    <row r="120" spans="1:28">
      <c r="A120" s="180">
        <v>105</v>
      </c>
      <c r="B120" s="170" t="s">
        <v>178</v>
      </c>
      <c r="C120" s="166" t="s">
        <v>24</v>
      </c>
      <c r="D120" s="57">
        <v>17538131111.608181</v>
      </c>
      <c r="E120" s="52">
        <f t="shared" si="63"/>
        <v>9.0288575291305843E-3</v>
      </c>
      <c r="F120" s="57">
        <v>1716.1428274899999</v>
      </c>
      <c r="G120" s="57">
        <v>1716.1428274899999</v>
      </c>
      <c r="H120" s="53">
        <v>322</v>
      </c>
      <c r="I120" s="75">
        <v>5.67E-2</v>
      </c>
      <c r="J120" s="75">
        <v>0.1166</v>
      </c>
      <c r="K120" s="57">
        <f>11807321.28*FX_RATE</f>
        <v>16785600825.661921</v>
      </c>
      <c r="L120" s="52">
        <f t="shared" si="64"/>
        <v>8.7641463133762924E-3</v>
      </c>
      <c r="M120" s="57">
        <f>1.2123*W137</f>
        <v>1723.43780595</v>
      </c>
      <c r="N120" s="57">
        <f>1.2123*W137</f>
        <v>1723.43780595</v>
      </c>
      <c r="O120" s="53">
        <v>321</v>
      </c>
      <c r="P120" s="75">
        <v>8.6199999999999999E-2</v>
      </c>
      <c r="Q120" s="75">
        <v>6.5699999999999995E-2</v>
      </c>
      <c r="R120" s="81">
        <f t="shared" ref="R120:R132" si="65">((K120-D120)/D120)</f>
        <v>-4.2908236981315177E-2</v>
      </c>
      <c r="S120" s="81">
        <f t="shared" ref="S120:S132" si="66">((N120-G120)/G120)</f>
        <v>4.2507991427901976E-3</v>
      </c>
      <c r="T120" s="81">
        <f t="shared" ref="T120:T132" si="67">((O120-H120)/H120)</f>
        <v>-3.105590062111801E-3</v>
      </c>
      <c r="U120" s="81">
        <f t="shared" ref="U120:U132" si="68">P120-I120</f>
        <v>2.9499999999999998E-2</v>
      </c>
      <c r="V120" s="82">
        <f t="shared" ref="V120:V132" si="69">Q120-J120</f>
        <v>-5.0900000000000001E-2</v>
      </c>
    </row>
    <row r="121" spans="1:28">
      <c r="A121" s="180">
        <v>106</v>
      </c>
      <c r="B121" s="170" t="s">
        <v>179</v>
      </c>
      <c r="C121" s="166" t="s">
        <v>24</v>
      </c>
      <c r="D121" s="57">
        <v>4159704830.953475</v>
      </c>
      <c r="E121" s="52">
        <f t="shared" si="63"/>
        <v>2.1414700370814637E-3</v>
      </c>
      <c r="F121" s="57">
        <v>1484.0246907799999</v>
      </c>
      <c r="G121" s="57">
        <v>1484.0246907799999</v>
      </c>
      <c r="H121" s="53">
        <v>104</v>
      </c>
      <c r="I121" s="75">
        <v>5.9900000000000002E-2</v>
      </c>
      <c r="J121" s="75">
        <v>4.8099999999999997E-2</v>
      </c>
      <c r="K121" s="57">
        <f>3030760.86*W137</f>
        <v>4308609953.7387905</v>
      </c>
      <c r="L121" s="52">
        <f t="shared" si="64"/>
        <v>2.2496238552335017E-3</v>
      </c>
      <c r="M121" s="57">
        <f>1.048*W137</f>
        <v>1489.8645720000002</v>
      </c>
      <c r="N121" s="57">
        <f>1.048*W137</f>
        <v>1489.8645720000002</v>
      </c>
      <c r="O121" s="53">
        <v>106</v>
      </c>
      <c r="P121" s="75">
        <v>6.9699999999999998E-2</v>
      </c>
      <c r="Q121" s="75">
        <v>5.4699999999999999E-2</v>
      </c>
      <c r="R121" s="81">
        <f t="shared" si="65"/>
        <v>3.5797040616265055E-2</v>
      </c>
      <c r="S121" s="81">
        <f t="shared" ref="S121" si="70">((N121-G121)/G121)</f>
        <v>3.9351644593802896E-3</v>
      </c>
      <c r="T121" s="81">
        <f t="shared" ref="T121" si="71">((O121-H121)/H121)</f>
        <v>1.9230769230769232E-2</v>
      </c>
      <c r="U121" s="81">
        <f t="shared" ref="U121" si="72">P121-I121</f>
        <v>9.7999999999999962E-3</v>
      </c>
      <c r="V121" s="82">
        <f t="shared" ref="V121" si="73">Q121-J121</f>
        <v>6.6000000000000017E-3</v>
      </c>
    </row>
    <row r="122" spans="1:28">
      <c r="A122" s="180">
        <v>107</v>
      </c>
      <c r="B122" s="170" t="s">
        <v>180</v>
      </c>
      <c r="C122" s="166" t="s">
        <v>28</v>
      </c>
      <c r="D122" s="57">
        <v>49808757552.340889</v>
      </c>
      <c r="E122" s="52">
        <f t="shared" si="63"/>
        <v>2.5642194871347133E-2</v>
      </c>
      <c r="F122" s="57">
        <v>1756.12896955</v>
      </c>
      <c r="G122" s="57">
        <v>1756.12896955</v>
      </c>
      <c r="H122" s="53">
        <v>645</v>
      </c>
      <c r="I122" s="75">
        <v>2.8E-3</v>
      </c>
      <c r="J122" s="75">
        <v>-6.8999999999999999E-3</v>
      </c>
      <c r="K122" s="57">
        <f>35863517.89*W137</f>
        <v>50984527415.648087</v>
      </c>
      <c r="L122" s="52">
        <f t="shared" si="64"/>
        <v>2.6620188495484743E-2</v>
      </c>
      <c r="M122" s="57">
        <f>1.2517*W137</f>
        <v>1779.4498900500002</v>
      </c>
      <c r="N122" s="57">
        <f>1.2517*W137</f>
        <v>1779.4498900500002</v>
      </c>
      <c r="O122" s="53">
        <v>647</v>
      </c>
      <c r="P122" s="75">
        <v>1.0699999999999999E-2</v>
      </c>
      <c r="Q122" s="75">
        <v>3.7000000000000002E-3</v>
      </c>
      <c r="R122" s="81">
        <f t="shared" si="65"/>
        <v>2.360568544741665E-2</v>
      </c>
      <c r="S122" s="81">
        <f t="shared" ref="S122:T125" si="74">((N122-G122)/G122)</f>
        <v>1.3279731104245813E-2</v>
      </c>
      <c r="T122" s="81">
        <f t="shared" si="74"/>
        <v>3.1007751937984496E-3</v>
      </c>
      <c r="U122" s="81">
        <f t="shared" si="68"/>
        <v>7.899999999999999E-3</v>
      </c>
      <c r="V122" s="82">
        <f t="shared" si="69"/>
        <v>1.06E-2</v>
      </c>
    </row>
    <row r="123" spans="1:28">
      <c r="A123" s="180">
        <v>108</v>
      </c>
      <c r="B123" s="170" t="s">
        <v>181</v>
      </c>
      <c r="C123" s="166" t="s">
        <v>69</v>
      </c>
      <c r="D123" s="57">
        <v>1511981413.2062562</v>
      </c>
      <c r="E123" s="52">
        <f t="shared" si="63"/>
        <v>7.783876559970031E-4</v>
      </c>
      <c r="F123" s="57">
        <v>1536.4887778799998</v>
      </c>
      <c r="G123" s="57">
        <v>1545.5636470000002</v>
      </c>
      <c r="H123" s="53">
        <v>67</v>
      </c>
      <c r="I123" s="75">
        <v>1.6000000000000001E-3</v>
      </c>
      <c r="J123" s="75">
        <v>0.20100000000000001</v>
      </c>
      <c r="K123" s="57">
        <f>1075707.08*W137</f>
        <v>1529253691.1656201</v>
      </c>
      <c r="L123" s="52">
        <f t="shared" si="64"/>
        <v>7.9845834765451351E-4</v>
      </c>
      <c r="M123" s="57">
        <f>1.0842*W137</f>
        <v>1541.3274513000001</v>
      </c>
      <c r="N123" s="57">
        <f>1.09*W137</f>
        <v>1549.5728850000003</v>
      </c>
      <c r="O123" s="53">
        <v>68</v>
      </c>
      <c r="P123" s="75">
        <v>1.9000000000000001E-4</v>
      </c>
      <c r="Q123" s="75">
        <v>0.14560000000000001</v>
      </c>
      <c r="R123" s="81">
        <f t="shared" si="65"/>
        <v>1.1423604687531796E-2</v>
      </c>
      <c r="S123" s="81">
        <f t="shared" si="74"/>
        <v>2.5940296976977844E-3</v>
      </c>
      <c r="T123" s="81">
        <f t="shared" si="74"/>
        <v>1.4925373134328358E-2</v>
      </c>
      <c r="U123" s="81">
        <f t="shared" si="68"/>
        <v>-1.41E-3</v>
      </c>
      <c r="V123" s="82">
        <f t="shared" si="69"/>
        <v>-5.5400000000000005E-2</v>
      </c>
    </row>
    <row r="124" spans="1:28">
      <c r="A124" s="180">
        <v>109</v>
      </c>
      <c r="B124" s="170" t="s">
        <v>182</v>
      </c>
      <c r="C124" s="166" t="s">
        <v>30</v>
      </c>
      <c r="D124" s="57">
        <v>742473093.510602</v>
      </c>
      <c r="E124" s="52">
        <v>0</v>
      </c>
      <c r="F124" s="57">
        <v>2014.4791498100001</v>
      </c>
      <c r="G124" s="57">
        <v>2014.4791498100001</v>
      </c>
      <c r="H124" s="53">
        <v>69</v>
      </c>
      <c r="I124" s="75">
        <v>4.2299999999999998E-4</v>
      </c>
      <c r="J124" s="75">
        <v>6.1999999999999998E-3</v>
      </c>
      <c r="K124" s="57">
        <f>543786.87*W137</f>
        <v>773061824.74405503</v>
      </c>
      <c r="L124" s="52">
        <f t="shared" si="64"/>
        <v>4.0363326947371188E-4</v>
      </c>
      <c r="M124" s="57">
        <f>1.4242*W137</f>
        <v>2024.6804612999999</v>
      </c>
      <c r="N124" s="57">
        <f>1.4242*W137</f>
        <v>2024.6804612999999</v>
      </c>
      <c r="O124" s="53">
        <v>71</v>
      </c>
      <c r="P124" s="75">
        <v>4.2099999999999999E-4</v>
      </c>
      <c r="Q124" s="75">
        <v>8.6999999999999994E-3</v>
      </c>
      <c r="R124" s="81">
        <f t="shared" si="65"/>
        <v>4.1198437358614191E-2</v>
      </c>
      <c r="S124" s="81">
        <f t="shared" si="74"/>
        <v>5.0639945769416434E-3</v>
      </c>
      <c r="T124" s="81">
        <f t="shared" si="74"/>
        <v>2.8985507246376812E-2</v>
      </c>
      <c r="U124" s="81">
        <f t="shared" si="68"/>
        <v>-1.9999999999999944E-6</v>
      </c>
      <c r="V124" s="82">
        <f t="shared" si="69"/>
        <v>2.4999999999999996E-3</v>
      </c>
    </row>
    <row r="125" spans="1:28">
      <c r="A125" s="180">
        <v>110</v>
      </c>
      <c r="B125" s="170" t="s">
        <v>183</v>
      </c>
      <c r="C125" s="166" t="s">
        <v>79</v>
      </c>
      <c r="D125" s="57">
        <v>1944581983.899786</v>
      </c>
      <c r="E125" s="52">
        <f t="shared" ref="E125:E134" si="75">(D125/$D$156)</f>
        <v>1.0010960446477884E-3</v>
      </c>
      <c r="F125" s="57">
        <v>152004.05776</v>
      </c>
      <c r="G125" s="57">
        <v>152131.67310700001</v>
      </c>
      <c r="H125" s="53">
        <v>84</v>
      </c>
      <c r="I125" s="75">
        <v>-1.6000000000000001E-3</v>
      </c>
      <c r="J125" s="75">
        <v>-1.1999999999999999E-3</v>
      </c>
      <c r="K125" s="57">
        <f>1363287.12*W137</f>
        <v>1938085096.9006803</v>
      </c>
      <c r="L125" s="52">
        <f>(K125/$K$156)</f>
        <v>1.0119185803015079E-3</v>
      </c>
      <c r="M125" s="57">
        <f>107.31*W137</f>
        <v>152554.739715</v>
      </c>
      <c r="N125" s="57">
        <f>107.45*W137</f>
        <v>152753.767425</v>
      </c>
      <c r="O125" s="53">
        <v>84</v>
      </c>
      <c r="P125" s="75">
        <v>5.1000000000000004E-3</v>
      </c>
      <c r="Q125" s="75">
        <v>3.8999999999999998E-3</v>
      </c>
      <c r="R125" s="81">
        <f t="shared" si="65"/>
        <v>-3.3410198453430232E-3</v>
      </c>
      <c r="S125" s="81">
        <f t="shared" si="74"/>
        <v>4.0891834375767757E-3</v>
      </c>
      <c r="T125" s="81">
        <f t="shared" si="74"/>
        <v>0</v>
      </c>
      <c r="U125" s="81">
        <f t="shared" si="68"/>
        <v>6.7000000000000002E-3</v>
      </c>
      <c r="V125" s="82">
        <f t="shared" si="69"/>
        <v>5.0999999999999995E-3</v>
      </c>
    </row>
    <row r="126" spans="1:28">
      <c r="A126" s="180">
        <v>111</v>
      </c>
      <c r="B126" s="170" t="s">
        <v>184</v>
      </c>
      <c r="C126" s="166" t="s">
        <v>82</v>
      </c>
      <c r="D126" s="57">
        <v>4985802482.7200003</v>
      </c>
      <c r="E126" s="52">
        <f t="shared" si="75"/>
        <v>2.5667558303899933E-3</v>
      </c>
      <c r="F126" s="57">
        <v>1648.08</v>
      </c>
      <c r="G126" s="57">
        <v>1648.08</v>
      </c>
      <c r="H126" s="53">
        <v>64</v>
      </c>
      <c r="I126" s="75">
        <v>6.6699999999999995E-2</v>
      </c>
      <c r="J126" s="75">
        <v>6.6699999999999995E-2</v>
      </c>
      <c r="K126" s="57">
        <v>5003986596.2600002</v>
      </c>
      <c r="L126" s="52">
        <f t="shared" si="64"/>
        <v>2.6126959133181376E-3</v>
      </c>
      <c r="M126" s="57">
        <v>1658.36</v>
      </c>
      <c r="N126" s="57">
        <v>1658.36</v>
      </c>
      <c r="O126" s="53">
        <v>66</v>
      </c>
      <c r="P126" s="75">
        <v>6.5799999999999997E-2</v>
      </c>
      <c r="Q126" s="75">
        <v>6.5799999999999997E-2</v>
      </c>
      <c r="R126" s="81">
        <f t="shared" si="65"/>
        <v>3.6471788850487383E-3</v>
      </c>
      <c r="S126" s="81">
        <f t="shared" si="66"/>
        <v>6.2375612834328267E-3</v>
      </c>
      <c r="T126" s="81">
        <f t="shared" si="67"/>
        <v>3.125E-2</v>
      </c>
      <c r="U126" s="81">
        <f t="shared" si="68"/>
        <v>-8.9999999999999802E-4</v>
      </c>
      <c r="V126" s="82">
        <f t="shared" si="69"/>
        <v>-8.9999999999999802E-4</v>
      </c>
      <c r="X126" s="91"/>
    </row>
    <row r="127" spans="1:28">
      <c r="A127" s="180">
        <v>112</v>
      </c>
      <c r="B127" s="170" t="s">
        <v>185</v>
      </c>
      <c r="C127" s="166" t="s">
        <v>32</v>
      </c>
      <c r="D127" s="57">
        <v>53555781008.524399</v>
      </c>
      <c r="E127" s="52">
        <f t="shared" si="75"/>
        <v>2.7571211180376719E-2</v>
      </c>
      <c r="F127" s="57">
        <v>181894.407924</v>
      </c>
      <c r="G127" s="57">
        <v>181894.407924</v>
      </c>
      <c r="H127" s="53">
        <v>2545</v>
      </c>
      <c r="I127" s="75">
        <v>-1.2999999999999999E-3</v>
      </c>
      <c r="J127" s="75">
        <v>3.0000000000000001E-3</v>
      </c>
      <c r="K127" s="57">
        <f>37914233.77*W137</f>
        <v>53899879454.626915</v>
      </c>
      <c r="L127" s="52">
        <f t="shared" si="64"/>
        <v>2.8142360510057404E-2</v>
      </c>
      <c r="M127" s="57">
        <f>128.45*W137</f>
        <v>182607.92392499998</v>
      </c>
      <c r="N127" s="57">
        <f>128.45*W137</f>
        <v>182607.92392499998</v>
      </c>
      <c r="O127" s="53">
        <v>2550</v>
      </c>
      <c r="P127" s="75">
        <v>1.2999999999999999E-3</v>
      </c>
      <c r="Q127" s="75">
        <v>4.4000000000000003E-3</v>
      </c>
      <c r="R127" s="81">
        <f t="shared" si="65"/>
        <v>6.4250476722157506E-3</v>
      </c>
      <c r="S127" s="81">
        <f t="shared" si="66"/>
        <v>3.9226934414504184E-3</v>
      </c>
      <c r="T127" s="81">
        <f t="shared" si="67"/>
        <v>1.9646365422396855E-3</v>
      </c>
      <c r="U127" s="81">
        <f t="shared" si="68"/>
        <v>2.5999999999999999E-3</v>
      </c>
      <c r="V127" s="82">
        <f t="shared" si="69"/>
        <v>1.4000000000000002E-3</v>
      </c>
    </row>
    <row r="128" spans="1:28">
      <c r="A128" s="180">
        <v>113</v>
      </c>
      <c r="B128" s="171" t="s">
        <v>186</v>
      </c>
      <c r="C128" s="171" t="s">
        <v>32</v>
      </c>
      <c r="D128" s="57">
        <v>156072056713.75357</v>
      </c>
      <c r="E128" s="52">
        <f t="shared" si="75"/>
        <v>8.0347920504150877E-2</v>
      </c>
      <c r="F128" s="57">
        <v>177342.79388099999</v>
      </c>
      <c r="G128" s="57">
        <v>177342.79388099999</v>
      </c>
      <c r="H128" s="53">
        <v>980</v>
      </c>
      <c r="I128" s="75">
        <v>-1.4E-3</v>
      </c>
      <c r="J128" s="75">
        <v>3.0999999999999999E-3</v>
      </c>
      <c r="K128" s="57">
        <f>110253629.46*W137</f>
        <v>156739481361.51669</v>
      </c>
      <c r="L128" s="52">
        <f t="shared" si="64"/>
        <v>8.1837270050825167E-2</v>
      </c>
      <c r="M128" s="57">
        <f>125.25*W137</f>
        <v>178058.719125</v>
      </c>
      <c r="N128" s="57">
        <f>125.25*W137</f>
        <v>178058.719125</v>
      </c>
      <c r="O128" s="53">
        <v>974</v>
      </c>
      <c r="P128" s="75">
        <v>1.4E-3</v>
      </c>
      <c r="Q128" s="75">
        <v>4.5999999999999999E-3</v>
      </c>
      <c r="R128" s="81">
        <f t="shared" si="65"/>
        <v>4.2763878545358271E-3</v>
      </c>
      <c r="S128" s="81">
        <f t="shared" si="66"/>
        <v>4.0369570611389523E-3</v>
      </c>
      <c r="T128" s="81">
        <f t="shared" si="67"/>
        <v>-6.1224489795918364E-3</v>
      </c>
      <c r="U128" s="81">
        <f t="shared" si="68"/>
        <v>2.8E-3</v>
      </c>
      <c r="V128" s="82">
        <f t="shared" si="69"/>
        <v>1.5E-3</v>
      </c>
      <c r="X128" s="90"/>
    </row>
    <row r="129" spans="1:25">
      <c r="A129" s="180">
        <v>114</v>
      </c>
      <c r="B129" s="170" t="s">
        <v>187</v>
      </c>
      <c r="C129" s="166" t="s">
        <v>88</v>
      </c>
      <c r="D129" s="57">
        <v>2321328890.4411321</v>
      </c>
      <c r="E129" s="52">
        <f t="shared" si="75"/>
        <v>1.1950502420508991E-3</v>
      </c>
      <c r="F129" s="57">
        <v>1417.9483</v>
      </c>
      <c r="G129" s="57">
        <v>1417.9483</v>
      </c>
      <c r="H129" s="53">
        <v>16</v>
      </c>
      <c r="I129" s="75">
        <v>8.2199999999999995E-2</v>
      </c>
      <c r="J129" s="75">
        <v>8.2299999999999998E-2</v>
      </c>
      <c r="K129" s="57">
        <f>1639639.5*W137</f>
        <v>2330954963.64675</v>
      </c>
      <c r="L129" s="52">
        <f t="shared" si="64"/>
        <v>1.2170449281779132E-3</v>
      </c>
      <c r="M129" s="57">
        <f>1*W137</f>
        <v>1421.6265000000001</v>
      </c>
      <c r="N129" s="57">
        <f>1*W137</f>
        <v>1421.6265000000001</v>
      </c>
      <c r="O129" s="53">
        <v>16</v>
      </c>
      <c r="P129" s="75">
        <v>8.1900000000000001E-2</v>
      </c>
      <c r="Q129" s="75">
        <v>8.2299999999999998E-2</v>
      </c>
      <c r="R129" s="81">
        <f t="shared" ref="R129" si="76">((K129-D129)/D129)</f>
        <v>4.146794211391829E-3</v>
      </c>
      <c r="S129" s="81">
        <f t="shared" ref="S129" si="77">((N129-G129)/G129)</f>
        <v>2.5940296976977657E-3</v>
      </c>
      <c r="T129" s="81">
        <f t="shared" si="67"/>
        <v>0</v>
      </c>
      <c r="U129" s="81">
        <f t="shared" si="68"/>
        <v>-2.9999999999999472E-4</v>
      </c>
      <c r="V129" s="82">
        <f t="shared" si="69"/>
        <v>0</v>
      </c>
    </row>
    <row r="130" spans="1:25">
      <c r="A130" s="180">
        <v>115</v>
      </c>
      <c r="B130" s="170" t="s">
        <v>188</v>
      </c>
      <c r="C130" s="166" t="s">
        <v>36</v>
      </c>
      <c r="D130" s="57">
        <v>258326575.81644475</v>
      </c>
      <c r="E130" s="52">
        <f t="shared" si="75"/>
        <v>1.329898741315179E-4</v>
      </c>
      <c r="F130" s="57">
        <v>192679.60628346002</v>
      </c>
      <c r="G130" s="57">
        <v>192679.60628346002</v>
      </c>
      <c r="H130" s="53">
        <v>10</v>
      </c>
      <c r="I130" s="75">
        <v>2E-3</v>
      </c>
      <c r="J130" s="75">
        <v>0.19850000000000001</v>
      </c>
      <c r="K130" s="57">
        <f>182539.1715 *W137</f>
        <v>259502523.49244475</v>
      </c>
      <c r="L130" s="52">
        <f t="shared" si="64"/>
        <v>1.3549220598056664E-4</v>
      </c>
      <c r="M130" s="57">
        <f>135.1516*W137</f>
        <v>192135.09607740003</v>
      </c>
      <c r="N130" s="57">
        <f>135.1516*W137</f>
        <v>192135.09607740003</v>
      </c>
      <c r="O130" s="53">
        <v>10</v>
      </c>
      <c r="P130" s="75">
        <v>2E-3</v>
      </c>
      <c r="Q130" s="75">
        <v>0.20080000000000001</v>
      </c>
      <c r="R130" s="81">
        <f t="shared" si="65"/>
        <v>4.5521745963743761E-3</v>
      </c>
      <c r="S130" s="81">
        <f t="shared" si="66"/>
        <v>-2.825987744955918E-3</v>
      </c>
      <c r="T130" s="81">
        <f t="shared" si="67"/>
        <v>0</v>
      </c>
      <c r="U130" s="81">
        <f t="shared" si="68"/>
        <v>0</v>
      </c>
      <c r="V130" s="82">
        <f t="shared" si="69"/>
        <v>2.2999999999999965E-3</v>
      </c>
    </row>
    <row r="131" spans="1:25">
      <c r="A131" s="180">
        <v>116</v>
      </c>
      <c r="B131" s="170" t="s">
        <v>189</v>
      </c>
      <c r="C131" s="166" t="s">
        <v>42</v>
      </c>
      <c r="D131" s="57">
        <v>14674962842.544106</v>
      </c>
      <c r="E131" s="52">
        <f t="shared" si="75"/>
        <v>7.5548613422622727E-3</v>
      </c>
      <c r="F131" s="57">
        <v>2112.7429670000001</v>
      </c>
      <c r="G131" s="57">
        <v>2112.7429670000001</v>
      </c>
      <c r="H131" s="71">
        <v>115</v>
      </c>
      <c r="I131" s="78">
        <v>2.4400000000000002E-2</v>
      </c>
      <c r="J131" s="78">
        <v>6.7799999999999999E-2</v>
      </c>
      <c r="K131" s="57">
        <f xml:space="preserve"> 10347284.86*W137</f>
        <v>14709974360.02479</v>
      </c>
      <c r="L131" s="52">
        <f t="shared" si="64"/>
        <v>7.6804142369558117E-3</v>
      </c>
      <c r="M131" s="57">
        <f>1.49*W137</f>
        <v>2118.223485</v>
      </c>
      <c r="N131" s="57">
        <f>1.49*W137</f>
        <v>2118.223485</v>
      </c>
      <c r="O131" s="71">
        <v>116</v>
      </c>
      <c r="P131" s="78">
        <v>2.6700000000000002E-2</v>
      </c>
      <c r="Q131" s="78">
        <v>8.3000000000000004E-2</v>
      </c>
      <c r="R131" s="81">
        <f t="shared" si="65"/>
        <v>2.3857993956333968E-3</v>
      </c>
      <c r="S131" s="81">
        <f t="shared" si="66"/>
        <v>2.5940296976976504E-3</v>
      </c>
      <c r="T131" s="81">
        <f t="shared" si="67"/>
        <v>8.6956521739130436E-3</v>
      </c>
      <c r="U131" s="81">
        <f t="shared" si="68"/>
        <v>2.3E-3</v>
      </c>
      <c r="V131" s="82">
        <f t="shared" si="69"/>
        <v>1.5200000000000005E-2</v>
      </c>
    </row>
    <row r="132" spans="1:25">
      <c r="A132" s="180">
        <v>117</v>
      </c>
      <c r="B132" s="170" t="s">
        <v>190</v>
      </c>
      <c r="C132" s="166" t="s">
        <v>104</v>
      </c>
      <c r="D132" s="57">
        <v>39759612341.129959</v>
      </c>
      <c r="E132" s="52">
        <f t="shared" si="75"/>
        <v>2.0468764485625231E-2</v>
      </c>
      <c r="F132" s="57">
        <v>147537.52061499999</v>
      </c>
      <c r="G132" s="57">
        <v>147537.52061499999</v>
      </c>
      <c r="H132" s="53">
        <v>846</v>
      </c>
      <c r="I132" s="78">
        <v>4.4000000000000003E-3</v>
      </c>
      <c r="J132" s="75">
        <v>2.0999999999999999E-3</v>
      </c>
      <c r="K132" s="57">
        <f>27912171*W137</f>
        <v>39680681966.1315</v>
      </c>
      <c r="L132" s="52">
        <f t="shared" si="64"/>
        <v>2.0718192108682813E-2</v>
      </c>
      <c r="M132" s="57">
        <f>104.37*W137</f>
        <v>148375.15780500002</v>
      </c>
      <c r="N132" s="57">
        <f>104.37*W137</f>
        <v>148375.15780500002</v>
      </c>
      <c r="O132" s="53">
        <v>855</v>
      </c>
      <c r="P132" s="78">
        <v>3.0999999999999999E-3</v>
      </c>
      <c r="Q132" s="75">
        <v>5.04E-2</v>
      </c>
      <c r="R132" s="81">
        <f t="shared" si="65"/>
        <v>-1.9851897528892176E-3</v>
      </c>
      <c r="S132" s="81">
        <f t="shared" si="66"/>
        <v>5.6774519898965684E-3</v>
      </c>
      <c r="T132" s="81">
        <f t="shared" si="67"/>
        <v>1.0638297872340425E-2</v>
      </c>
      <c r="U132" s="81">
        <f t="shared" si="68"/>
        <v>-1.3000000000000004E-3</v>
      </c>
      <c r="V132" s="82">
        <f t="shared" si="69"/>
        <v>4.8300000000000003E-2</v>
      </c>
    </row>
    <row r="133" spans="1:25">
      <c r="A133" s="180">
        <v>118</v>
      </c>
      <c r="B133" s="170" t="s">
        <v>191</v>
      </c>
      <c r="C133" s="166" t="s">
        <v>46</v>
      </c>
      <c r="D133" s="57">
        <v>2953172891.893652</v>
      </c>
      <c r="E133" s="52">
        <f t="shared" si="75"/>
        <v>1.5203317348990539E-3</v>
      </c>
      <c r="F133" s="57">
        <v>234798.05899700001</v>
      </c>
      <c r="G133" s="57">
        <v>243688.59483800002</v>
      </c>
      <c r="H133" s="53">
        <v>48</v>
      </c>
      <c r="I133" s="75">
        <v>8.0000000000000004E-4</v>
      </c>
      <c r="J133" s="75">
        <v>7.2700000000000001E-2</v>
      </c>
      <c r="K133" s="57">
        <f>2085597.62*W137</f>
        <v>2964940844.9289303</v>
      </c>
      <c r="L133" s="52">
        <f t="shared" si="64"/>
        <v>1.548063464951245E-3</v>
      </c>
      <c r="M133" s="57">
        <f>165.71*W137</f>
        <v>235577.72731500003</v>
      </c>
      <c r="N133" s="57">
        <f>172.03*W137</f>
        <v>244562.40679500002</v>
      </c>
      <c r="O133" s="53">
        <v>49</v>
      </c>
      <c r="P133" s="75">
        <v>8.0000000000000004E-4</v>
      </c>
      <c r="Q133" s="75">
        <v>7.3700000000000002E-2</v>
      </c>
      <c r="R133" s="81">
        <f t="shared" ref="R133:R134" si="78">((K133-D133)/D133)</f>
        <v>3.9848506897719764E-3</v>
      </c>
      <c r="S133" s="81">
        <f t="shared" ref="S133:S134" si="79">((N133-G133)/G133)</f>
        <v>3.5857728901136847E-3</v>
      </c>
      <c r="T133" s="81">
        <f t="shared" ref="T133:T134" si="80">((O133-H133)/H133)</f>
        <v>2.0833333333333332E-2</v>
      </c>
      <c r="U133" s="81">
        <f t="shared" ref="U133:U134" si="81">P133-I133</f>
        <v>0</v>
      </c>
      <c r="V133" s="82">
        <f t="shared" ref="V133:V134" si="82">Q133-J133</f>
        <v>1.0000000000000009E-3</v>
      </c>
    </row>
    <row r="134" spans="1:25">
      <c r="A134" s="180">
        <v>119</v>
      </c>
      <c r="B134" s="170" t="s">
        <v>192</v>
      </c>
      <c r="C134" s="166" t="s">
        <v>53</v>
      </c>
      <c r="D134" s="51">
        <v>159150672558.146</v>
      </c>
      <c r="E134" s="52">
        <f t="shared" si="75"/>
        <v>8.1932831899159522E-2</v>
      </c>
      <c r="F134" s="57">
        <v>177599.80042000001</v>
      </c>
      <c r="G134" s="57">
        <v>177599.80042000001</v>
      </c>
      <c r="H134" s="53">
        <v>4175</v>
      </c>
      <c r="I134" s="75">
        <v>1.1000000000000001E-3</v>
      </c>
      <c r="J134" s="75">
        <v>5.9400000000000001E-2</v>
      </c>
      <c r="K134" s="51">
        <f>110374438.81*1422.81</f>
        <v>157041855283.2561</v>
      </c>
      <c r="L134" s="52">
        <f t="shared" si="64"/>
        <v>8.1995146394901103E-2</v>
      </c>
      <c r="M134" s="57">
        <f>125.2185*1422.81</f>
        <v>178162.13398499999</v>
      </c>
      <c r="N134" s="57">
        <f>125.2185*1422.81</f>
        <v>178162.13398499999</v>
      </c>
      <c r="O134" s="53">
        <v>4187</v>
      </c>
      <c r="P134" s="75">
        <v>1E-3</v>
      </c>
      <c r="Q134" s="75">
        <v>5.8400000000000001E-2</v>
      </c>
      <c r="R134" s="81">
        <f t="shared" si="78"/>
        <v>-1.3250445260414669E-2</v>
      </c>
      <c r="S134" s="81">
        <f t="shared" si="79"/>
        <v>3.1662961538815614E-3</v>
      </c>
      <c r="T134" s="81">
        <f t="shared" si="80"/>
        <v>2.874251497005988E-3</v>
      </c>
      <c r="U134" s="81">
        <f t="shared" si="81"/>
        <v>-1.0000000000000005E-4</v>
      </c>
      <c r="V134" s="82">
        <f t="shared" si="82"/>
        <v>-1.0000000000000009E-3</v>
      </c>
    </row>
    <row r="135" spans="1:25" ht="6" customHeight="1">
      <c r="A135" s="95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</row>
    <row r="136" spans="1:25">
      <c r="A136" s="192" t="s">
        <v>193</v>
      </c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</row>
    <row r="137" spans="1:25">
      <c r="A137" s="180">
        <v>120</v>
      </c>
      <c r="B137" s="170" t="s">
        <v>194</v>
      </c>
      <c r="C137" s="166" t="s">
        <v>64</v>
      </c>
      <c r="D137" s="51">
        <v>1613152790.1033382</v>
      </c>
      <c r="E137" s="52">
        <f>(D137/$D$156)</f>
        <v>8.3047199395848198E-4</v>
      </c>
      <c r="F137" s="57">
        <v>172720.282423</v>
      </c>
      <c r="G137" s="57">
        <v>172720.282423</v>
      </c>
      <c r="H137" s="53">
        <v>23</v>
      </c>
      <c r="I137" s="75">
        <v>2.5000000000000001E-3</v>
      </c>
      <c r="J137" s="75">
        <v>3.8E-3</v>
      </c>
      <c r="K137" s="51">
        <f>1140856.09*W137</f>
        <v>1621871250.2303853</v>
      </c>
      <c r="L137" s="52">
        <f t="shared" ref="L137:L154" si="83">(K137/$K$156)</f>
        <v>8.4681609470580886E-4</v>
      </c>
      <c r="M137" s="57">
        <f>121.81*W137</f>
        <v>173168.32396500002</v>
      </c>
      <c r="N137" s="57">
        <f>121.81*W137</f>
        <v>173168.32396500002</v>
      </c>
      <c r="O137" s="53">
        <v>23</v>
      </c>
      <c r="P137" s="75">
        <v>2.5999999999999999E-3</v>
      </c>
      <c r="Q137" s="75">
        <v>1.2999999999999999E-3</v>
      </c>
      <c r="R137" s="81">
        <f>((K137-D137)/D137)</f>
        <v>5.4046090243494906E-3</v>
      </c>
      <c r="S137" s="81">
        <f>((N137-G137)/G137)</f>
        <v>2.5940296976978438E-3</v>
      </c>
      <c r="T137" s="81">
        <f>((O137-H137)/H137)</f>
        <v>0</v>
      </c>
      <c r="U137" s="81">
        <f>P137-I137</f>
        <v>9.9999999999999829E-5</v>
      </c>
      <c r="V137" s="82">
        <f>Q137-J137</f>
        <v>-2.5000000000000001E-3</v>
      </c>
      <c r="W137" s="102">
        <v>1421.6265000000001</v>
      </c>
      <c r="Y137" s="142"/>
    </row>
    <row r="138" spans="1:25">
      <c r="A138" s="180">
        <v>121</v>
      </c>
      <c r="B138" s="166" t="s">
        <v>195</v>
      </c>
      <c r="C138" s="166" t="s">
        <v>26</v>
      </c>
      <c r="D138" s="57">
        <v>26396109129.743256</v>
      </c>
      <c r="E138" s="52">
        <f t="shared" ref="E138:E155" si="84">(D138/$D$156)</f>
        <v>1.3589059583326452E-2</v>
      </c>
      <c r="F138" s="51">
        <v>192713.35345299999</v>
      </c>
      <c r="G138" s="51">
        <v>192713.35345299999</v>
      </c>
      <c r="H138" s="53">
        <v>655</v>
      </c>
      <c r="I138" s="75">
        <v>5.0000000000000001E-4</v>
      </c>
      <c r="J138" s="75">
        <v>2.2000000000000001E-3</v>
      </c>
      <c r="K138" s="57">
        <f>20280300.54*W137</f>
        <v>28831012675.628311</v>
      </c>
      <c r="L138" s="52">
        <f t="shared" si="83"/>
        <v>1.5053331487885475E-2</v>
      </c>
      <c r="M138" s="51">
        <f>136.04*W137</f>
        <v>193398.06906000001</v>
      </c>
      <c r="N138" s="51">
        <f>136.04*W137</f>
        <v>193398.06906000001</v>
      </c>
      <c r="O138" s="53">
        <v>656</v>
      </c>
      <c r="P138" s="75">
        <v>5.0000000000000001E-4</v>
      </c>
      <c r="Q138" s="75">
        <v>3.0999999999999999E-3</v>
      </c>
      <c r="R138" s="81">
        <f t="shared" ref="R138:R156" si="85">((K138-D138)/D138)</f>
        <v>9.2244790090725726E-2</v>
      </c>
      <c r="S138" s="81">
        <f t="shared" ref="S138:S156" si="86">((N138-G138)/G138)</f>
        <v>3.5530262679332823E-3</v>
      </c>
      <c r="T138" s="81">
        <f t="shared" ref="T138:T156" si="87">((O138-H138)/H138)</f>
        <v>1.5267175572519084E-3</v>
      </c>
      <c r="U138" s="81">
        <f t="shared" ref="U138:U156" si="88">P138-I138</f>
        <v>0</v>
      </c>
      <c r="V138" s="82">
        <f t="shared" ref="V138:V156" si="89">Q138-J138</f>
        <v>8.9999999999999976E-4</v>
      </c>
    </row>
    <row r="139" spans="1:25">
      <c r="A139" s="180">
        <v>122</v>
      </c>
      <c r="B139" s="166" t="s">
        <v>196</v>
      </c>
      <c r="C139" s="166" t="s">
        <v>137</v>
      </c>
      <c r="D139" s="57">
        <v>390194699.050035</v>
      </c>
      <c r="E139" s="52">
        <f t="shared" si="84"/>
        <v>2.0087729552967766E-4</v>
      </c>
      <c r="F139" s="51">
        <v>141794.83000000002</v>
      </c>
      <c r="G139" s="51">
        <v>141794.83000000002</v>
      </c>
      <c r="H139" s="53">
        <v>16</v>
      </c>
      <c r="I139" s="75">
        <v>1.4300000000000001E-3</v>
      </c>
      <c r="J139" s="75">
        <v>4.4999999999999997E-3</v>
      </c>
      <c r="K139" s="57">
        <f>250737.13*W137</f>
        <v>356454548.54194504</v>
      </c>
      <c r="L139" s="52">
        <f t="shared" si="83"/>
        <v>1.8611307691256896E-4</v>
      </c>
      <c r="M139" s="51">
        <f>100*W137</f>
        <v>142162.65</v>
      </c>
      <c r="N139" s="51">
        <f>100*W137</f>
        <v>142162.65</v>
      </c>
      <c r="O139" s="53">
        <v>15</v>
      </c>
      <c r="P139" s="75">
        <v>2.81E-3</v>
      </c>
      <c r="Q139" s="75">
        <v>7.9000000000000008E-3</v>
      </c>
      <c r="R139" s="81">
        <v>0</v>
      </c>
      <c r="S139" s="81">
        <f t="shared" ref="S139" si="90">((N139-G139)/G139)</f>
        <v>2.5940296976975667E-3</v>
      </c>
      <c r="T139" s="81">
        <f t="shared" ref="T139" si="91">((O139-H139)/H139)</f>
        <v>-6.25E-2</v>
      </c>
      <c r="U139" s="81">
        <f t="shared" ref="U139" si="92">P139-I139</f>
        <v>1.3799999999999999E-3</v>
      </c>
      <c r="V139" s="82">
        <f t="shared" ref="V139" si="93">Q139-J139</f>
        <v>3.4000000000000011E-3</v>
      </c>
    </row>
    <row r="140" spans="1:25">
      <c r="A140" s="180">
        <v>123</v>
      </c>
      <c r="B140" s="170" t="s">
        <v>197</v>
      </c>
      <c r="C140" s="166" t="s">
        <v>73</v>
      </c>
      <c r="D140" s="51">
        <v>17390401729.75</v>
      </c>
      <c r="E140" s="52">
        <f t="shared" si="84"/>
        <v>8.9528045259242607E-3</v>
      </c>
      <c r="F140" s="51">
        <v>171037.65</v>
      </c>
      <c r="G140" s="51">
        <v>171037.65</v>
      </c>
      <c r="H140" s="53">
        <v>456</v>
      </c>
      <c r="I140" s="75">
        <v>1.1999999999999999E-3</v>
      </c>
      <c r="J140" s="75">
        <v>6.7400000000000002E-2</v>
      </c>
      <c r="K140" s="51">
        <v>17418896783.049999</v>
      </c>
      <c r="L140" s="52">
        <f t="shared" ref="L140:L141" si="94">(K140/$K$114)</f>
        <v>7.1672285458309462E-2</v>
      </c>
      <c r="M140" s="51">
        <v>171238.55</v>
      </c>
      <c r="N140" s="51">
        <v>171238.55</v>
      </c>
      <c r="O140" s="53">
        <v>456</v>
      </c>
      <c r="P140" s="75">
        <v>1.1999999999999999E-3</v>
      </c>
      <c r="Q140" s="75">
        <v>6.7400000000000002E-2</v>
      </c>
      <c r="R140" s="81">
        <f t="shared" si="85"/>
        <v>1.6385506064102221E-3</v>
      </c>
      <c r="S140" s="81">
        <f t="shared" si="86"/>
        <v>1.174595184159711E-3</v>
      </c>
      <c r="T140" s="81">
        <f t="shared" si="87"/>
        <v>0</v>
      </c>
      <c r="U140" s="81">
        <f t="shared" si="88"/>
        <v>0</v>
      </c>
      <c r="V140" s="82">
        <f t="shared" si="89"/>
        <v>0</v>
      </c>
    </row>
    <row r="141" spans="1:25">
      <c r="A141" s="180">
        <v>124</v>
      </c>
      <c r="B141" s="170" t="s">
        <v>198</v>
      </c>
      <c r="C141" s="166" t="s">
        <v>75</v>
      </c>
      <c r="D141" s="57">
        <v>220266116.58806899</v>
      </c>
      <c r="E141" s="52">
        <f t="shared" ref="E141" si="95">(D141/$D$114)</f>
        <v>9.0450911429539895E-4</v>
      </c>
      <c r="F141" s="56">
        <v>1427.4485536099999</v>
      </c>
      <c r="G141" s="56">
        <v>1427.4485536099999</v>
      </c>
      <c r="H141" s="53">
        <v>5</v>
      </c>
      <c r="I141" s="75">
        <v>1.2999999999999999E-3</v>
      </c>
      <c r="J141" s="75">
        <v>6.4500000000000002E-2</v>
      </c>
      <c r="K141" s="57">
        <f>155502.13*W137</f>
        <v>221065948.81444502</v>
      </c>
      <c r="L141" s="52">
        <f t="shared" si="94"/>
        <v>9.0960420661994647E-4</v>
      </c>
      <c r="M141" s="56">
        <f>1.009*W137</f>
        <v>1434.4211384999999</v>
      </c>
      <c r="N141" s="56">
        <f>1.009*W137</f>
        <v>1434.4211384999999</v>
      </c>
      <c r="O141" s="53">
        <v>5</v>
      </c>
      <c r="P141" s="75">
        <v>2.3E-3</v>
      </c>
      <c r="Q141" s="75">
        <v>6.5500000000000003E-2</v>
      </c>
      <c r="R141" s="80">
        <f t="shared" si="85"/>
        <v>3.6312086432786859E-3</v>
      </c>
      <c r="S141" s="80">
        <f t="shared" si="86"/>
        <v>4.8846488178970974E-3</v>
      </c>
      <c r="T141" s="80">
        <f t="shared" si="87"/>
        <v>0</v>
      </c>
      <c r="U141" s="81">
        <f t="shared" si="88"/>
        <v>1E-3</v>
      </c>
      <c r="V141" s="82">
        <f t="shared" si="89"/>
        <v>1.0000000000000009E-3</v>
      </c>
    </row>
    <row r="142" spans="1:25">
      <c r="A142" s="180">
        <v>125</v>
      </c>
      <c r="B142" s="170" t="s">
        <v>199</v>
      </c>
      <c r="C142" s="166" t="s">
        <v>71</v>
      </c>
      <c r="D142" s="51">
        <v>11062369880.5424</v>
      </c>
      <c r="E142" s="52">
        <f t="shared" si="84"/>
        <v>5.6950515964527982E-3</v>
      </c>
      <c r="F142" s="51">
        <v>1907.34</v>
      </c>
      <c r="G142" s="51">
        <v>1907.34</v>
      </c>
      <c r="H142" s="53">
        <v>315</v>
      </c>
      <c r="I142" s="75">
        <v>7.5200000000000003E-2</v>
      </c>
      <c r="J142" s="75">
        <v>7.4800000000000005E-2</v>
      </c>
      <c r="K142" s="51">
        <v>11057001702.4053</v>
      </c>
      <c r="L142" s="52">
        <f t="shared" si="83"/>
        <v>5.7731136176538654E-3</v>
      </c>
      <c r="M142" s="51">
        <v>1914.35879390269</v>
      </c>
      <c r="N142" s="51">
        <v>1914.35879390269</v>
      </c>
      <c r="O142" s="53">
        <v>320</v>
      </c>
      <c r="P142" s="75">
        <v>8.1199999999999994E-2</v>
      </c>
      <c r="Q142" s="75">
        <v>7.6799999999999993E-2</v>
      </c>
      <c r="R142" s="81">
        <f t="shared" si="85"/>
        <v>-4.8526474842812E-4</v>
      </c>
      <c r="S142" s="81">
        <f t="shared" si="86"/>
        <v>3.6798860731123186E-3</v>
      </c>
      <c r="T142" s="80">
        <f t="shared" si="87"/>
        <v>1.5873015873015872E-2</v>
      </c>
      <c r="U142" s="81">
        <f t="shared" si="88"/>
        <v>5.9999999999999915E-3</v>
      </c>
      <c r="V142" s="82">
        <f t="shared" si="89"/>
        <v>1.9999999999999879E-3</v>
      </c>
    </row>
    <row r="143" spans="1:25">
      <c r="A143" s="180">
        <v>126</v>
      </c>
      <c r="B143" s="170" t="s">
        <v>200</v>
      </c>
      <c r="C143" s="166" t="s">
        <v>94</v>
      </c>
      <c r="D143" s="51">
        <v>427389270.38343799</v>
      </c>
      <c r="E143" s="52">
        <f t="shared" si="84"/>
        <v>2.2002554361205765E-4</v>
      </c>
      <c r="F143" s="51">
        <v>1474.666232</v>
      </c>
      <c r="G143" s="51">
        <v>1474.666232</v>
      </c>
      <c r="H143" s="53">
        <v>11</v>
      </c>
      <c r="I143" s="75">
        <v>2.9999999999999997E-4</v>
      </c>
      <c r="J143" s="75">
        <v>1.1999999999999999E-3</v>
      </c>
      <c r="K143" s="51">
        <f>301538.45*W137</f>
        <v>428675051.28892505</v>
      </c>
      <c r="L143" s="52">
        <f t="shared" si="83"/>
        <v>2.2382105409337192E-4</v>
      </c>
      <c r="M143" s="51">
        <f>1.04*W137</f>
        <v>1478.4915600000002</v>
      </c>
      <c r="N143" s="51">
        <f>1.04*W137</f>
        <v>1478.4915600000002</v>
      </c>
      <c r="O143" s="53">
        <v>11</v>
      </c>
      <c r="P143" s="75">
        <v>2.9999999999999997E-4</v>
      </c>
      <c r="Q143" s="75">
        <v>1.6000000000000001E-3</v>
      </c>
      <c r="R143" s="81">
        <f t="shared" si="85"/>
        <v>3.0084538723527269E-3</v>
      </c>
      <c r="S143" s="81">
        <f t="shared" si="86"/>
        <v>2.5940296976978087E-3</v>
      </c>
      <c r="T143" s="80">
        <f t="shared" si="87"/>
        <v>0</v>
      </c>
      <c r="U143" s="81">
        <f t="shared" si="88"/>
        <v>0</v>
      </c>
      <c r="V143" s="82">
        <f t="shared" si="89"/>
        <v>4.0000000000000018E-4</v>
      </c>
    </row>
    <row r="144" spans="1:25">
      <c r="A144" s="180">
        <v>127</v>
      </c>
      <c r="B144" s="170" t="s">
        <v>201</v>
      </c>
      <c r="C144" s="166" t="s">
        <v>38</v>
      </c>
      <c r="D144" s="51">
        <v>119735148803.347</v>
      </c>
      <c r="E144" s="52">
        <f t="shared" si="84"/>
        <v>6.1641208683810567E-2</v>
      </c>
      <c r="F144" s="51">
        <v>100</v>
      </c>
      <c r="G144" s="51">
        <v>100</v>
      </c>
      <c r="H144" s="53">
        <v>2284</v>
      </c>
      <c r="I144" s="75">
        <v>5.2200000000000003E-2</v>
      </c>
      <c r="J144" s="75">
        <v>5.3900000000000003E-2</v>
      </c>
      <c r="K144" s="51">
        <v>122123991287.929</v>
      </c>
      <c r="L144" s="52">
        <f t="shared" si="83"/>
        <v>6.3763730541274488E-2</v>
      </c>
      <c r="M144" s="51">
        <v>100</v>
      </c>
      <c r="N144" s="51">
        <v>100</v>
      </c>
      <c r="O144" s="53">
        <v>2344</v>
      </c>
      <c r="P144" s="75">
        <v>5.0500000000000003E-2</v>
      </c>
      <c r="Q144" s="75">
        <v>5.3900000000000003E-2</v>
      </c>
      <c r="R144" s="81">
        <f t="shared" si="85"/>
        <v>1.9951054543770063E-2</v>
      </c>
      <c r="S144" s="81">
        <f t="shared" si="86"/>
        <v>0</v>
      </c>
      <c r="T144" s="81">
        <f t="shared" si="87"/>
        <v>2.6269702276707531E-2</v>
      </c>
      <c r="U144" s="81">
        <f t="shared" si="88"/>
        <v>-1.7000000000000001E-3</v>
      </c>
      <c r="V144" s="82">
        <f t="shared" si="89"/>
        <v>0</v>
      </c>
    </row>
    <row r="145" spans="1:24" ht="15.6">
      <c r="A145" s="180">
        <v>128</v>
      </c>
      <c r="B145" s="170" t="s">
        <v>202</v>
      </c>
      <c r="C145" s="166" t="s">
        <v>151</v>
      </c>
      <c r="D145" s="51">
        <v>1562201285.1728802</v>
      </c>
      <c r="E145" s="52">
        <f t="shared" si="84"/>
        <v>8.0424149790480541E-4</v>
      </c>
      <c r="F145" s="51">
        <v>1644.8200279999999</v>
      </c>
      <c r="G145" s="51">
        <v>1644.8200279999999</v>
      </c>
      <c r="H145" s="53">
        <v>53</v>
      </c>
      <c r="I145" s="75">
        <v>1.9E-3</v>
      </c>
      <c r="J145" s="75">
        <v>9.1700000000000004E-2</v>
      </c>
      <c r="K145" s="51">
        <f>1100007.54*W137</f>
        <v>1563799869.0638101</v>
      </c>
      <c r="L145" s="52">
        <f t="shared" si="83"/>
        <v>8.1649569769114681E-4</v>
      </c>
      <c r="M145" s="51">
        <f>1.16*W137</f>
        <v>1649.08674</v>
      </c>
      <c r="N145" s="51">
        <f>1.16*W137</f>
        <v>1649.08674</v>
      </c>
      <c r="O145" s="53">
        <v>53</v>
      </c>
      <c r="P145" s="75">
        <v>1.9E-3</v>
      </c>
      <c r="Q145" s="75">
        <v>9.1700000000000004E-2</v>
      </c>
      <c r="R145" s="81">
        <f t="shared" si="85"/>
        <v>1.0232893200782581E-3</v>
      </c>
      <c r="S145" s="81">
        <f t="shared" si="86"/>
        <v>2.5940296976977827E-3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80">
        <v>129</v>
      </c>
      <c r="B146" s="170" t="s">
        <v>331</v>
      </c>
      <c r="C146" s="166" t="s">
        <v>44</v>
      </c>
      <c r="D146" s="57">
        <v>9505309559.8943443</v>
      </c>
      <c r="E146" s="52">
        <f t="shared" si="84"/>
        <v>4.8934567338115541E-3</v>
      </c>
      <c r="F146" s="51">
        <v>15725.046646999999</v>
      </c>
      <c r="G146" s="51">
        <v>15725.046646999999</v>
      </c>
      <c r="H146" s="53">
        <v>184</v>
      </c>
      <c r="I146" s="75">
        <v>5.9799999999999999E-2</v>
      </c>
      <c r="J146" s="75">
        <v>7.9600000000000004E-2</v>
      </c>
      <c r="K146" s="57">
        <f>6512953.75*W137</f>
        <v>9258987644.2743759</v>
      </c>
      <c r="L146" s="52">
        <f t="shared" si="83"/>
        <v>4.834329332084779E-3</v>
      </c>
      <c r="M146" s="51">
        <f>11.08*W137</f>
        <v>15751.621620000002</v>
      </c>
      <c r="N146" s="51">
        <f>11.08*W137</f>
        <v>15751.621620000002</v>
      </c>
      <c r="O146" s="53">
        <v>190</v>
      </c>
      <c r="P146" s="75">
        <v>5.96E-2</v>
      </c>
      <c r="Q146" s="75">
        <v>7.9500000000000001E-2</v>
      </c>
      <c r="R146" s="81">
        <f t="shared" si="85"/>
        <v>-2.5914139257417975E-2</v>
      </c>
      <c r="S146" s="81">
        <f t="shared" si="86"/>
        <v>1.6899773715502735E-3</v>
      </c>
      <c r="T146" s="81">
        <f t="shared" si="87"/>
        <v>3.2608695652173912E-2</v>
      </c>
      <c r="U146" s="81">
        <f t="shared" si="88"/>
        <v>-1.9999999999999879E-4</v>
      </c>
      <c r="V146" s="82">
        <f t="shared" si="89"/>
        <v>-1.0000000000000286E-4</v>
      </c>
      <c r="X146" s="103"/>
    </row>
    <row r="147" spans="1:24" ht="15.6">
      <c r="A147" s="180">
        <v>130</v>
      </c>
      <c r="B147" s="166" t="s">
        <v>203</v>
      </c>
      <c r="C147" s="172" t="s">
        <v>48</v>
      </c>
      <c r="D147" s="51">
        <v>28056934433.509998</v>
      </c>
      <c r="E147" s="52">
        <f t="shared" si="84"/>
        <v>1.444407400607528E-2</v>
      </c>
      <c r="F147" s="51">
        <v>1531.3841640000001</v>
      </c>
      <c r="G147" s="51">
        <v>1531.3841640000001</v>
      </c>
      <c r="H147" s="53">
        <v>678</v>
      </c>
      <c r="I147" s="75">
        <v>-5.1999999999999998E-3</v>
      </c>
      <c r="J147" s="75">
        <v>-5.3E-3</v>
      </c>
      <c r="K147" s="51">
        <v>29116715850.32</v>
      </c>
      <c r="L147" s="52">
        <f t="shared" si="83"/>
        <v>1.5202503653433818E-2</v>
      </c>
      <c r="M147" s="51">
        <f>1.08*W137</f>
        <v>1535.3566200000002</v>
      </c>
      <c r="N147" s="51">
        <f>1.08*W137</f>
        <v>1535.3566200000002</v>
      </c>
      <c r="O147" s="53">
        <v>678</v>
      </c>
      <c r="P147" s="75">
        <v>-1.6999999999999999E-3</v>
      </c>
      <c r="Q147" s="75">
        <v>-4.5999999999999999E-3</v>
      </c>
      <c r="R147" s="81">
        <f t="shared" si="85"/>
        <v>3.7772530684758061E-2</v>
      </c>
      <c r="S147" s="81">
        <f t="shared" si="86"/>
        <v>2.5940296976978486E-3</v>
      </c>
      <c r="T147" s="81">
        <f t="shared" si="87"/>
        <v>0</v>
      </c>
      <c r="U147" s="81">
        <f t="shared" si="88"/>
        <v>3.4999999999999996E-3</v>
      </c>
      <c r="V147" s="82">
        <f t="shared" si="89"/>
        <v>7.000000000000001E-4</v>
      </c>
      <c r="X147" s="103"/>
    </row>
    <row r="148" spans="1:24">
      <c r="A148" s="180">
        <v>131</v>
      </c>
      <c r="B148" s="170" t="s">
        <v>204</v>
      </c>
      <c r="C148" s="166" t="s">
        <v>106</v>
      </c>
      <c r="D148" s="57">
        <v>452244890.16399997</v>
      </c>
      <c r="E148" s="52">
        <f t="shared" si="84"/>
        <v>2.3282153928393378E-4</v>
      </c>
      <c r="F148" s="51">
        <v>1888.3340000000001</v>
      </c>
      <c r="G148" s="51">
        <v>1888.3340000000001</v>
      </c>
      <c r="H148" s="53">
        <v>2</v>
      </c>
      <c r="I148" s="75">
        <v>8.4159999999999999E-3</v>
      </c>
      <c r="J148" s="75">
        <v>-1.395E-3</v>
      </c>
      <c r="K148" s="57">
        <f>319969.12*1422.81</f>
        <v>455255263.62719995</v>
      </c>
      <c r="L148" s="52">
        <f t="shared" si="83"/>
        <v>2.3769919121772862E-4</v>
      </c>
      <c r="M148" s="51">
        <f>1.33*1422.81</f>
        <v>1892.3373000000001</v>
      </c>
      <c r="N148" s="51">
        <f>1.33*1422.81</f>
        <v>1892.3373000000001</v>
      </c>
      <c r="O148" s="53">
        <v>2</v>
      </c>
      <c r="P148" s="75">
        <v>4.5269999999999998E-3</v>
      </c>
      <c r="Q148" s="75">
        <v>3.1250000000000002E-3</v>
      </c>
      <c r="R148" s="81">
        <f t="shared" si="85"/>
        <v>6.6565118339055318E-3</v>
      </c>
      <c r="S148" s="81">
        <f t="shared" si="86"/>
        <v>2.1200169037893092E-3</v>
      </c>
      <c r="T148" s="81">
        <f t="shared" si="87"/>
        <v>0</v>
      </c>
      <c r="U148" s="81">
        <f t="shared" ref="U148" si="96">P148-I148</f>
        <v>-3.8890000000000001E-3</v>
      </c>
      <c r="V148" s="82">
        <f t="shared" ref="V148" si="97">Q148-J148</f>
        <v>4.5199999999999997E-3</v>
      </c>
    </row>
    <row r="149" spans="1:24">
      <c r="A149" s="180">
        <v>132</v>
      </c>
      <c r="B149" s="170" t="s">
        <v>205</v>
      </c>
      <c r="C149" s="166" t="s">
        <v>111</v>
      </c>
      <c r="D149" s="57">
        <v>918052314.19347692</v>
      </c>
      <c r="E149" s="52">
        <f t="shared" si="84"/>
        <v>4.7262524703417297E-4</v>
      </c>
      <c r="F149" s="51">
        <v>1515.9285275299999</v>
      </c>
      <c r="G149" s="51">
        <v>1515.9285275299999</v>
      </c>
      <c r="H149" s="53">
        <v>12</v>
      </c>
      <c r="I149" s="75">
        <v>4.8999999999999998E-3</v>
      </c>
      <c r="J149" s="75">
        <v>6.9999999999999999E-4</v>
      </c>
      <c r="K149" s="57">
        <f>647448.65*W137</f>
        <v>920430158.22922504</v>
      </c>
      <c r="L149" s="52">
        <f t="shared" si="83"/>
        <v>4.8057764876860854E-4</v>
      </c>
      <c r="M149" s="51">
        <f>1.0724*W137</f>
        <v>1524.5522586000002</v>
      </c>
      <c r="N149" s="51">
        <f>1.0724*W137</f>
        <v>1524.5522586000002</v>
      </c>
      <c r="O149" s="53">
        <v>10</v>
      </c>
      <c r="P149" s="75">
        <v>3.0999999999999999E-3</v>
      </c>
      <c r="Q149" s="75">
        <v>3.8E-3</v>
      </c>
      <c r="R149" s="81">
        <f t="shared" ref="R149" si="98">((K149-D149)/D149)</f>
        <v>2.5900964454701001E-3</v>
      </c>
      <c r="S149" s="81">
        <f t="shared" ref="S149" si="99">((N149-G149)/G149)</f>
        <v>5.6887451574326557E-3</v>
      </c>
      <c r="T149" s="81">
        <f t="shared" si="87"/>
        <v>-0.16666666666666666</v>
      </c>
      <c r="U149" s="81">
        <f t="shared" si="88"/>
        <v>-1.8E-3</v>
      </c>
      <c r="V149" s="82">
        <f t="shared" si="89"/>
        <v>3.0999999999999999E-3</v>
      </c>
    </row>
    <row r="150" spans="1:24">
      <c r="A150" s="180">
        <v>133</v>
      </c>
      <c r="B150" s="170" t="s">
        <v>206</v>
      </c>
      <c r="C150" s="166" t="s">
        <v>50</v>
      </c>
      <c r="D150" s="57">
        <v>999180349497.04004</v>
      </c>
      <c r="E150" s="52">
        <f t="shared" si="84"/>
        <v>0.51439101259452524</v>
      </c>
      <c r="F150" s="51">
        <v>2378.87</v>
      </c>
      <c r="G150" s="51">
        <v>2378.87</v>
      </c>
      <c r="H150" s="53">
        <v>12971</v>
      </c>
      <c r="I150" s="75">
        <v>6.9999999999999999E-4</v>
      </c>
      <c r="J150" s="75">
        <v>1.6000000000000001E-3</v>
      </c>
      <c r="K150" s="57">
        <v>974758068881.22998</v>
      </c>
      <c r="L150" s="52">
        <f t="shared" si="83"/>
        <v>0.50894349416189844</v>
      </c>
      <c r="M150" s="51">
        <v>2385.48</v>
      </c>
      <c r="N150" s="51">
        <v>2385.48</v>
      </c>
      <c r="O150" s="53">
        <v>13022</v>
      </c>
      <c r="P150" s="75">
        <v>6.9999999999999999E-4</v>
      </c>
      <c r="Q150" s="75">
        <v>2.3E-3</v>
      </c>
      <c r="R150" s="81">
        <f t="shared" si="85"/>
        <v>-2.4442314771405946E-2</v>
      </c>
      <c r="S150" s="81">
        <f t="shared" si="86"/>
        <v>2.7786301899641961E-3</v>
      </c>
      <c r="T150" s="81">
        <f t="shared" si="87"/>
        <v>3.9318479685452159E-3</v>
      </c>
      <c r="U150" s="81">
        <f t="shared" si="88"/>
        <v>0</v>
      </c>
      <c r="V150" s="82">
        <f t="shared" si="89"/>
        <v>6.9999999999999988E-4</v>
      </c>
    </row>
    <row r="151" spans="1:24">
      <c r="A151" s="180">
        <v>134</v>
      </c>
      <c r="B151" s="170" t="s">
        <v>207</v>
      </c>
      <c r="C151" s="170" t="s">
        <v>116</v>
      </c>
      <c r="D151" s="57">
        <v>569395218.70582497</v>
      </c>
      <c r="E151" s="52">
        <f t="shared" si="84"/>
        <v>2.9313204894792431E-4</v>
      </c>
      <c r="F151" s="51">
        <v>161475.95240399998</v>
      </c>
      <c r="G151" s="51">
        <v>161475.95240399998</v>
      </c>
      <c r="H151" s="53">
        <v>30</v>
      </c>
      <c r="I151" s="75">
        <v>0</v>
      </c>
      <c r="J151" s="75">
        <v>1.6000000000000001E-3</v>
      </c>
      <c r="K151" s="57">
        <f>402157.06*W137</f>
        <v>571717133.65809</v>
      </c>
      <c r="L151" s="52">
        <f t="shared" si="83"/>
        <v>2.9850659867851483E-4</v>
      </c>
      <c r="M151" s="51">
        <f>114.05*W137</f>
        <v>162136.50232500001</v>
      </c>
      <c r="N151" s="51">
        <f>114.05*W137</f>
        <v>162136.50232500001</v>
      </c>
      <c r="O151" s="53">
        <v>30</v>
      </c>
      <c r="P151" s="75">
        <v>0</v>
      </c>
      <c r="Q151" s="75">
        <v>3.0999999999999999E-3</v>
      </c>
      <c r="R151" s="81">
        <f t="shared" ref="R151" si="100">((K151-D151)/D151)</f>
        <v>4.077861696033365E-3</v>
      </c>
      <c r="S151" s="81">
        <f t="shared" ref="S151" si="101">((N151-G151)/G151)</f>
        <v>4.0907015017776997E-3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1.4999999999999998E-3</v>
      </c>
    </row>
    <row r="152" spans="1:24" ht="16.5" customHeight="1">
      <c r="A152" s="180">
        <v>135</v>
      </c>
      <c r="B152" s="170" t="s">
        <v>208</v>
      </c>
      <c r="C152" s="166" t="s">
        <v>53</v>
      </c>
      <c r="D152" s="57">
        <v>197360445332.32196</v>
      </c>
      <c r="E152" s="52">
        <f t="shared" si="84"/>
        <v>0.10160371885986562</v>
      </c>
      <c r="F152" s="51">
        <v>1775.7438599999998</v>
      </c>
      <c r="G152" s="51">
        <v>1775.7438599999998</v>
      </c>
      <c r="H152" s="53">
        <v>945</v>
      </c>
      <c r="I152" s="75">
        <v>5.0500000000000003E-2</v>
      </c>
      <c r="J152" s="75">
        <v>6.9999999999999999E-4</v>
      </c>
      <c r="K152" s="57">
        <f>133018903.97*1422.81</f>
        <v>189260626757.55569</v>
      </c>
      <c r="L152" s="52">
        <f t="shared" si="83"/>
        <v>9.8817304277168103E-2</v>
      </c>
      <c r="M152" s="51">
        <f>1.252*1422.81</f>
        <v>1781.3581199999999</v>
      </c>
      <c r="N152" s="51">
        <f>1.252*1422.81</f>
        <v>1781.3581199999999</v>
      </c>
      <c r="O152" s="53">
        <v>950</v>
      </c>
      <c r="P152" s="75">
        <v>1E-3</v>
      </c>
      <c r="Q152" s="75">
        <v>5.21E-2</v>
      </c>
      <c r="R152" s="81">
        <f t="shared" si="85"/>
        <v>-4.1040739248067296E-2</v>
      </c>
      <c r="S152" s="81">
        <f t="shared" si="86"/>
        <v>3.1616384133239007E-3</v>
      </c>
      <c r="T152" s="81">
        <f t="shared" si="87"/>
        <v>5.2910052910052907E-3</v>
      </c>
      <c r="U152" s="81">
        <f t="shared" si="88"/>
        <v>-4.9500000000000002E-2</v>
      </c>
      <c r="V152" s="82">
        <f t="shared" si="89"/>
        <v>5.1400000000000001E-2</v>
      </c>
    </row>
    <row r="153" spans="1:24" ht="16.5" customHeight="1">
      <c r="A153" s="180">
        <v>136</v>
      </c>
      <c r="B153" s="170" t="s">
        <v>209</v>
      </c>
      <c r="C153" s="166" t="s">
        <v>113</v>
      </c>
      <c r="D153" s="51">
        <v>1852934478.9260623</v>
      </c>
      <c r="E153" s="52">
        <f t="shared" si="84"/>
        <v>9.5391471956575912E-4</v>
      </c>
      <c r="F153" s="51">
        <v>158696.773736</v>
      </c>
      <c r="G153" s="51">
        <v>158696.773736</v>
      </c>
      <c r="H153" s="53">
        <v>31</v>
      </c>
      <c r="I153" s="75">
        <v>2E-3</v>
      </c>
      <c r="J153" s="75">
        <v>2.52E-2</v>
      </c>
      <c r="K153" s="51">
        <f>1307370.53904121*W137</f>
        <v>1858592603.6202688</v>
      </c>
      <c r="L153" s="52">
        <f t="shared" si="83"/>
        <v>9.7041373045070529E-4</v>
      </c>
      <c r="M153" s="51">
        <f>111.97*W137</f>
        <v>159179.51920500002</v>
      </c>
      <c r="N153" s="51">
        <f>111.97*W137</f>
        <v>159179.51920500002</v>
      </c>
      <c r="O153" s="53">
        <v>31</v>
      </c>
      <c r="P153" s="75">
        <v>4.0000000000000002E-4</v>
      </c>
      <c r="Q153" s="75">
        <v>2.3900000000000001E-2</v>
      </c>
      <c r="R153" s="81">
        <f t="shared" si="85"/>
        <v>3.0536021422008699E-3</v>
      </c>
      <c r="S153" s="81">
        <f t="shared" si="86"/>
        <v>3.0419362513511902E-3</v>
      </c>
      <c r="T153" s="81">
        <f t="shared" si="87"/>
        <v>0</v>
      </c>
      <c r="U153" s="81">
        <f t="shared" si="88"/>
        <v>-1.6000000000000001E-3</v>
      </c>
      <c r="V153" s="82">
        <f t="shared" si="89"/>
        <v>-1.2999999999999991E-3</v>
      </c>
    </row>
    <row r="154" spans="1:24" ht="16.5" customHeight="1">
      <c r="A154" s="180">
        <v>137</v>
      </c>
      <c r="B154" s="170" t="s">
        <v>210</v>
      </c>
      <c r="C154" s="166" t="s">
        <v>123</v>
      </c>
      <c r="D154" s="51">
        <v>5193771533.9510193</v>
      </c>
      <c r="E154" s="52">
        <f t="shared" si="84"/>
        <v>2.6738209972589134E-3</v>
      </c>
      <c r="F154" s="51">
        <v>1644.8200279999999</v>
      </c>
      <c r="G154" s="51">
        <v>1644.8200279999999</v>
      </c>
      <c r="H154" s="53">
        <v>52</v>
      </c>
      <c r="I154" s="75">
        <v>-5.8999999999999999E-3</v>
      </c>
      <c r="J154" s="75">
        <v>-3.0999999999999999E-3</v>
      </c>
      <c r="K154" s="51">
        <f>3684493.93*W137</f>
        <v>5237974209.9771452</v>
      </c>
      <c r="L154" s="52">
        <f t="shared" si="83"/>
        <v>2.7348662010208994E-3</v>
      </c>
      <c r="M154" s="51">
        <f>1.16*W137</f>
        <v>1649.08674</v>
      </c>
      <c r="N154" s="51">
        <f>1.16*W137</f>
        <v>1649.08674</v>
      </c>
      <c r="O154" s="53">
        <v>53</v>
      </c>
      <c r="P154" s="75">
        <v>-3.2000000000000002E-3</v>
      </c>
      <c r="Q154" s="75">
        <v>-5.0000000000000001E-4</v>
      </c>
      <c r="R154" s="81">
        <f t="shared" ref="R154" si="105">((K154-D154)/D154)</f>
        <v>8.5107085933947384E-3</v>
      </c>
      <c r="S154" s="81">
        <f t="shared" ref="S154" si="106">((N154-G154)/G154)</f>
        <v>2.5940296976977827E-3</v>
      </c>
      <c r="T154" s="81">
        <f t="shared" si="87"/>
        <v>1.9230769230769232E-2</v>
      </c>
      <c r="U154" s="81">
        <f t="shared" si="88"/>
        <v>2.6999999999999997E-3</v>
      </c>
      <c r="V154" s="82">
        <f t="shared" si="89"/>
        <v>2.5999999999999999E-3</v>
      </c>
    </row>
    <row r="155" spans="1:24">
      <c r="A155" s="180">
        <v>138</v>
      </c>
      <c r="B155" s="170" t="s">
        <v>211</v>
      </c>
      <c r="C155" s="166" t="s">
        <v>125</v>
      </c>
      <c r="D155" s="51">
        <v>1730966342.6078598</v>
      </c>
      <c r="E155" s="52">
        <f t="shared" si="84"/>
        <v>8.9112393992665947E-4</v>
      </c>
      <c r="F155" s="51">
        <v>2112.7429670000001</v>
      </c>
      <c r="G155" s="51">
        <v>2112.7429670000001</v>
      </c>
      <c r="H155" s="53">
        <v>125</v>
      </c>
      <c r="I155" s="75">
        <v>6.6E-3</v>
      </c>
      <c r="J155" s="75">
        <v>1E-4</v>
      </c>
      <c r="K155" s="51">
        <f>1227674.22*W137</f>
        <v>1745294204.5188301</v>
      </c>
      <c r="L155" s="52">
        <f>(K155/$K$156)</f>
        <v>9.112580435551691E-4</v>
      </c>
      <c r="M155" s="51">
        <f>1.5*W137</f>
        <v>2132.43975</v>
      </c>
      <c r="N155" s="51">
        <f>1.5*W137</f>
        <v>2132.43975</v>
      </c>
      <c r="O155" s="53">
        <v>125</v>
      </c>
      <c r="P155" s="75">
        <v>5.3E-3</v>
      </c>
      <c r="Q155" s="75">
        <v>5.7000000000000002E-3</v>
      </c>
      <c r="R155" s="81">
        <f t="shared" si="85"/>
        <v>8.2773775308559554E-3</v>
      </c>
      <c r="S155" s="81">
        <f t="shared" si="86"/>
        <v>9.3228486889573754E-3</v>
      </c>
      <c r="T155" s="81">
        <f t="shared" si="87"/>
        <v>0</v>
      </c>
      <c r="U155" s="81">
        <f t="shared" si="88"/>
        <v>-1.2999999999999999E-3</v>
      </c>
      <c r="V155" s="82">
        <f t="shared" si="89"/>
        <v>5.5999999999999999E-3</v>
      </c>
    </row>
    <row r="156" spans="1:24">
      <c r="A156" s="60"/>
      <c r="B156" s="61"/>
      <c r="C156" s="96" t="s">
        <v>56</v>
      </c>
      <c r="D156" s="84">
        <f>SUM(D118:D155)</f>
        <v>1942452968719.8398</v>
      </c>
      <c r="E156" s="64">
        <f>(D156/$D$231)</f>
        <v>0.2419193001876552</v>
      </c>
      <c r="F156" s="65"/>
      <c r="G156" s="70"/>
      <c r="H156" s="67">
        <f>SUM(H118:H155)</f>
        <v>29203</v>
      </c>
      <c r="I156" s="100"/>
      <c r="J156" s="100"/>
      <c r="K156" s="84">
        <f>SUM(K118:K155)</f>
        <v>1915257941328.8516</v>
      </c>
      <c r="L156" s="64">
        <f>(K156/$K$231)</f>
        <v>0.23773907167744845</v>
      </c>
      <c r="M156" s="65"/>
      <c r="N156" s="70"/>
      <c r="O156" s="67">
        <f>SUM(O118:O155)</f>
        <v>29359</v>
      </c>
      <c r="P156" s="100"/>
      <c r="Q156" s="100"/>
      <c r="R156" s="81">
        <f t="shared" si="85"/>
        <v>-1.4000353073624724E-2</v>
      </c>
      <c r="S156" s="81" t="e">
        <f t="shared" si="86"/>
        <v>#DIV/0!</v>
      </c>
      <c r="T156" s="81">
        <f t="shared" si="87"/>
        <v>5.341916926343184E-3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</row>
    <row r="158" spans="1:24">
      <c r="A158" s="191" t="s">
        <v>212</v>
      </c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</row>
    <row r="159" spans="1:24">
      <c r="A159" s="180">
        <v>139</v>
      </c>
      <c r="B159" s="170" t="s">
        <v>213</v>
      </c>
      <c r="C159" s="166" t="s">
        <v>214</v>
      </c>
      <c r="D159" s="97">
        <v>2313068956.3344598</v>
      </c>
      <c r="E159" s="52">
        <f>(D159/$D$165)</f>
        <v>4.5818872401792382E-3</v>
      </c>
      <c r="F159" s="85">
        <v>109</v>
      </c>
      <c r="G159" s="85">
        <v>109</v>
      </c>
      <c r="H159" s="53">
        <v>8</v>
      </c>
      <c r="I159" s="75">
        <v>3.0000000000000001E-3</v>
      </c>
      <c r="J159" s="75">
        <v>3.6900000000000002E-2</v>
      </c>
      <c r="K159" s="97">
        <v>2320008163.2034602</v>
      </c>
      <c r="L159" s="52">
        <f>(K159/$K$165)</f>
        <v>4.5912614098732899E-3</v>
      </c>
      <c r="M159" s="85">
        <v>109.33</v>
      </c>
      <c r="N159" s="85">
        <v>109.33</v>
      </c>
      <c r="O159" s="53">
        <v>8</v>
      </c>
      <c r="P159" s="75">
        <v>3.0000000000000001E-3</v>
      </c>
      <c r="Q159" s="75">
        <v>0.04</v>
      </c>
      <c r="R159" s="81">
        <f t="shared" ref="R159:R165" si="107">((K159-D159)/D159)</f>
        <v>2.9999999999987272E-3</v>
      </c>
      <c r="S159" s="81">
        <f t="shared" ref="S159:T165" si="108">((N159-G159)/G159)</f>
        <v>3.0275229357798008E-3</v>
      </c>
      <c r="T159" s="81">
        <f t="shared" si="108"/>
        <v>0</v>
      </c>
      <c r="U159" s="81">
        <f t="shared" ref="U159:V165" si="109">P159-I159</f>
        <v>0</v>
      </c>
      <c r="V159" s="82">
        <f t="shared" si="109"/>
        <v>3.0999999999999986E-3</v>
      </c>
    </row>
    <row r="160" spans="1:24">
      <c r="A160" s="180">
        <v>140</v>
      </c>
      <c r="B160" s="170" t="s">
        <v>215</v>
      </c>
      <c r="C160" s="166" t="s">
        <v>24</v>
      </c>
      <c r="D160" s="97">
        <v>271438058996.14999</v>
      </c>
      <c r="E160" s="52">
        <v>0</v>
      </c>
      <c r="F160" s="85">
        <v>108.5752</v>
      </c>
      <c r="G160" s="85">
        <v>108.5752</v>
      </c>
      <c r="H160" s="53">
        <v>45</v>
      </c>
      <c r="I160" s="75">
        <v>0.15140000000000001</v>
      </c>
      <c r="J160" s="75">
        <v>0.10009999999999999</v>
      </c>
      <c r="K160" s="97">
        <v>271887739788.64999</v>
      </c>
      <c r="L160" s="52">
        <f t="shared" ref="L160:L164" si="110">(K160/$K$165)</f>
        <v>0.53806176517311899</v>
      </c>
      <c r="M160" s="85">
        <v>108.7551</v>
      </c>
      <c r="N160" s="85">
        <v>108.7551</v>
      </c>
      <c r="O160" s="53">
        <v>45</v>
      </c>
      <c r="P160" s="75">
        <v>8.6400000000000005E-2</v>
      </c>
      <c r="Q160" s="75">
        <v>9.6000000000000002E-2</v>
      </c>
      <c r="R160" s="81">
        <f t="shared" ref="R160" si="111">((K160-D160)/D160)</f>
        <v>1.6566608019635823E-3</v>
      </c>
      <c r="S160" s="81">
        <f t="shared" ref="S160" si="112">((N160-G160)/G160)</f>
        <v>1.6569161281766325E-3</v>
      </c>
      <c r="T160" s="81">
        <f t="shared" ref="T160" si="113">((O160-H160)/H160)</f>
        <v>0</v>
      </c>
      <c r="U160" s="81">
        <f t="shared" ref="U160" si="114">P160-I160</f>
        <v>-6.5000000000000002E-2</v>
      </c>
      <c r="V160" s="82">
        <f t="shared" ref="V160" si="115">Q160-J160</f>
        <v>-4.0999999999999925E-3</v>
      </c>
    </row>
    <row r="161" spans="1:22">
      <c r="A161" s="180">
        <v>141</v>
      </c>
      <c r="B161" s="170" t="s">
        <v>216</v>
      </c>
      <c r="C161" s="166" t="s">
        <v>48</v>
      </c>
      <c r="D161" s="57">
        <v>163627573866</v>
      </c>
      <c r="E161" s="52">
        <f>(D161/$D$165)</f>
        <v>0.32412483457743679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0.32381651814742918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80">
        <v>142</v>
      </c>
      <c r="B162" s="170" t="s">
        <v>218</v>
      </c>
      <c r="C162" s="166" t="s">
        <v>161</v>
      </c>
      <c r="D162" s="57">
        <v>6472577166.4399996</v>
      </c>
      <c r="E162" s="52">
        <f>(D162/$D$165)</f>
        <v>1.2821329277179881E-2</v>
      </c>
      <c r="F162" s="85">
        <v>345.62</v>
      </c>
      <c r="G162" s="85">
        <v>345.62</v>
      </c>
      <c r="H162" s="53">
        <v>4897</v>
      </c>
      <c r="I162" s="75">
        <v>0.1045</v>
      </c>
      <c r="J162" s="75">
        <v>0.33989999999999998</v>
      </c>
      <c r="K162" s="57">
        <v>6483625753.7221298</v>
      </c>
      <c r="L162" s="52">
        <f t="shared" si="110"/>
        <v>1.283099826598086E-2</v>
      </c>
      <c r="M162" s="85">
        <v>345.68</v>
      </c>
      <c r="N162" s="85">
        <v>345.68</v>
      </c>
      <c r="O162" s="53">
        <v>4897</v>
      </c>
      <c r="P162" s="75">
        <v>1.23E-2</v>
      </c>
      <c r="Q162" s="75">
        <v>0.26179999999999998</v>
      </c>
      <c r="R162" s="81">
        <f t="shared" si="107"/>
        <v>1.7069842503256096E-3</v>
      </c>
      <c r="S162" s="81">
        <f t="shared" si="108"/>
        <v>1.7360106475320373E-4</v>
      </c>
      <c r="T162" s="81">
        <f t="shared" si="108"/>
        <v>0</v>
      </c>
      <c r="U162" s="81">
        <f t="shared" si="109"/>
        <v>-9.219999999999999E-2</v>
      </c>
      <c r="V162" s="82">
        <f t="shared" si="109"/>
        <v>-7.8100000000000003E-2</v>
      </c>
    </row>
    <row r="163" spans="1:22">
      <c r="A163" s="180">
        <v>143</v>
      </c>
      <c r="B163" s="170" t="s">
        <v>217</v>
      </c>
      <c r="C163" s="166" t="s">
        <v>161</v>
      </c>
      <c r="D163" s="57">
        <v>27874502895.25</v>
      </c>
      <c r="E163" s="52">
        <f>(D163/$D$165)</f>
        <v>5.5215746505232054E-2</v>
      </c>
      <c r="F163" s="85">
        <v>153.22</v>
      </c>
      <c r="G163" s="85">
        <v>153.22</v>
      </c>
      <c r="H163" s="53">
        <v>6424</v>
      </c>
      <c r="I163" s="75">
        <v>3.1699999999999999E-2</v>
      </c>
      <c r="J163" s="75">
        <v>2.9704999999999999</v>
      </c>
      <c r="K163" s="57">
        <v>27887498592.639999</v>
      </c>
      <c r="L163" s="52">
        <f t="shared" si="110"/>
        <v>5.5188942063672801E-2</v>
      </c>
      <c r="M163" s="85">
        <v>153.29</v>
      </c>
      <c r="N163" s="85">
        <v>153.29</v>
      </c>
      <c r="O163" s="53">
        <v>6424</v>
      </c>
      <c r="P163" s="75">
        <v>2.3800000000000002E-2</v>
      </c>
      <c r="Q163" s="75">
        <v>2.6100000000000002E-2</v>
      </c>
      <c r="R163" s="81">
        <f t="shared" si="107"/>
        <v>4.6622167357875799E-4</v>
      </c>
      <c r="S163" s="81">
        <f t="shared" si="108"/>
        <v>4.5685941783052593E-4</v>
      </c>
      <c r="T163" s="81">
        <f t="shared" si="108"/>
        <v>0</v>
      </c>
      <c r="U163" s="81">
        <f t="shared" si="109"/>
        <v>-7.8999999999999973E-3</v>
      </c>
      <c r="V163" s="82">
        <f t="shared" si="109"/>
        <v>-2.9443999999999999</v>
      </c>
    </row>
    <row r="164" spans="1:22">
      <c r="A164" s="180">
        <v>144</v>
      </c>
      <c r="B164" s="170" t="s">
        <v>325</v>
      </c>
      <c r="C164" s="166" t="s">
        <v>161</v>
      </c>
      <c r="D164" s="57">
        <v>33103087772.23</v>
      </c>
      <c r="E164" s="52">
        <f>(D164/$D$165)</f>
        <v>6.5572889670558743E-2</v>
      </c>
      <c r="F164" s="85">
        <v>9.3000000000000007</v>
      </c>
      <c r="G164" s="85">
        <v>9.3000000000000007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6.5510514939924894E-2</v>
      </c>
      <c r="M164" s="85">
        <v>9.3000000000000007</v>
      </c>
      <c r="N164" s="85">
        <v>9.3000000000000007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504828869652.40448</v>
      </c>
      <c r="E165" s="64">
        <f>(D165/$D$231)</f>
        <v>6.2873000699379719E-2</v>
      </c>
      <c r="F165" s="65"/>
      <c r="G165" s="99"/>
      <c r="H165" s="67">
        <f>SUM(H159:H164)</f>
        <v>223317</v>
      </c>
      <c r="I165" s="101"/>
      <c r="J165" s="101"/>
      <c r="K165" s="63">
        <f>SUM(K159:K164)</f>
        <v>505309533936.44556</v>
      </c>
      <c r="L165" s="64">
        <f>(K165/$K$231)</f>
        <v>6.2723572065945532E-2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9.5213311467712584E-4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</row>
    <row r="167" spans="1:22" ht="15" customHeight="1">
      <c r="A167" s="191" t="s">
        <v>219</v>
      </c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</row>
    <row r="168" spans="1:22">
      <c r="A168" s="182">
        <v>145</v>
      </c>
      <c r="B168" s="170" t="s">
        <v>220</v>
      </c>
      <c r="C168" s="166" t="s">
        <v>60</v>
      </c>
      <c r="D168" s="51">
        <v>642256702.78999996</v>
      </c>
      <c r="E168" s="52">
        <f t="shared" ref="E168:E196" si="116">(D168/$D$197)</f>
        <v>7.0653221533883018E-3</v>
      </c>
      <c r="F168" s="51">
        <v>8.1199999999999992</v>
      </c>
      <c r="G168" s="51">
        <v>8.23</v>
      </c>
      <c r="H168" s="55">
        <v>11950</v>
      </c>
      <c r="I168" s="76">
        <v>9.2320000000000006E-3</v>
      </c>
      <c r="J168" s="76">
        <v>3.5020000000000003E-2</v>
      </c>
      <c r="K168" s="51">
        <v>644280956.78999996</v>
      </c>
      <c r="L168" s="79">
        <f t="shared" ref="L168:L196" si="117">(K168/$K$197)</f>
        <v>6.9661400508306305E-3</v>
      </c>
      <c r="M168" s="51">
        <v>8.1199999999999992</v>
      </c>
      <c r="N168" s="51">
        <v>8.24</v>
      </c>
      <c r="O168" s="55">
        <v>11950</v>
      </c>
      <c r="P168" s="76">
        <v>5.3600000000000002E-4</v>
      </c>
      <c r="Q168" s="76">
        <v>3.5555999999999997E-2</v>
      </c>
      <c r="R168" s="81">
        <f>((K168-D168)/D168)</f>
        <v>3.1517833775911168E-3</v>
      </c>
      <c r="S168" s="81">
        <f>((N168-G168)/G168)</f>
        <v>1.2150668286755512E-3</v>
      </c>
      <c r="T168" s="81">
        <f>((O168-H168)/H168)</f>
        <v>0</v>
      </c>
      <c r="U168" s="81">
        <f>P168-I168</f>
        <v>-8.6960000000000006E-3</v>
      </c>
      <c r="V168" s="82">
        <f>Q168-J168</f>
        <v>5.3599999999999481E-4</v>
      </c>
    </row>
    <row r="169" spans="1:22">
      <c r="A169" s="182">
        <v>146</v>
      </c>
      <c r="B169" s="170" t="s">
        <v>221</v>
      </c>
      <c r="C169" s="170" t="s">
        <v>222</v>
      </c>
      <c r="D169" s="51">
        <v>2309085775.1900001</v>
      </c>
      <c r="E169" s="52">
        <f t="shared" si="116"/>
        <v>2.5401735490891517E-2</v>
      </c>
      <c r="F169" s="51">
        <v>2321.23</v>
      </c>
      <c r="G169" s="51">
        <v>2335.15</v>
      </c>
      <c r="H169" s="55">
        <v>187</v>
      </c>
      <c r="I169" s="76">
        <v>0.02</v>
      </c>
      <c r="J169" s="76">
        <v>5.6099999999999997E-2</v>
      </c>
      <c r="K169" s="51">
        <v>2330698883.04</v>
      </c>
      <c r="L169" s="79">
        <f t="shared" si="117"/>
        <v>2.5200147023534007E-2</v>
      </c>
      <c r="M169" s="51">
        <v>2294.71</v>
      </c>
      <c r="N169" s="51">
        <v>2309.63</v>
      </c>
      <c r="O169" s="55">
        <v>196</v>
      </c>
      <c r="P169" s="76">
        <v>-1.11E-2</v>
      </c>
      <c r="Q169" s="76">
        <v>4.4299999999999999E-2</v>
      </c>
      <c r="R169" s="81">
        <f>((K169-D169)/D169)</f>
        <v>9.3600281471663827E-3</v>
      </c>
      <c r="S169" s="81">
        <f>((N169-G169)/G169)</f>
        <v>-1.0928634134852143E-2</v>
      </c>
      <c r="T169" s="81">
        <f>((O169-H169)/H169)</f>
        <v>4.8128342245989303E-2</v>
      </c>
      <c r="U169" s="81">
        <f>P169-I169</f>
        <v>-3.1100000000000003E-2</v>
      </c>
      <c r="V169" s="82">
        <f>Q169-J169</f>
        <v>-1.1799999999999998E-2</v>
      </c>
    </row>
    <row r="170" spans="1:22">
      <c r="A170" s="182">
        <v>147</v>
      </c>
      <c r="B170" s="170" t="s">
        <v>223</v>
      </c>
      <c r="C170" s="166" t="s">
        <v>24</v>
      </c>
      <c r="D170" s="51">
        <v>10635043597.620001</v>
      </c>
      <c r="E170" s="52">
        <f t="shared" si="116"/>
        <v>0.11699373288920537</v>
      </c>
      <c r="F170" s="51">
        <v>1091.9127000000001</v>
      </c>
      <c r="G170" s="51">
        <v>1124.8347000000001</v>
      </c>
      <c r="H170" s="55">
        <v>22461</v>
      </c>
      <c r="I170" s="76">
        <v>0.64329999999999998</v>
      </c>
      <c r="J170" s="76">
        <v>0.79610000000000003</v>
      </c>
      <c r="K170" s="51">
        <v>10657263051.299999</v>
      </c>
      <c r="L170" s="79">
        <f t="shared" si="117"/>
        <v>0.11522921202542467</v>
      </c>
      <c r="M170" s="51">
        <v>1090.5168000000001</v>
      </c>
      <c r="N170" s="51">
        <v>1123.3967</v>
      </c>
      <c r="O170" s="55">
        <v>22471</v>
      </c>
      <c r="P170" s="76">
        <v>-6.6699999999999995E-2</v>
      </c>
      <c r="Q170" s="76">
        <v>0.53280000000000005</v>
      </c>
      <c r="R170" s="81">
        <f t="shared" ref="R170:R196" si="118">((K170-D170)/D170)</f>
        <v>2.0892677567368742E-3</v>
      </c>
      <c r="S170" s="81">
        <f t="shared" ref="S170:T196" si="119">((N170-G170)/G170)</f>
        <v>-1.2784100632742764E-3</v>
      </c>
      <c r="T170" s="81">
        <f t="shared" si="119"/>
        <v>4.4521615244201058E-4</v>
      </c>
      <c r="U170" s="81">
        <f t="shared" ref="U170:V196" si="120">P170-I170</f>
        <v>-0.71</v>
      </c>
      <c r="V170" s="82">
        <f t="shared" si="120"/>
        <v>-0.26329999999999998</v>
      </c>
    </row>
    <row r="171" spans="1:22">
      <c r="A171" s="182">
        <v>148</v>
      </c>
      <c r="B171" s="170" t="s">
        <v>224</v>
      </c>
      <c r="C171" s="166" t="s">
        <v>127</v>
      </c>
      <c r="D171" s="51">
        <v>6243296776.4799995</v>
      </c>
      <c r="E171" s="52">
        <f t="shared" si="116"/>
        <v>6.8681109645756314E-2</v>
      </c>
      <c r="F171" s="51">
        <v>36.583500000000001</v>
      </c>
      <c r="G171" s="51">
        <v>37.034799999999997</v>
      </c>
      <c r="H171" s="53">
        <v>6205</v>
      </c>
      <c r="I171" s="75">
        <v>1.6500000000000001E-2</v>
      </c>
      <c r="J171" s="75">
        <v>7.8399999999999997E-2</v>
      </c>
      <c r="K171" s="51">
        <v>6234328773.4099998</v>
      </c>
      <c r="L171" s="79">
        <f t="shared" si="117"/>
        <v>6.740724974221568E-2</v>
      </c>
      <c r="M171" s="51">
        <v>36.511699999999998</v>
      </c>
      <c r="N171" s="51">
        <v>36.961100000000002</v>
      </c>
      <c r="O171" s="53">
        <v>6208</v>
      </c>
      <c r="P171" s="75">
        <v>6.3E-3</v>
      </c>
      <c r="Q171" s="75">
        <v>7.6399999999999996E-2</v>
      </c>
      <c r="R171" s="81">
        <f t="shared" si="118"/>
        <v>-1.4364210754459598E-3</v>
      </c>
      <c r="S171" s="81">
        <f t="shared" si="119"/>
        <v>-1.9900201972197829E-3</v>
      </c>
      <c r="T171" s="81">
        <f t="shared" si="119"/>
        <v>4.8348106365834006E-4</v>
      </c>
      <c r="U171" s="81">
        <f t="shared" si="120"/>
        <v>-1.0200000000000001E-2</v>
      </c>
      <c r="V171" s="82">
        <f t="shared" si="120"/>
        <v>-2.0000000000000018E-3</v>
      </c>
    </row>
    <row r="172" spans="1:22">
      <c r="A172" s="182">
        <v>149</v>
      </c>
      <c r="B172" s="170" t="s">
        <v>225</v>
      </c>
      <c r="C172" s="166" t="s">
        <v>135</v>
      </c>
      <c r="D172" s="57">
        <v>2656228296.8299999</v>
      </c>
      <c r="E172" s="52">
        <f t="shared" si="116"/>
        <v>2.922057262855254E-2</v>
      </c>
      <c r="F172" s="51">
        <v>6.3364000000000003</v>
      </c>
      <c r="G172" s="51">
        <v>6.4855999999999998</v>
      </c>
      <c r="H172" s="53">
        <v>2736</v>
      </c>
      <c r="I172" s="75">
        <v>0.78010000000000002</v>
      </c>
      <c r="J172" s="75">
        <v>1.2672000000000001</v>
      </c>
      <c r="K172" s="57">
        <v>2664139246.96</v>
      </c>
      <c r="L172" s="79">
        <f t="shared" si="117"/>
        <v>2.8805394469057614E-2</v>
      </c>
      <c r="M172" s="51">
        <v>6.3552999999999997</v>
      </c>
      <c r="N172" s="51">
        <v>6.5049999999999999</v>
      </c>
      <c r="O172" s="53">
        <v>2736</v>
      </c>
      <c r="P172" s="75">
        <v>0.156</v>
      </c>
      <c r="Q172" s="75">
        <v>0.93159999999999998</v>
      </c>
      <c r="R172" s="81">
        <f t="shared" si="118"/>
        <v>2.9782643831636054E-3</v>
      </c>
      <c r="S172" s="81">
        <f t="shared" si="119"/>
        <v>2.9912421364253245E-3</v>
      </c>
      <c r="T172" s="81">
        <f t="shared" si="119"/>
        <v>0</v>
      </c>
      <c r="U172" s="81">
        <f t="shared" si="120"/>
        <v>-0.62409999999999999</v>
      </c>
      <c r="V172" s="82">
        <f t="shared" si="120"/>
        <v>-0.33560000000000012</v>
      </c>
    </row>
    <row r="173" spans="1:22">
      <c r="A173" s="182">
        <v>150</v>
      </c>
      <c r="B173" s="170" t="s">
        <v>226</v>
      </c>
      <c r="C173" s="166" t="s">
        <v>28</v>
      </c>
      <c r="D173" s="57">
        <v>1241866892.8199999</v>
      </c>
      <c r="E173" s="52">
        <f t="shared" si="116"/>
        <v>1.3661499570631272E-2</v>
      </c>
      <c r="F173" s="51">
        <v>1.3061</v>
      </c>
      <c r="G173" s="51">
        <v>1.3172999999999999</v>
      </c>
      <c r="H173" s="53">
        <v>248</v>
      </c>
      <c r="I173" s="75">
        <v>1.35E-2</v>
      </c>
      <c r="J173" s="75">
        <v>5.2200000000000003E-2</v>
      </c>
      <c r="K173" s="57">
        <v>1250722266.3399999</v>
      </c>
      <c r="L173" s="79">
        <f t="shared" si="117"/>
        <v>1.3523147596082977E-2</v>
      </c>
      <c r="M173" s="51">
        <v>1.3047</v>
      </c>
      <c r="N173" s="51">
        <v>1.3157000000000001</v>
      </c>
      <c r="O173" s="53">
        <v>248</v>
      </c>
      <c r="P173" s="75">
        <v>-1.1000000000000001E-3</v>
      </c>
      <c r="Q173" s="75">
        <v>4.9700000000000001E-2</v>
      </c>
      <c r="R173" s="81">
        <f t="shared" ref="R173" si="121">((K173-D173)/D173)</f>
        <v>7.1306945786205984E-3</v>
      </c>
      <c r="S173" s="81">
        <f t="shared" ref="S173" si="122">((N173-G173)/G173)</f>
        <v>-1.2146056327334881E-3</v>
      </c>
      <c r="T173" s="81">
        <f t="shared" ref="T173" si="123">((O173-H173)/H173)</f>
        <v>0</v>
      </c>
      <c r="U173" s="81">
        <f t="shared" ref="U173" si="124">P173-I173</f>
        <v>-1.46E-2</v>
      </c>
      <c r="V173" s="82">
        <f t="shared" ref="V173" si="125">Q173-J173</f>
        <v>-2.5000000000000022E-3</v>
      </c>
    </row>
    <row r="174" spans="1:22">
      <c r="A174" s="182">
        <v>151</v>
      </c>
      <c r="B174" s="170" t="s">
        <v>227</v>
      </c>
      <c r="C174" s="166" t="s">
        <v>71</v>
      </c>
      <c r="D174" s="51">
        <v>6829705812.7269697</v>
      </c>
      <c r="E174" s="52">
        <f t="shared" si="116"/>
        <v>7.5132064126643222E-2</v>
      </c>
      <c r="F174" s="51">
        <v>11717.55</v>
      </c>
      <c r="G174" s="51">
        <v>11807.3</v>
      </c>
      <c r="H174" s="53">
        <v>1399</v>
      </c>
      <c r="I174" s="75">
        <v>0.54879999999999995</v>
      </c>
      <c r="J174" s="75">
        <v>1.1222000000000001</v>
      </c>
      <c r="K174" s="51">
        <v>6907280569.0910997</v>
      </c>
      <c r="L174" s="79">
        <f t="shared" si="117"/>
        <v>7.4683386661625661E-2</v>
      </c>
      <c r="M174" s="51">
        <v>11742.549332828499</v>
      </c>
      <c r="N174" s="51">
        <v>11831.6388214167</v>
      </c>
      <c r="O174" s="53">
        <v>1409</v>
      </c>
      <c r="P174" s="75">
        <v>0.11119999999999999</v>
      </c>
      <c r="Q174" s="75">
        <v>0.81620000000000004</v>
      </c>
      <c r="R174" s="81">
        <f t="shared" si="118"/>
        <v>1.1358433070363234E-2</v>
      </c>
      <c r="S174" s="81">
        <f t="shared" si="119"/>
        <v>2.0613367507136045E-3</v>
      </c>
      <c r="T174" s="81">
        <f t="shared" si="119"/>
        <v>7.1479628305932807E-3</v>
      </c>
      <c r="U174" s="81">
        <f t="shared" si="120"/>
        <v>-0.43759999999999999</v>
      </c>
      <c r="V174" s="82">
        <f t="shared" si="120"/>
        <v>-0.30600000000000005</v>
      </c>
    </row>
    <row r="175" spans="1:22">
      <c r="A175" s="182">
        <v>152</v>
      </c>
      <c r="B175" s="170" t="s">
        <v>228</v>
      </c>
      <c r="C175" s="166" t="s">
        <v>73</v>
      </c>
      <c r="D175" s="51">
        <v>1353448536.99</v>
      </c>
      <c r="E175" s="52">
        <f t="shared" si="116"/>
        <v>1.488898424932923E-2</v>
      </c>
      <c r="F175" s="51">
        <v>243.76</v>
      </c>
      <c r="G175" s="51">
        <v>245.66</v>
      </c>
      <c r="H175" s="53">
        <v>508</v>
      </c>
      <c r="I175" s="75">
        <v>1.7299999999999999E-2</v>
      </c>
      <c r="J175" s="75">
        <v>5.57E-2</v>
      </c>
      <c r="K175" s="51">
        <v>1376953332.5999999</v>
      </c>
      <c r="L175" s="79">
        <f t="shared" si="117"/>
        <v>1.4887992043316048E-2</v>
      </c>
      <c r="M175" s="51">
        <v>243.79</v>
      </c>
      <c r="N175" s="51">
        <v>245.66</v>
      </c>
      <c r="O175" s="53">
        <v>508</v>
      </c>
      <c r="P175" s="75">
        <v>1E-4</v>
      </c>
      <c r="Q175" s="75">
        <v>5.57E-2</v>
      </c>
      <c r="R175" s="81">
        <f t="shared" si="118"/>
        <v>1.7366597227459681E-2</v>
      </c>
      <c r="S175" s="81">
        <f t="shared" si="119"/>
        <v>0</v>
      </c>
      <c r="T175" s="81">
        <f t="shared" si="119"/>
        <v>0</v>
      </c>
      <c r="U175" s="81">
        <f t="shared" si="120"/>
        <v>-1.72E-2</v>
      </c>
      <c r="V175" s="82">
        <f t="shared" si="120"/>
        <v>0</v>
      </c>
    </row>
    <row r="176" spans="1:22">
      <c r="A176" s="182">
        <v>153</v>
      </c>
      <c r="B176" s="170" t="s">
        <v>229</v>
      </c>
      <c r="C176" s="166" t="s">
        <v>230</v>
      </c>
      <c r="D176" s="51">
        <v>1470658816.27</v>
      </c>
      <c r="E176" s="52">
        <f t="shared" si="116"/>
        <v>1.6178388282334064E-2</v>
      </c>
      <c r="F176" s="51">
        <v>2.2254999999999998</v>
      </c>
      <c r="G176" s="51">
        <v>2.2656999999999998</v>
      </c>
      <c r="H176" s="53">
        <v>4024</v>
      </c>
      <c r="I176" s="75">
        <v>1.9300000000000001E-2</v>
      </c>
      <c r="J176" s="75">
        <v>0.52029999999999998</v>
      </c>
      <c r="K176" s="51">
        <v>1485540182.98</v>
      </c>
      <c r="L176" s="79">
        <f t="shared" si="117"/>
        <v>1.6062062453831419E-2</v>
      </c>
      <c r="M176" s="51">
        <v>2.2303999999999999</v>
      </c>
      <c r="N176" s="51">
        <v>2.2704</v>
      </c>
      <c r="O176" s="53">
        <v>4064</v>
      </c>
      <c r="P176" s="75">
        <v>1.9300000000000001E-2</v>
      </c>
      <c r="Q176" s="75">
        <v>0.52029999999999998</v>
      </c>
      <c r="R176" s="81">
        <f t="shared" si="118"/>
        <v>1.011884370825269E-2</v>
      </c>
      <c r="S176" s="81">
        <f t="shared" si="119"/>
        <v>2.0744140883612785E-3</v>
      </c>
      <c r="T176" s="81">
        <f t="shared" si="119"/>
        <v>9.9403578528827041E-3</v>
      </c>
      <c r="U176" s="81">
        <f t="shared" si="120"/>
        <v>0</v>
      </c>
      <c r="V176" s="82">
        <f t="shared" si="120"/>
        <v>0</v>
      </c>
    </row>
    <row r="177" spans="1:22">
      <c r="A177" s="182">
        <v>154</v>
      </c>
      <c r="B177" s="170" t="s">
        <v>231</v>
      </c>
      <c r="C177" s="166" t="s">
        <v>30</v>
      </c>
      <c r="D177" s="69">
        <v>226532157.15000001</v>
      </c>
      <c r="E177" s="52">
        <f t="shared" si="116"/>
        <v>2.4920295287133212E-3</v>
      </c>
      <c r="F177" s="51">
        <v>220.80359999999999</v>
      </c>
      <c r="G177" s="51">
        <v>222.12889999999999</v>
      </c>
      <c r="H177" s="53">
        <v>162</v>
      </c>
      <c r="I177" s="75">
        <v>2.3110000000000001E-3</v>
      </c>
      <c r="J177" s="75">
        <v>4.6199999999999998E-2</v>
      </c>
      <c r="K177" s="69">
        <v>225026842.91999999</v>
      </c>
      <c r="L177" s="79">
        <f t="shared" si="117"/>
        <v>2.4330511191686917E-3</v>
      </c>
      <c r="M177" s="51">
        <v>220.67679999999999</v>
      </c>
      <c r="N177" s="51">
        <v>222.0069</v>
      </c>
      <c r="O177" s="53">
        <v>161</v>
      </c>
      <c r="P177" s="75">
        <v>2.8579999999999999E-3</v>
      </c>
      <c r="Q177" s="75">
        <v>4.7E-2</v>
      </c>
      <c r="R177" s="81">
        <f t="shared" si="118"/>
        <v>-6.6450355169807686E-3</v>
      </c>
      <c r="S177" s="81">
        <f t="shared" si="119"/>
        <v>-5.4923064941115576E-4</v>
      </c>
      <c r="T177" s="81">
        <f t="shared" si="119"/>
        <v>-6.1728395061728392E-3</v>
      </c>
      <c r="U177" s="81">
        <f t="shared" si="120"/>
        <v>5.4699999999999974E-4</v>
      </c>
      <c r="V177" s="82">
        <f t="shared" si="120"/>
        <v>8.000000000000021E-4</v>
      </c>
    </row>
    <row r="178" spans="1:22">
      <c r="A178" s="182">
        <v>155</v>
      </c>
      <c r="B178" s="170" t="s">
        <v>232</v>
      </c>
      <c r="C178" s="166" t="s">
        <v>79</v>
      </c>
      <c r="D178" s="69">
        <v>512028258.19</v>
      </c>
      <c r="E178" s="52">
        <f t="shared" si="116"/>
        <v>5.6327081991287544E-3</v>
      </c>
      <c r="F178" s="51">
        <v>176.31</v>
      </c>
      <c r="G178" s="51">
        <v>176.49</v>
      </c>
      <c r="H178" s="53">
        <v>53</v>
      </c>
      <c r="I178" s="75">
        <v>1.9400000000000001E-2</v>
      </c>
      <c r="J178" s="75">
        <v>3.8399999999999997E-2</v>
      </c>
      <c r="K178" s="69">
        <v>621055245.94000006</v>
      </c>
      <c r="L178" s="79">
        <f t="shared" si="117"/>
        <v>6.7150173801136508E-3</v>
      </c>
      <c r="M178" s="51">
        <v>176.39</v>
      </c>
      <c r="N178" s="51">
        <v>176.63</v>
      </c>
      <c r="O178" s="53">
        <v>53</v>
      </c>
      <c r="P178" s="75">
        <v>-3.5000000000000001E-3</v>
      </c>
      <c r="Q178" s="75">
        <v>3.49E-2</v>
      </c>
      <c r="R178" s="81">
        <f t="shared" si="118"/>
        <v>0.2129315833766797</v>
      </c>
      <c r="S178" s="81">
        <f t="shared" si="119"/>
        <v>7.9324607626486687E-4</v>
      </c>
      <c r="T178" s="81">
        <f t="shared" si="119"/>
        <v>0</v>
      </c>
      <c r="U178" s="81">
        <f t="shared" si="120"/>
        <v>-2.29E-2</v>
      </c>
      <c r="V178" s="82">
        <f t="shared" si="120"/>
        <v>-3.4999999999999962E-3</v>
      </c>
    </row>
    <row r="179" spans="1:22" ht="15.75" customHeight="1">
      <c r="A179" s="182">
        <v>156</v>
      </c>
      <c r="B179" s="170" t="s">
        <v>233</v>
      </c>
      <c r="C179" s="166" t="s">
        <v>82</v>
      </c>
      <c r="D179" s="57">
        <v>449662766.31999999</v>
      </c>
      <c r="E179" s="52">
        <f t="shared" si="116"/>
        <v>4.9466393898785939E-3</v>
      </c>
      <c r="F179" s="51">
        <v>1.5</v>
      </c>
      <c r="G179" s="51">
        <v>1.51</v>
      </c>
      <c r="H179" s="53">
        <v>120</v>
      </c>
      <c r="I179" s="75">
        <v>6.1400000000000003E-2</v>
      </c>
      <c r="J179" s="75">
        <v>6.1400000000000003E-2</v>
      </c>
      <c r="K179" s="57">
        <v>587862100.80999994</v>
      </c>
      <c r="L179" s="79">
        <f t="shared" si="117"/>
        <v>6.3561241127180488E-3</v>
      </c>
      <c r="M179" s="51">
        <v>1.9347000000000001</v>
      </c>
      <c r="N179" s="51">
        <v>1.9560999999999999</v>
      </c>
      <c r="O179" s="53">
        <v>122</v>
      </c>
      <c r="P179" s="75">
        <v>6.8000000000000005E-2</v>
      </c>
      <c r="Q179" s="75">
        <v>6.8000000000000005E-2</v>
      </c>
      <c r="R179" s="81">
        <f t="shared" si="118"/>
        <v>0.30733995527584146</v>
      </c>
      <c r="S179" s="81">
        <f t="shared" si="119"/>
        <v>0.29543046357615887</v>
      </c>
      <c r="T179" s="81">
        <f t="shared" si="119"/>
        <v>1.6666666666666666E-2</v>
      </c>
      <c r="U179" s="81">
        <f t="shared" si="120"/>
        <v>6.6000000000000017E-3</v>
      </c>
      <c r="V179" s="82">
        <f t="shared" si="120"/>
        <v>6.6000000000000017E-3</v>
      </c>
    </row>
    <row r="180" spans="1:22">
      <c r="A180" s="182">
        <v>157</v>
      </c>
      <c r="B180" s="170" t="s">
        <v>234</v>
      </c>
      <c r="C180" s="166" t="s">
        <v>32</v>
      </c>
      <c r="D180" s="51">
        <v>14813541863.83</v>
      </c>
      <c r="E180" s="52">
        <f t="shared" si="116"/>
        <v>0.16296045653708785</v>
      </c>
      <c r="F180" s="51">
        <v>450.58</v>
      </c>
      <c r="G180" s="51">
        <v>455.04</v>
      </c>
      <c r="H180" s="53">
        <v>5550</v>
      </c>
      <c r="I180" s="75">
        <v>-1.03E-2</v>
      </c>
      <c r="J180" s="75">
        <v>5.1999999999999998E-2</v>
      </c>
      <c r="K180" s="51">
        <v>14834006259.08</v>
      </c>
      <c r="L180" s="79">
        <f t="shared" si="117"/>
        <v>0.16038928983792888</v>
      </c>
      <c r="M180" s="51">
        <v>450.43</v>
      </c>
      <c r="N180" s="51">
        <v>454.88</v>
      </c>
      <c r="O180" s="53">
        <v>5564</v>
      </c>
      <c r="P180" s="75">
        <v>-4.0000000000000002E-4</v>
      </c>
      <c r="Q180" s="75">
        <v>5.16E-2</v>
      </c>
      <c r="R180" s="81">
        <f t="shared" si="118"/>
        <v>1.3814653806708849E-3</v>
      </c>
      <c r="S180" s="81">
        <f t="shared" si="119"/>
        <v>-3.5161744022509014E-4</v>
      </c>
      <c r="T180" s="81">
        <f t="shared" si="119"/>
        <v>2.5225225225225223E-3</v>
      </c>
      <c r="U180" s="81">
        <f t="shared" si="120"/>
        <v>9.9000000000000008E-3</v>
      </c>
      <c r="V180" s="82">
        <f t="shared" si="120"/>
        <v>-3.9999999999999758E-4</v>
      </c>
    </row>
    <row r="181" spans="1:22">
      <c r="A181" s="182">
        <v>158</v>
      </c>
      <c r="B181" s="170" t="s">
        <v>235</v>
      </c>
      <c r="C181" s="166" t="s">
        <v>92</v>
      </c>
      <c r="D181" s="51">
        <v>4695457613.5299997</v>
      </c>
      <c r="E181" s="52">
        <f t="shared" si="116"/>
        <v>5.1653677654208224E-2</v>
      </c>
      <c r="F181" s="51">
        <v>3.2368999999999999</v>
      </c>
      <c r="G181" s="51">
        <v>3.3035999999999999</v>
      </c>
      <c r="H181" s="53">
        <v>10208</v>
      </c>
      <c r="I181" s="75">
        <v>1.5800000000000002E-2</v>
      </c>
      <c r="J181" s="75">
        <v>5.8200000000000002E-2</v>
      </c>
      <c r="K181" s="51">
        <v>4695457613.5299997</v>
      </c>
      <c r="L181" s="79">
        <f t="shared" si="117"/>
        <v>5.0768558334481927E-2</v>
      </c>
      <c r="M181" s="51">
        <v>3.2368999999999999</v>
      </c>
      <c r="N181" s="51">
        <v>3.3035999999999999</v>
      </c>
      <c r="O181" s="53">
        <v>10208</v>
      </c>
      <c r="P181" s="75">
        <v>1.5800000000000002E-2</v>
      </c>
      <c r="Q181" s="75">
        <v>5.8200000000000002E-2</v>
      </c>
      <c r="R181" s="81">
        <f t="shared" si="118"/>
        <v>0</v>
      </c>
      <c r="S181" s="81">
        <f t="shared" si="119"/>
        <v>0</v>
      </c>
      <c r="T181" s="81">
        <f t="shared" si="119"/>
        <v>0</v>
      </c>
      <c r="U181" s="81">
        <f t="shared" si="120"/>
        <v>0</v>
      </c>
      <c r="V181" s="82">
        <f t="shared" si="120"/>
        <v>0</v>
      </c>
    </row>
    <row r="182" spans="1:22">
      <c r="A182" s="182">
        <v>159</v>
      </c>
      <c r="B182" s="170" t="s">
        <v>236</v>
      </c>
      <c r="C182" s="166" t="s">
        <v>94</v>
      </c>
      <c r="D182" s="51">
        <v>324175302.83999997</v>
      </c>
      <c r="E182" s="52">
        <f t="shared" si="116"/>
        <v>3.5661799071728976E-3</v>
      </c>
      <c r="F182" s="51">
        <v>369.53</v>
      </c>
      <c r="G182" s="51">
        <v>372.24</v>
      </c>
      <c r="H182" s="53">
        <v>32</v>
      </c>
      <c r="I182" s="75">
        <v>5.6099999999999997E-2</v>
      </c>
      <c r="J182" s="75">
        <v>6.3100000000000003E-2</v>
      </c>
      <c r="K182" s="51">
        <v>322895608.81999999</v>
      </c>
      <c r="L182" s="79">
        <f t="shared" si="117"/>
        <v>3.4912346999129164E-3</v>
      </c>
      <c r="M182" s="51">
        <v>368.08</v>
      </c>
      <c r="N182" s="51">
        <v>370.75</v>
      </c>
      <c r="O182" s="53">
        <v>32</v>
      </c>
      <c r="P182" s="75">
        <v>-4.3E-3</v>
      </c>
      <c r="Q182" s="75">
        <v>5.8900000000000001E-2</v>
      </c>
      <c r="R182" s="81">
        <f t="shared" si="118"/>
        <v>-3.9475370541462466E-3</v>
      </c>
      <c r="S182" s="81">
        <f t="shared" si="119"/>
        <v>-4.0027938964109422E-3</v>
      </c>
      <c r="T182" s="81">
        <f t="shared" si="119"/>
        <v>0</v>
      </c>
      <c r="U182" s="81">
        <f t="shared" si="120"/>
        <v>-6.0399999999999995E-2</v>
      </c>
      <c r="V182" s="82">
        <f t="shared" si="120"/>
        <v>-4.2000000000000023E-3</v>
      </c>
    </row>
    <row r="183" spans="1:22">
      <c r="A183" s="182">
        <v>160</v>
      </c>
      <c r="B183" s="170" t="s">
        <v>237</v>
      </c>
      <c r="C183" s="170" t="s">
        <v>96</v>
      </c>
      <c r="D183" s="72">
        <v>76517134.780000001</v>
      </c>
      <c r="E183" s="52">
        <f t="shared" si="116"/>
        <v>8.4174786362906919E-4</v>
      </c>
      <c r="F183" s="51">
        <v>1.5129999999999999</v>
      </c>
      <c r="G183" s="51">
        <v>1.5129999999999999</v>
      </c>
      <c r="H183" s="53">
        <v>23</v>
      </c>
      <c r="I183" s="75">
        <v>3.0200000000000001E-2</v>
      </c>
      <c r="J183" s="75">
        <v>5.3699999999999998E-2</v>
      </c>
      <c r="K183" s="72">
        <v>75748691.390000001</v>
      </c>
      <c r="L183" s="79">
        <f t="shared" si="117"/>
        <v>8.1901534932667835E-4</v>
      </c>
      <c r="M183" s="51">
        <v>1.4970000000000001</v>
      </c>
      <c r="N183" s="51">
        <v>1.4970000000000001</v>
      </c>
      <c r="O183" s="53">
        <v>24</v>
      </c>
      <c r="P183" s="75">
        <v>-0.01</v>
      </c>
      <c r="Q183" s="75">
        <v>4.3200000000000002E-2</v>
      </c>
      <c r="R183" s="81">
        <f t="shared" si="118"/>
        <v>-1.0042762215409768E-2</v>
      </c>
      <c r="S183" s="81">
        <f t="shared" si="119"/>
        <v>-1.0575016523463182E-2</v>
      </c>
      <c r="T183" s="81">
        <f t="shared" si="119"/>
        <v>4.3478260869565216E-2</v>
      </c>
      <c r="U183" s="81">
        <f t="shared" si="120"/>
        <v>-4.02E-2</v>
      </c>
      <c r="V183" s="82">
        <f t="shared" si="120"/>
        <v>-1.0499999999999995E-2</v>
      </c>
    </row>
    <row r="184" spans="1:22" ht="13.5" customHeight="1">
      <c r="A184" s="182">
        <v>161</v>
      </c>
      <c r="B184" s="170" t="s">
        <v>238</v>
      </c>
      <c r="C184" s="166" t="s">
        <v>38</v>
      </c>
      <c r="D184" s="57">
        <v>7443885106.4700003</v>
      </c>
      <c r="E184" s="52">
        <f t="shared" si="116"/>
        <v>8.1888512991068502E-2</v>
      </c>
      <c r="F184" s="51">
        <v>6.5401999999999996</v>
      </c>
      <c r="G184" s="51">
        <v>6.665</v>
      </c>
      <c r="H184" s="53">
        <v>4372</v>
      </c>
      <c r="I184" s="75">
        <v>1.7600000000000001E-2</v>
      </c>
      <c r="J184" s="75">
        <v>5.1499999999999997E-2</v>
      </c>
      <c r="K184" s="57">
        <v>8276340891.5299997</v>
      </c>
      <c r="L184" s="79">
        <f t="shared" si="117"/>
        <v>8.9486037343187358E-2</v>
      </c>
      <c r="M184" s="51">
        <v>6.5402300000000002</v>
      </c>
      <c r="N184" s="51">
        <v>6.7540800000000001</v>
      </c>
      <c r="O184" s="53">
        <v>4501</v>
      </c>
      <c r="P184" s="75">
        <v>1.4800000000000001E-2</v>
      </c>
      <c r="Q184" s="75">
        <v>6.88E-2</v>
      </c>
      <c r="R184" s="81">
        <f t="shared" si="118"/>
        <v>0.11183082129202317</v>
      </c>
      <c r="S184" s="81">
        <f t="shared" si="119"/>
        <v>1.336534133533384E-2</v>
      </c>
      <c r="T184" s="81">
        <f t="shared" si="119"/>
        <v>2.9505946935041171E-2</v>
      </c>
      <c r="U184" s="81">
        <f t="shared" si="120"/>
        <v>-2.8000000000000004E-3</v>
      </c>
      <c r="V184" s="82">
        <f t="shared" si="120"/>
        <v>1.7300000000000003E-2</v>
      </c>
    </row>
    <row r="185" spans="1:22" ht="13.5" customHeight="1">
      <c r="A185" s="182">
        <v>162</v>
      </c>
      <c r="B185" s="170" t="s">
        <v>239</v>
      </c>
      <c r="C185" s="166" t="s">
        <v>240</v>
      </c>
      <c r="D185" s="57">
        <v>106798102.70999999</v>
      </c>
      <c r="E185" s="52">
        <f t="shared" si="116"/>
        <v>1.1748620103751929E-3</v>
      </c>
      <c r="F185" s="51">
        <v>2.8355999999999999</v>
      </c>
      <c r="G185" s="51">
        <v>2.8512</v>
      </c>
      <c r="H185" s="53">
        <v>112</v>
      </c>
      <c r="I185" s="75">
        <v>5.0000000000000002E-5</v>
      </c>
      <c r="J185" s="75">
        <v>1.7200000000000001E-4</v>
      </c>
      <c r="K185" s="57">
        <v>107712614.73</v>
      </c>
      <c r="L185" s="79">
        <f t="shared" si="117"/>
        <v>1.1646179380945326E-3</v>
      </c>
      <c r="M185" s="51">
        <v>2.8591000000000002</v>
      </c>
      <c r="N185" s="51">
        <v>2.8748999999999998</v>
      </c>
      <c r="O185" s="53">
        <v>112</v>
      </c>
      <c r="P185" s="75">
        <v>8.0000000000000007E-5</v>
      </c>
      <c r="Q185" s="75">
        <v>5.6300000000000002E-4</v>
      </c>
      <c r="R185" s="81">
        <f t="shared" si="118"/>
        <v>8.5629987499242412E-3</v>
      </c>
      <c r="S185" s="81">
        <f t="shared" si="119"/>
        <v>8.3122895622895036E-3</v>
      </c>
      <c r="T185" s="81">
        <f t="shared" si="119"/>
        <v>0</v>
      </c>
      <c r="U185" s="81">
        <f>P185-I185</f>
        <v>3.0000000000000004E-5</v>
      </c>
      <c r="V185" s="82">
        <f>Q185-J185</f>
        <v>3.9100000000000002E-4</v>
      </c>
    </row>
    <row r="186" spans="1:22">
      <c r="A186" s="182">
        <v>163</v>
      </c>
      <c r="B186" s="170" t="s">
        <v>241</v>
      </c>
      <c r="C186" s="166" t="s">
        <v>151</v>
      </c>
      <c r="D186" s="57">
        <v>1032919026.4400001</v>
      </c>
      <c r="E186" s="52">
        <f t="shared" si="116"/>
        <v>1.1362910886659942E-2</v>
      </c>
      <c r="F186" s="51">
        <v>373.59</v>
      </c>
      <c r="G186" s="51">
        <v>378.67</v>
      </c>
      <c r="H186" s="53">
        <v>158</v>
      </c>
      <c r="I186" s="75">
        <v>1.37E-2</v>
      </c>
      <c r="J186" s="75">
        <v>0.44629999999999997</v>
      </c>
      <c r="K186" s="57">
        <v>1047618739.3</v>
      </c>
      <c r="L186" s="79">
        <f t="shared" si="117"/>
        <v>1.1327137300780291E-2</v>
      </c>
      <c r="M186" s="51">
        <v>376.97</v>
      </c>
      <c r="N186" s="51">
        <v>382.05</v>
      </c>
      <c r="O186" s="53">
        <v>158</v>
      </c>
      <c r="P186" s="75">
        <v>1.37E-2</v>
      </c>
      <c r="Q186" s="75">
        <v>0.44629999999999997</v>
      </c>
      <c r="R186" s="81">
        <f t="shared" si="118"/>
        <v>1.4231234476010272E-2</v>
      </c>
      <c r="S186" s="81">
        <f t="shared" si="119"/>
        <v>8.925977764280231E-3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2">
        <v>164</v>
      </c>
      <c r="B187" s="170" t="s">
        <v>242</v>
      </c>
      <c r="C187" s="166" t="s">
        <v>34</v>
      </c>
      <c r="D187" s="57">
        <v>2289198576.9899998</v>
      </c>
      <c r="E187" s="52">
        <f t="shared" si="116"/>
        <v>2.5182960877250422E-2</v>
      </c>
      <c r="F187" s="51">
        <v>552.22</v>
      </c>
      <c r="G187" s="51">
        <v>552.22</v>
      </c>
      <c r="H187" s="53">
        <v>823</v>
      </c>
      <c r="I187" s="75">
        <v>2.52E-2</v>
      </c>
      <c r="J187" s="75">
        <v>4.2900000000000001E-2</v>
      </c>
      <c r="K187" s="57">
        <v>2295918133.6900001</v>
      </c>
      <c r="L187" s="79">
        <f t="shared" si="117"/>
        <v>2.4824088149697218E-2</v>
      </c>
      <c r="M187" s="51">
        <v>552.22</v>
      </c>
      <c r="N187" s="51">
        <v>552.22</v>
      </c>
      <c r="O187" s="53">
        <v>823</v>
      </c>
      <c r="P187" s="75">
        <v>2.8999999999999998E-3</v>
      </c>
      <c r="Q187" s="75">
        <v>4.5900000000000003E-2</v>
      </c>
      <c r="R187" s="81">
        <f t="shared" si="118"/>
        <v>2.9353315031479857E-3</v>
      </c>
      <c r="S187" s="81">
        <f t="shared" si="119"/>
        <v>0</v>
      </c>
      <c r="T187" s="81">
        <f t="shared" si="119"/>
        <v>0</v>
      </c>
      <c r="U187" s="81">
        <f t="shared" si="120"/>
        <v>-2.23E-2</v>
      </c>
      <c r="V187" s="82">
        <f t="shared" si="120"/>
        <v>3.0000000000000027E-3</v>
      </c>
    </row>
    <row r="188" spans="1:22">
      <c r="A188" s="182">
        <v>165</v>
      </c>
      <c r="B188" s="170" t="s">
        <v>243</v>
      </c>
      <c r="C188" s="166" t="s">
        <v>106</v>
      </c>
      <c r="D188" s="51">
        <v>49420660.340000004</v>
      </c>
      <c r="E188" s="52">
        <f t="shared" si="116"/>
        <v>5.436656165960645E-4</v>
      </c>
      <c r="F188" s="51">
        <v>2.79</v>
      </c>
      <c r="G188" s="51">
        <v>2.79</v>
      </c>
      <c r="H188" s="53">
        <v>8</v>
      </c>
      <c r="I188" s="75">
        <v>1.0607999999999999E-2</v>
      </c>
      <c r="J188" s="75">
        <v>6.1952E-2</v>
      </c>
      <c r="K188" s="51">
        <v>47601020</v>
      </c>
      <c r="L188" s="79">
        <f t="shared" si="117"/>
        <v>5.1467510934126784E-4</v>
      </c>
      <c r="M188" s="51">
        <v>2.8</v>
      </c>
      <c r="N188" s="51">
        <v>2.8</v>
      </c>
      <c r="O188" s="53">
        <v>8</v>
      </c>
      <c r="P188" s="75">
        <v>3.774E-3</v>
      </c>
      <c r="Q188" s="75">
        <v>6.5961000000000006E-2</v>
      </c>
      <c r="R188" s="81">
        <f t="shared" si="118"/>
        <v>-3.6819425873337155E-2</v>
      </c>
      <c r="S188" s="81">
        <f t="shared" si="119"/>
        <v>3.5842293906809273E-3</v>
      </c>
      <c r="T188" s="81">
        <f t="shared" si="119"/>
        <v>0</v>
      </c>
      <c r="U188" s="81">
        <f t="shared" si="120"/>
        <v>-6.8339999999999998E-3</v>
      </c>
      <c r="V188" s="82">
        <f t="shared" si="120"/>
        <v>4.0090000000000056E-3</v>
      </c>
    </row>
    <row r="189" spans="1:22">
      <c r="A189" s="182">
        <v>166</v>
      </c>
      <c r="B189" s="170" t="s">
        <v>244</v>
      </c>
      <c r="C189" s="166" t="s">
        <v>46</v>
      </c>
      <c r="D189" s="51">
        <v>440106300.58999997</v>
      </c>
      <c r="E189" s="52">
        <f t="shared" si="116"/>
        <v>4.8415108505625287E-3</v>
      </c>
      <c r="F189" s="51">
        <v>3.74</v>
      </c>
      <c r="G189" s="51">
        <v>3.82</v>
      </c>
      <c r="H189" s="53">
        <v>138</v>
      </c>
      <c r="I189" s="75">
        <v>2.6200000000000001E-2</v>
      </c>
      <c r="J189" s="75">
        <v>0.10970000000000001</v>
      </c>
      <c r="K189" s="51">
        <v>449748321.06999999</v>
      </c>
      <c r="L189" s="79">
        <f t="shared" si="117"/>
        <v>4.8628005518107356E-3</v>
      </c>
      <c r="M189" s="51">
        <v>3.7555049999999999</v>
      </c>
      <c r="N189" s="51">
        <v>3.8302559999999999</v>
      </c>
      <c r="O189" s="53">
        <v>138</v>
      </c>
      <c r="P189" s="75">
        <v>-1.9E-3</v>
      </c>
      <c r="Q189" s="75">
        <v>0.1138</v>
      </c>
      <c r="R189" s="81">
        <f t="shared" si="118"/>
        <v>2.1908390011854111E-2</v>
      </c>
      <c r="S189" s="81">
        <f t="shared" si="119"/>
        <v>2.6848167539267128E-3</v>
      </c>
      <c r="T189" s="81">
        <f t="shared" si="119"/>
        <v>0</v>
      </c>
      <c r="U189" s="81">
        <f t="shared" si="120"/>
        <v>-2.81E-2</v>
      </c>
      <c r="V189" s="82">
        <f t="shared" si="120"/>
        <v>4.0999999999999925E-3</v>
      </c>
    </row>
    <row r="190" spans="1:22">
      <c r="A190" s="182">
        <v>167</v>
      </c>
      <c r="B190" s="170" t="s">
        <v>326</v>
      </c>
      <c r="C190" s="166" t="s">
        <v>327</v>
      </c>
      <c r="D190" s="51">
        <v>212246000.684582</v>
      </c>
      <c r="E190" s="52">
        <f t="shared" si="116"/>
        <v>2.3348707208356982E-3</v>
      </c>
      <c r="F190" s="51">
        <v>118.97</v>
      </c>
      <c r="G190" s="51">
        <v>119.64</v>
      </c>
      <c r="H190" s="53">
        <v>107</v>
      </c>
      <c r="I190" s="75">
        <v>1.8700000000000001E-2</v>
      </c>
      <c r="J190" s="75">
        <v>3.2099999999999997E-2</v>
      </c>
      <c r="K190" s="51">
        <v>210394486.14885899</v>
      </c>
      <c r="L190" s="52">
        <f t="shared" si="117"/>
        <v>2.2748421181618345E-3</v>
      </c>
      <c r="M190" s="51">
        <v>118.97</v>
      </c>
      <c r="N190" s="51">
        <v>119.64</v>
      </c>
      <c r="O190" s="53">
        <v>107</v>
      </c>
      <c r="P190" s="75">
        <v>-8.3999999999999995E-3</v>
      </c>
      <c r="Q190" s="75">
        <v>2.35E-2</v>
      </c>
      <c r="R190" s="81">
        <f t="shared" ref="R190" si="126">((K190-D190)/D190)</f>
        <v>-8.7234366242524859E-3</v>
      </c>
      <c r="S190" s="81">
        <f t="shared" ref="S190" si="127">((N190-G190)/G190)</f>
        <v>0</v>
      </c>
      <c r="T190" s="81">
        <f t="shared" ref="T190" si="128">((O190-H190)/H190)</f>
        <v>0</v>
      </c>
      <c r="U190" s="81">
        <f t="shared" ref="U190" si="129">P190-I190</f>
        <v>-2.7099999999999999E-2</v>
      </c>
      <c r="V190" s="82">
        <f t="shared" ref="V190" si="130">Q190-J190</f>
        <v>-8.5999999999999965E-3</v>
      </c>
    </row>
    <row r="191" spans="1:22">
      <c r="A191" s="182">
        <v>168</v>
      </c>
      <c r="B191" s="170" t="s">
        <v>245</v>
      </c>
      <c r="C191" s="166" t="s">
        <v>50</v>
      </c>
      <c r="D191" s="57">
        <v>5696931807.7299995</v>
      </c>
      <c r="E191" s="52">
        <f t="shared" si="116"/>
        <v>6.2670670983496254E-2</v>
      </c>
      <c r="F191" s="51">
        <v>10163.39</v>
      </c>
      <c r="G191" s="51">
        <v>10254.82</v>
      </c>
      <c r="H191" s="53">
        <v>4101</v>
      </c>
      <c r="I191" s="75">
        <v>1.6400000000000001E-2</v>
      </c>
      <c r="J191" s="75">
        <v>5.3800000000000001E-2</v>
      </c>
      <c r="K191" s="57">
        <v>5946044431.7799997</v>
      </c>
      <c r="L191" s="52">
        <f t="shared" si="117"/>
        <v>6.4290241429162814E-2</v>
      </c>
      <c r="M191" s="51">
        <v>10130</v>
      </c>
      <c r="N191" s="51">
        <v>10216.49</v>
      </c>
      <c r="O191" s="53">
        <v>4269</v>
      </c>
      <c r="P191" s="75">
        <v>-3.7000000000000002E-3</v>
      </c>
      <c r="Q191" s="75">
        <v>4.9799999999999997E-2</v>
      </c>
      <c r="R191" s="81">
        <f t="shared" si="118"/>
        <v>4.3727506745295172E-2</v>
      </c>
      <c r="S191" s="81">
        <f t="shared" si="119"/>
        <v>-3.7377545388412405E-3</v>
      </c>
      <c r="T191" s="81">
        <f t="shared" si="119"/>
        <v>4.0965618141916606E-2</v>
      </c>
      <c r="U191" s="81">
        <f t="shared" si="120"/>
        <v>-2.01E-2</v>
      </c>
      <c r="V191" s="82">
        <f t="shared" si="120"/>
        <v>-4.0000000000000036E-3</v>
      </c>
    </row>
    <row r="192" spans="1:22">
      <c r="A192" s="182">
        <v>169</v>
      </c>
      <c r="B192" s="170" t="s">
        <v>246</v>
      </c>
      <c r="C192" s="170" t="s">
        <v>116</v>
      </c>
      <c r="D192" s="57">
        <v>166386024.03</v>
      </c>
      <c r="E192" s="52">
        <f t="shared" si="116"/>
        <v>1.8303753880443911E-3</v>
      </c>
      <c r="F192" s="51">
        <v>1496.78</v>
      </c>
      <c r="G192" s="51">
        <v>1519.65</v>
      </c>
      <c r="H192" s="53">
        <v>62</v>
      </c>
      <c r="I192" s="75">
        <v>1.14E-2</v>
      </c>
      <c r="J192" s="75">
        <v>3.78E-2</v>
      </c>
      <c r="K192" s="57">
        <v>170771682.22</v>
      </c>
      <c r="L192" s="52">
        <f t="shared" si="117"/>
        <v>1.8464296399314708E-3</v>
      </c>
      <c r="M192" s="51">
        <v>1496.78</v>
      </c>
      <c r="N192" s="51">
        <v>1519.29</v>
      </c>
      <c r="O192" s="53">
        <v>63</v>
      </c>
      <c r="P192" s="75">
        <v>3.3000000000000002E-2</v>
      </c>
      <c r="Q192" s="75">
        <v>3.7499999999999999E-2</v>
      </c>
      <c r="R192" s="81">
        <f t="shared" si="118"/>
        <v>2.6358332772043688E-2</v>
      </c>
      <c r="S192" s="81">
        <f t="shared" si="119"/>
        <v>-2.3689665383484835E-4</v>
      </c>
      <c r="T192" s="81">
        <f t="shared" si="119"/>
        <v>1.6129032258064516E-2</v>
      </c>
      <c r="U192" s="81">
        <f t="shared" si="120"/>
        <v>2.1600000000000001E-2</v>
      </c>
      <c r="V192" s="82">
        <f t="shared" si="120"/>
        <v>-3.0000000000000165E-4</v>
      </c>
    </row>
    <row r="193" spans="1:22">
      <c r="A193" s="182">
        <v>170</v>
      </c>
      <c r="B193" s="170" t="s">
        <v>247</v>
      </c>
      <c r="C193" s="170" t="s">
        <v>96</v>
      </c>
      <c r="D193" s="57">
        <v>807105978.88</v>
      </c>
      <c r="E193" s="52">
        <f t="shared" si="116"/>
        <v>8.8787921215009273E-3</v>
      </c>
      <c r="F193" s="51">
        <v>1.538</v>
      </c>
      <c r="G193" s="51">
        <v>1.538</v>
      </c>
      <c r="H193" s="53">
        <v>46</v>
      </c>
      <c r="I193" s="75">
        <v>2.8E-3</v>
      </c>
      <c r="J193" s="75">
        <v>5.7999999999999996E-3</v>
      </c>
      <c r="K193" s="57">
        <v>809367715.14999998</v>
      </c>
      <c r="L193" s="52">
        <f t="shared" si="117"/>
        <v>8.7511027556157056E-3</v>
      </c>
      <c r="M193" s="51">
        <v>1.5419</v>
      </c>
      <c r="N193" s="51">
        <v>1.5419</v>
      </c>
      <c r="O193" s="53">
        <v>46</v>
      </c>
      <c r="P193" s="75">
        <v>2.8E-3</v>
      </c>
      <c r="Q193" s="75">
        <v>8.6E-3</v>
      </c>
      <c r="R193" s="81">
        <f t="shared" si="118"/>
        <v>2.8022791667812121E-3</v>
      </c>
      <c r="S193" s="81">
        <f t="shared" si="119"/>
        <v>2.5357607282184749E-3</v>
      </c>
      <c r="T193" s="81">
        <f t="shared" si="119"/>
        <v>0</v>
      </c>
      <c r="U193" s="81">
        <f t="shared" si="120"/>
        <v>0</v>
      </c>
      <c r="V193" s="82">
        <f t="shared" si="120"/>
        <v>2.8000000000000004E-3</v>
      </c>
    </row>
    <row r="194" spans="1:22">
      <c r="A194" s="182">
        <v>171</v>
      </c>
      <c r="B194" s="170" t="s">
        <v>248</v>
      </c>
      <c r="C194" s="166" t="s">
        <v>53</v>
      </c>
      <c r="D194" s="51">
        <v>4138950733.52</v>
      </c>
      <c r="E194" s="52">
        <f t="shared" si="116"/>
        <v>4.5531670097467662E-2</v>
      </c>
      <c r="F194" s="51">
        <v>2.3614999999999999</v>
      </c>
      <c r="G194" s="51">
        <v>2.3788999999999998</v>
      </c>
      <c r="H194" s="53">
        <v>2990</v>
      </c>
      <c r="I194" s="75">
        <v>2.0299999999999999E-2</v>
      </c>
      <c r="J194" s="75">
        <v>6.3200000000000006E-2</v>
      </c>
      <c r="K194" s="51">
        <v>4196270003.8299999</v>
      </c>
      <c r="L194" s="79">
        <f t="shared" si="117"/>
        <v>4.537120681545663E-2</v>
      </c>
      <c r="M194" s="51">
        <v>2.3567</v>
      </c>
      <c r="N194" s="51">
        <v>2.3736999999999999</v>
      </c>
      <c r="O194" s="53">
        <v>3003</v>
      </c>
      <c r="P194" s="75">
        <v>-2E-3</v>
      </c>
      <c r="Q194" s="75">
        <v>6.1100000000000002E-2</v>
      </c>
      <c r="R194" s="81">
        <f t="shared" si="118"/>
        <v>1.3848744283373569E-2</v>
      </c>
      <c r="S194" s="81">
        <f t="shared" si="119"/>
        <v>-2.1858842322081094E-3</v>
      </c>
      <c r="T194" s="81">
        <f t="shared" si="119"/>
        <v>4.3478260869565218E-3</v>
      </c>
      <c r="U194" s="81">
        <f t="shared" si="120"/>
        <v>-2.23E-2</v>
      </c>
      <c r="V194" s="82">
        <f t="shared" si="120"/>
        <v>-2.1000000000000046E-3</v>
      </c>
    </row>
    <row r="195" spans="1:22">
      <c r="A195" s="182">
        <v>172</v>
      </c>
      <c r="B195" s="170" t="s">
        <v>249</v>
      </c>
      <c r="C195" s="166" t="s">
        <v>53</v>
      </c>
      <c r="D195" s="51">
        <v>2707874964.4299998</v>
      </c>
      <c r="E195" s="52">
        <f t="shared" si="116"/>
        <v>2.9788726052499402E-2</v>
      </c>
      <c r="F195" s="51">
        <v>1.8796999999999999</v>
      </c>
      <c r="G195" s="51">
        <v>1.8928</v>
      </c>
      <c r="H195" s="53">
        <v>1518</v>
      </c>
      <c r="I195" s="75">
        <v>1.46E-2</v>
      </c>
      <c r="J195" s="75">
        <v>5.1499999999999997E-2</v>
      </c>
      <c r="K195" s="51">
        <v>2757375120.1799998</v>
      </c>
      <c r="L195" s="79">
        <f t="shared" si="117"/>
        <v>2.9813485960459098E-2</v>
      </c>
      <c r="M195" s="51">
        <v>1.881</v>
      </c>
      <c r="N195" s="51">
        <v>1.8942000000000001</v>
      </c>
      <c r="O195" s="53">
        <v>1533</v>
      </c>
      <c r="P195" s="75">
        <v>6.9999999999999999E-4</v>
      </c>
      <c r="Q195" s="75">
        <v>5.2200000000000003E-2</v>
      </c>
      <c r="R195" s="81">
        <f t="shared" si="118"/>
        <v>1.828007437574565E-2</v>
      </c>
      <c r="S195" s="81">
        <f t="shared" si="119"/>
        <v>7.3964497041423705E-4</v>
      </c>
      <c r="T195" s="81">
        <f t="shared" si="119"/>
        <v>9.881422924901186E-3</v>
      </c>
      <c r="U195" s="81">
        <f t="shared" si="120"/>
        <v>-1.3900000000000001E-2</v>
      </c>
      <c r="V195" s="82">
        <f t="shared" si="120"/>
        <v>7.0000000000000617E-4</v>
      </c>
    </row>
    <row r="196" spans="1:22">
      <c r="A196" s="182">
        <v>173</v>
      </c>
      <c r="B196" s="170" t="s">
        <v>250</v>
      </c>
      <c r="C196" s="166" t="s">
        <v>121</v>
      </c>
      <c r="D196" s="57">
        <v>11331348145.93</v>
      </c>
      <c r="E196" s="52">
        <f t="shared" si="116"/>
        <v>0.12465362328709235</v>
      </c>
      <c r="F196" s="51">
        <v>723.96</v>
      </c>
      <c r="G196" s="51">
        <v>732.24</v>
      </c>
      <c r="H196" s="53">
        <v>37</v>
      </c>
      <c r="I196" s="75">
        <v>1.9E-2</v>
      </c>
      <c r="J196" s="75">
        <v>5.3100000000000001E-2</v>
      </c>
      <c r="K196" s="57">
        <v>11259088532.799999</v>
      </c>
      <c r="L196" s="79">
        <f t="shared" si="117"/>
        <v>0.12173631198873162</v>
      </c>
      <c r="M196" s="51">
        <v>719.37</v>
      </c>
      <c r="N196" s="51">
        <v>727.56</v>
      </c>
      <c r="O196" s="53">
        <v>37</v>
      </c>
      <c r="P196" s="75">
        <v>-6.4000000000000003E-3</v>
      </c>
      <c r="Q196" s="75">
        <v>4.6300000000000001E-2</v>
      </c>
      <c r="R196" s="81">
        <f t="shared" si="118"/>
        <v>-6.3769652295040738E-3</v>
      </c>
      <c r="S196" s="81">
        <f t="shared" si="119"/>
        <v>-6.3913470993117883E-3</v>
      </c>
      <c r="T196" s="81">
        <f t="shared" si="119"/>
        <v>0</v>
      </c>
      <c r="U196" s="81">
        <f t="shared" si="120"/>
        <v>-2.5399999999999999E-2</v>
      </c>
      <c r="V196" s="82">
        <f t="shared" si="120"/>
        <v>-6.8000000000000005E-3</v>
      </c>
    </row>
    <row r="197" spans="1:22">
      <c r="A197" s="60"/>
      <c r="B197" s="61"/>
      <c r="C197" s="62" t="s">
        <v>56</v>
      </c>
      <c r="D197" s="104">
        <f>SUM(D168:D196)</f>
        <v>90902677733.101563</v>
      </c>
      <c r="E197" s="64">
        <f>(D197/$D$231)</f>
        <v>1.1321309980992213E-2</v>
      </c>
      <c r="F197" s="65"/>
      <c r="G197" s="105"/>
      <c r="H197" s="67">
        <f>SUM(H168:H196)</f>
        <v>80338</v>
      </c>
      <c r="I197" s="123"/>
      <c r="J197" s="123"/>
      <c r="K197" s="104">
        <f>SUM(K168:K196)</f>
        <v>92487511317.429947</v>
      </c>
      <c r="L197" s="64">
        <f>(K197/$K$231)</f>
        <v>1.1480383194290572E-2</v>
      </c>
      <c r="M197" s="65"/>
      <c r="N197" s="105"/>
      <c r="O197" s="67">
        <f>SUM(O168:O196)</f>
        <v>80752</v>
      </c>
      <c r="P197" s="123"/>
      <c r="Q197" s="123"/>
      <c r="R197" s="81">
        <f t="shared" ref="R197" si="131">((K197-D197)/D197)</f>
        <v>1.7434399336195557E-2</v>
      </c>
      <c r="S197" s="81" t="e">
        <f t="shared" ref="S197" si="132">((N197-G197)/G197)</f>
        <v>#DIV/0!</v>
      </c>
      <c r="T197" s="81">
        <f t="shared" ref="T197" si="133">((O197-H197)/H197)</f>
        <v>5.1532276133336649E-3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</row>
    <row r="199" spans="1:22" ht="15" customHeight="1">
      <c r="A199" s="191" t="s">
        <v>251</v>
      </c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</row>
    <row r="200" spans="1:22">
      <c r="A200" s="180">
        <v>174</v>
      </c>
      <c r="B200" s="170" t="s">
        <v>252</v>
      </c>
      <c r="C200" s="166" t="s">
        <v>253</v>
      </c>
      <c r="D200" s="106">
        <v>1532994037.6800001</v>
      </c>
      <c r="E200" s="52">
        <f>(D200/$D$202)</f>
        <v>0.16451897634000084</v>
      </c>
      <c r="F200" s="107">
        <v>42.280099999999997</v>
      </c>
      <c r="G200" s="107">
        <v>42.694400000000002</v>
      </c>
      <c r="H200" s="53">
        <v>1509</v>
      </c>
      <c r="I200" s="75">
        <v>1.1900000000000001E-2</v>
      </c>
      <c r="J200" s="75">
        <v>5.7500000000000002E-2</v>
      </c>
      <c r="K200" s="106">
        <v>2068872721.1400001</v>
      </c>
      <c r="L200" s="79">
        <f>(K200/$K$202)</f>
        <v>0.20751995404724033</v>
      </c>
      <c r="M200" s="107">
        <v>31.440899999999999</v>
      </c>
      <c r="N200" s="107">
        <v>31.440899999999999</v>
      </c>
      <c r="O200" s="53">
        <v>1319</v>
      </c>
      <c r="P200" s="75">
        <v>5.0000000000000001E-3</v>
      </c>
      <c r="Q200" s="75">
        <v>5.8599999999999999E-2</v>
      </c>
      <c r="R200" s="81">
        <f>((K200-D200)/D200)</f>
        <v>0.3495634492297095</v>
      </c>
      <c r="S200" s="81">
        <f t="shared" ref="S200:T202" si="136">((N200-G200)/G200)</f>
        <v>-0.26358257757457659</v>
      </c>
      <c r="T200" s="81">
        <f t="shared" si="136"/>
        <v>-0.12591119946984758</v>
      </c>
      <c r="U200" s="81">
        <f t="shared" ref="U200:V202" si="137">P200-I200</f>
        <v>-6.9000000000000008E-3</v>
      </c>
      <c r="V200" s="82">
        <f t="shared" si="137"/>
        <v>1.0999999999999968E-3</v>
      </c>
    </row>
    <row r="201" spans="1:22">
      <c r="A201" s="180">
        <v>175</v>
      </c>
      <c r="B201" s="170" t="s">
        <v>254</v>
      </c>
      <c r="C201" s="166" t="s">
        <v>50</v>
      </c>
      <c r="D201" s="69">
        <v>7785043746.0699997</v>
      </c>
      <c r="E201" s="52">
        <f>(D201/$D$202)</f>
        <v>0.8354810236599991</v>
      </c>
      <c r="F201" s="107">
        <v>4.84</v>
      </c>
      <c r="G201" s="107">
        <v>4.9000000000000004</v>
      </c>
      <c r="H201" s="53">
        <v>12033</v>
      </c>
      <c r="I201" s="75">
        <v>1.8700000000000001E-2</v>
      </c>
      <c r="J201" s="75">
        <v>8.1699999999999995E-2</v>
      </c>
      <c r="K201" s="69">
        <v>7900639515.1099997</v>
      </c>
      <c r="L201" s="79">
        <f>(K201/$K$202)</f>
        <v>0.79248004595275967</v>
      </c>
      <c r="M201" s="107">
        <v>4.84</v>
      </c>
      <c r="N201" s="107">
        <v>4.91</v>
      </c>
      <c r="O201" s="53">
        <v>12161</v>
      </c>
      <c r="P201" s="75">
        <v>2E-3</v>
      </c>
      <c r="Q201" s="75">
        <v>8.3900000000000002E-2</v>
      </c>
      <c r="R201" s="81">
        <f>((K201-D201)/D201)</f>
        <v>1.4848441808481081E-2</v>
      </c>
      <c r="S201" s="81">
        <f t="shared" si="136"/>
        <v>2.0408163265305686E-3</v>
      </c>
      <c r="T201" s="81">
        <f t="shared" si="136"/>
        <v>1.0637413778775036E-2</v>
      </c>
      <c r="U201" s="81">
        <f t="shared" si="137"/>
        <v>-1.67E-2</v>
      </c>
      <c r="V201" s="82">
        <f t="shared" si="137"/>
        <v>2.2000000000000075E-3</v>
      </c>
    </row>
    <row r="202" spans="1:22">
      <c r="A202" s="60"/>
      <c r="B202" s="61"/>
      <c r="C202" s="96" t="s">
        <v>56</v>
      </c>
      <c r="D202" s="104">
        <f>SUM(D200:D201)</f>
        <v>9318037783.75</v>
      </c>
      <c r="E202" s="64">
        <f>(D202/$D$231)</f>
        <v>1.1604982030800741E-3</v>
      </c>
      <c r="F202" s="65"/>
      <c r="G202" s="105"/>
      <c r="H202" s="67">
        <f>SUM(H200:H201)</f>
        <v>13542</v>
      </c>
      <c r="I202" s="123"/>
      <c r="J202" s="123"/>
      <c r="K202" s="104">
        <f>SUM(K200:K201)</f>
        <v>9969512236.25</v>
      </c>
      <c r="L202" s="64">
        <f>(K202/$K$231)</f>
        <v>1.2375056815995119E-3</v>
      </c>
      <c r="M202" s="65"/>
      <c r="N202" s="105"/>
      <c r="O202" s="67">
        <f>SUM(O200:O201)</f>
        <v>13480</v>
      </c>
      <c r="P202" s="123"/>
      <c r="Q202" s="123"/>
      <c r="R202" s="81">
        <f>((K202-D202)/D202)</f>
        <v>6.9915412195057355E-2</v>
      </c>
      <c r="S202" s="81" t="e">
        <f t="shared" si="136"/>
        <v>#DIV/0!</v>
      </c>
      <c r="T202" s="81">
        <f t="shared" si="136"/>
        <v>-4.5783488406439228E-3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</row>
    <row r="204" spans="1:22" ht="15" customHeight="1">
      <c r="A204" s="187" t="s">
        <v>255</v>
      </c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</row>
    <row r="205" spans="1:22">
      <c r="A205" s="190" t="s">
        <v>256</v>
      </c>
      <c r="B205" s="190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</row>
    <row r="206" spans="1:22">
      <c r="A206" s="180">
        <v>176</v>
      </c>
      <c r="B206" s="170" t="s">
        <v>257</v>
      </c>
      <c r="C206" s="166" t="s">
        <v>258</v>
      </c>
      <c r="D206" s="73">
        <v>9186716850.8099995</v>
      </c>
      <c r="E206" s="52">
        <f>(D206/$D$230)</f>
        <v>0.10880426005253592</v>
      </c>
      <c r="F206" s="108">
        <v>3.07</v>
      </c>
      <c r="G206" s="108">
        <v>3.12</v>
      </c>
      <c r="H206" s="71">
        <v>15572</v>
      </c>
      <c r="I206" s="78">
        <v>6.8999999999999999E-3</v>
      </c>
      <c r="J206" s="78">
        <v>3.9800000000000002E-2</v>
      </c>
      <c r="K206" s="73">
        <v>9518063578.5499992</v>
      </c>
      <c r="L206" s="52">
        <f>(K206/$K$230)</f>
        <v>0.11302335633140789</v>
      </c>
      <c r="M206" s="108">
        <v>3.08</v>
      </c>
      <c r="N206" s="108">
        <v>3.14</v>
      </c>
      <c r="O206" s="71">
        <v>15631</v>
      </c>
      <c r="P206" s="78">
        <v>5.5999999999999999E-3</v>
      </c>
      <c r="Q206" s="78">
        <v>4.5699999999999998E-2</v>
      </c>
      <c r="R206" s="80">
        <f>((K206-D206)/D206)</f>
        <v>3.6068024422760421E-2</v>
      </c>
      <c r="S206" s="80">
        <f>((N206-G206)/G206)</f>
        <v>6.4102564102564161E-3</v>
      </c>
      <c r="T206" s="80">
        <f>((O206-H206)/H206)</f>
        <v>3.7888517852555869E-3</v>
      </c>
      <c r="U206" s="80">
        <f>P206-I206</f>
        <v>-1.2999999999999999E-3</v>
      </c>
      <c r="V206" s="127">
        <f>Q206-J206</f>
        <v>5.8999999999999955E-3</v>
      </c>
    </row>
    <row r="207" spans="1:22">
      <c r="A207" s="180">
        <v>177</v>
      </c>
      <c r="B207" s="170" t="s">
        <v>259</v>
      </c>
      <c r="C207" s="166" t="s">
        <v>50</v>
      </c>
      <c r="D207" s="73">
        <v>6633688969.46</v>
      </c>
      <c r="E207" s="52">
        <f>(D207/$D$230)</f>
        <v>7.8567091101444525E-2</v>
      </c>
      <c r="F207" s="108">
        <v>1002.89</v>
      </c>
      <c r="G207" s="108">
        <v>1013.72</v>
      </c>
      <c r="H207" s="71">
        <v>3033</v>
      </c>
      <c r="I207" s="78">
        <v>1.5100000000000001E-2</v>
      </c>
      <c r="J207" s="78">
        <v>6.6199999999999995E-2</v>
      </c>
      <c r="K207" s="73">
        <v>6921468613.8299999</v>
      </c>
      <c r="L207" s="52">
        <f>(K207/$K$230)</f>
        <v>8.2189786506630919E-2</v>
      </c>
      <c r="M207" s="108">
        <v>1007.01</v>
      </c>
      <c r="N207" s="108">
        <v>1017.48</v>
      </c>
      <c r="O207" s="71">
        <v>3184</v>
      </c>
      <c r="P207" s="78">
        <v>3.7000000000000002E-3</v>
      </c>
      <c r="Q207" s="78">
        <v>7.0099999999999996E-2</v>
      </c>
      <c r="R207" s="80">
        <f>((K207-D207)/D207)</f>
        <v>4.3381540149812887E-2</v>
      </c>
      <c r="S207" s="80">
        <f>((N207-G207)/G207)</f>
        <v>3.7091109971195109E-3</v>
      </c>
      <c r="T207" s="80">
        <f>((O207-H207)/H207)</f>
        <v>4.9785690735245629E-2</v>
      </c>
      <c r="U207" s="80">
        <f>P207-I207</f>
        <v>-1.14E-2</v>
      </c>
      <c r="V207" s="127">
        <f>Q207-J207</f>
        <v>3.9000000000000007E-3</v>
      </c>
    </row>
    <row r="208" spans="1:22" ht="6" customHeight="1">
      <c r="A208" s="95"/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</row>
    <row r="209" spans="1:24" ht="15" customHeight="1">
      <c r="A209" s="190" t="s">
        <v>193</v>
      </c>
      <c r="B209" s="190"/>
      <c r="C209" s="190"/>
      <c r="D209" s="190"/>
      <c r="E209" s="190"/>
      <c r="F209" s="190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</row>
    <row r="210" spans="1:24">
      <c r="A210" s="180">
        <v>178</v>
      </c>
      <c r="B210" s="170" t="s">
        <v>260</v>
      </c>
      <c r="C210" s="166" t="s">
        <v>24</v>
      </c>
      <c r="D210" s="57">
        <v>1351367535.1500001</v>
      </c>
      <c r="E210" s="52">
        <f>(D210/$D$230)</f>
        <v>1.6005124258080396E-2</v>
      </c>
      <c r="F210" s="107">
        <v>1.1418999999999999</v>
      </c>
      <c r="G210" s="107">
        <v>1.1418999999999999</v>
      </c>
      <c r="H210" s="53">
        <v>807</v>
      </c>
      <c r="I210" s="75">
        <v>0.13739999999999999</v>
      </c>
      <c r="J210" s="75">
        <v>0.14480000000000001</v>
      </c>
      <c r="K210" s="57">
        <v>1328999554.74</v>
      </c>
      <c r="L210" s="52">
        <f t="shared" ref="L210:L223" si="138">(K210/$K$230)</f>
        <v>1.5781360252538304E-2</v>
      </c>
      <c r="M210" s="107">
        <v>1.1448</v>
      </c>
      <c r="N210" s="107">
        <v>1.1448</v>
      </c>
      <c r="O210" s="53">
        <v>842</v>
      </c>
      <c r="P210" s="75">
        <v>0.13239999999999999</v>
      </c>
      <c r="Q210" s="75">
        <v>0.14130000000000001</v>
      </c>
      <c r="R210" s="81">
        <f>((K210-D210)/D210)</f>
        <v>-1.6552107275181263E-2</v>
      </c>
      <c r="S210" s="81">
        <f>((N210-G210)/G210)</f>
        <v>2.539626937560316E-3</v>
      </c>
      <c r="T210" s="81">
        <f>((O210-H210)/H210)</f>
        <v>4.3370508054522923E-2</v>
      </c>
      <c r="U210" s="81">
        <f>P210-I210</f>
        <v>-5.0000000000000044E-3</v>
      </c>
      <c r="V210" s="82">
        <f>Q210-J210</f>
        <v>-3.5000000000000031E-3</v>
      </c>
      <c r="X210" s="128"/>
    </row>
    <row r="211" spans="1:24">
      <c r="A211" s="180">
        <v>179</v>
      </c>
      <c r="B211" s="170" t="s">
        <v>261</v>
      </c>
      <c r="C211" s="166" t="s">
        <v>262</v>
      </c>
      <c r="D211" s="57">
        <v>371632630.80000001</v>
      </c>
      <c r="E211" s="52">
        <f>(D211/$D$230)</f>
        <v>4.4014868491354525E-3</v>
      </c>
      <c r="F211" s="107">
        <v>1126.5899999999999</v>
      </c>
      <c r="G211" s="107">
        <v>1126.5899999999999</v>
      </c>
      <c r="H211" s="53">
        <v>17</v>
      </c>
      <c r="I211" s="75">
        <v>2.5000000000000001E-3</v>
      </c>
      <c r="J211" s="75">
        <v>5.7999999999999996E-3</v>
      </c>
      <c r="K211" s="57">
        <v>371158169.50999999</v>
      </c>
      <c r="L211" s="52">
        <f t="shared" si="138"/>
        <v>4.4073609827927308E-3</v>
      </c>
      <c r="M211" s="107">
        <v>1125.1500000000001</v>
      </c>
      <c r="N211" s="107">
        <v>1125.1500000000001</v>
      </c>
      <c r="O211" s="53">
        <v>17</v>
      </c>
      <c r="P211" s="75">
        <v>2.5000000000000001E-3</v>
      </c>
      <c r="Q211" s="75">
        <v>8.3000000000000001E-3</v>
      </c>
      <c r="R211" s="81">
        <f>((K211-D211)/D211)</f>
        <v>-1.2766943768599273E-3</v>
      </c>
      <c r="S211" s="81">
        <f>((N211-G211)/G211)</f>
        <v>-1.2781934865388716E-3</v>
      </c>
      <c r="T211" s="81">
        <f>((O211-H211)/H211)</f>
        <v>0</v>
      </c>
      <c r="U211" s="81">
        <f>P211-I211</f>
        <v>0</v>
      </c>
      <c r="V211" s="82">
        <f>Q211-J211</f>
        <v>2.5000000000000005E-3</v>
      </c>
      <c r="X211" s="128"/>
    </row>
    <row r="212" spans="1:24">
      <c r="A212" s="180">
        <v>180</v>
      </c>
      <c r="B212" s="170" t="s">
        <v>263</v>
      </c>
      <c r="C212" s="166" t="s">
        <v>73</v>
      </c>
      <c r="D212" s="57">
        <v>314255886.44999999</v>
      </c>
      <c r="E212" s="52">
        <f>(D212/$D$230)</f>
        <v>3.7219367645288022E-3</v>
      </c>
      <c r="F212" s="107">
        <v>123.23</v>
      </c>
      <c r="G212" s="107">
        <v>123.23</v>
      </c>
      <c r="H212" s="53">
        <v>81</v>
      </c>
      <c r="I212" s="75">
        <v>2.3E-3</v>
      </c>
      <c r="J212" s="75">
        <v>0.13389999999999999</v>
      </c>
      <c r="K212" s="57">
        <v>315183437.80000001</v>
      </c>
      <c r="L212" s="52">
        <f t="shared" si="138"/>
        <v>3.7426825011453043E-3</v>
      </c>
      <c r="M212" s="107">
        <v>123.54</v>
      </c>
      <c r="N212" s="107">
        <v>123.54</v>
      </c>
      <c r="O212" s="53">
        <v>80</v>
      </c>
      <c r="P212" s="75">
        <v>2.5000000000000001E-3</v>
      </c>
      <c r="Q212" s="75">
        <v>0.13389999999999999</v>
      </c>
      <c r="R212" s="81">
        <f t="shared" ref="R212:R231" si="139">((K212-D212)/D212)</f>
        <v>2.9515798748533635E-3</v>
      </c>
      <c r="S212" s="81">
        <f t="shared" ref="S212:S230" si="140">((N212-G212)/G212)</f>
        <v>2.5156211961373225E-3</v>
      </c>
      <c r="T212" s="81">
        <f t="shared" ref="T212:T230" si="141">((O212-H212)/H212)</f>
        <v>-1.2345679012345678E-2</v>
      </c>
      <c r="U212" s="81">
        <f t="shared" ref="U212:U230" si="142">P212-I212</f>
        <v>2.0000000000000009E-4</v>
      </c>
      <c r="V212" s="82">
        <f t="shared" ref="V212:V230" si="143">Q212-J212</f>
        <v>0</v>
      </c>
    </row>
    <row r="213" spans="1:24">
      <c r="A213" s="180">
        <v>181</v>
      </c>
      <c r="B213" s="185" t="s">
        <v>264</v>
      </c>
      <c r="C213" s="166" t="s">
        <v>265</v>
      </c>
      <c r="D213" s="57">
        <v>55271331.4296875</v>
      </c>
      <c r="E213" s="52">
        <v>0</v>
      </c>
      <c r="F213" s="107">
        <v>106.59</v>
      </c>
      <c r="G213" s="107">
        <v>106.14</v>
      </c>
      <c r="H213" s="53">
        <v>14</v>
      </c>
      <c r="I213" s="75">
        <v>4.5999999999999999E-3</v>
      </c>
      <c r="J213" s="75">
        <v>6.59E-2</v>
      </c>
      <c r="K213" s="57">
        <v>55671536.173002802</v>
      </c>
      <c r="L213" s="52">
        <f t="shared" si="138"/>
        <v>6.6107815087286103E-4</v>
      </c>
      <c r="M213" s="107">
        <v>106.88</v>
      </c>
      <c r="N213" s="107">
        <v>106.88</v>
      </c>
      <c r="O213" s="53">
        <v>14</v>
      </c>
      <c r="P213" s="75">
        <v>2.8999999999999998E-3</v>
      </c>
      <c r="Q213" s="75">
        <v>6.88E-2</v>
      </c>
      <c r="R213" s="81">
        <f t="shared" si="139"/>
        <v>7.240729198362366E-3</v>
      </c>
      <c r="S213" s="81">
        <f t="shared" si="140"/>
        <v>6.9719238741284611E-3</v>
      </c>
      <c r="T213" s="81">
        <f t="shared" si="141"/>
        <v>0</v>
      </c>
      <c r="U213" s="81">
        <f t="shared" si="142"/>
        <v>-1.7000000000000001E-3</v>
      </c>
      <c r="V213" s="82">
        <f t="shared" si="143"/>
        <v>2.8999999999999998E-3</v>
      </c>
    </row>
    <row r="214" spans="1:24">
      <c r="A214" s="180">
        <v>182</v>
      </c>
      <c r="B214" s="185" t="s">
        <v>266</v>
      </c>
      <c r="C214" s="166" t="s">
        <v>79</v>
      </c>
      <c r="D214" s="69">
        <v>66246831.549999997</v>
      </c>
      <c r="E214" s="52">
        <f>(D214/$D$230)</f>
        <v>7.846042938601304E-4</v>
      </c>
      <c r="F214" s="107">
        <v>100.65</v>
      </c>
      <c r="G214" s="107">
        <v>100.65</v>
      </c>
      <c r="H214" s="53">
        <v>15</v>
      </c>
      <c r="I214" s="75">
        <v>1.9099999999999999E-2</v>
      </c>
      <c r="J214" s="75">
        <v>1.9900000000000001E-2</v>
      </c>
      <c r="K214" s="69">
        <v>65263182.719999999</v>
      </c>
      <c r="L214" s="52">
        <f t="shared" si="138"/>
        <v>7.7497527674721175E-4</v>
      </c>
      <c r="M214" s="107">
        <v>100.69</v>
      </c>
      <c r="N214" s="107">
        <v>100.69</v>
      </c>
      <c r="O214" s="53">
        <v>15</v>
      </c>
      <c r="P214" s="75">
        <v>4.4999999999999997E-3</v>
      </c>
      <c r="Q214" s="75">
        <v>2.4400000000000002E-2</v>
      </c>
      <c r="R214" s="81">
        <f t="shared" si="139"/>
        <v>-1.4848239636299984E-2</v>
      </c>
      <c r="S214" s="81">
        <f t="shared" si="140"/>
        <v>3.9741679085933472E-4</v>
      </c>
      <c r="T214" s="81">
        <f t="shared" si="141"/>
        <v>0</v>
      </c>
      <c r="U214" s="81">
        <f t="shared" si="142"/>
        <v>-1.4599999999999998E-2</v>
      </c>
      <c r="V214" s="82">
        <f t="shared" si="143"/>
        <v>4.5000000000000005E-3</v>
      </c>
    </row>
    <row r="215" spans="1:24">
      <c r="A215" s="180">
        <v>183</v>
      </c>
      <c r="B215" s="170" t="s">
        <v>267</v>
      </c>
      <c r="C215" s="166" t="s">
        <v>82</v>
      </c>
      <c r="D215" s="69">
        <v>267811754.94999999</v>
      </c>
      <c r="E215" s="52">
        <v>0</v>
      </c>
      <c r="F215" s="107">
        <v>1.1599999999999999</v>
      </c>
      <c r="G215" s="107">
        <v>1.1599999999999999</v>
      </c>
      <c r="H215" s="53">
        <v>54</v>
      </c>
      <c r="I215" s="75">
        <v>1.8E-3</v>
      </c>
      <c r="J215" s="75">
        <v>0.13400000000000001</v>
      </c>
      <c r="K215" s="69">
        <v>268447706.55000001</v>
      </c>
      <c r="L215" s="52">
        <f t="shared" si="138"/>
        <v>3.1877136082728349E-3</v>
      </c>
      <c r="M215" s="107">
        <v>1.1662999999999999</v>
      </c>
      <c r="N215" s="107">
        <v>1.1662999999999999</v>
      </c>
      <c r="O215" s="53">
        <v>56</v>
      </c>
      <c r="P215" s="75">
        <v>0.14050000000000001</v>
      </c>
      <c r="Q215" s="75">
        <v>0.14050000000000001</v>
      </c>
      <c r="R215" s="81">
        <f t="shared" ref="R215:R216" si="144">((K215-D215)/D215)</f>
        <v>2.3746216820047907E-3</v>
      </c>
      <c r="S215" s="81">
        <f t="shared" ref="S215:S216" si="145">((N215-G215)/G215)</f>
        <v>5.4310344827585974E-3</v>
      </c>
      <c r="T215" s="81">
        <f t="shared" ref="T215" si="146">((O215-H215)/H215)</f>
        <v>3.7037037037037035E-2</v>
      </c>
      <c r="U215" s="81">
        <f t="shared" ref="U215" si="147">P215-I215</f>
        <v>0.13870000000000002</v>
      </c>
      <c r="V215" s="82">
        <f t="shared" ref="V215" si="148">Q215-J215</f>
        <v>6.5000000000000058E-3</v>
      </c>
    </row>
    <row r="216" spans="1:24">
      <c r="A216" s="180">
        <v>184</v>
      </c>
      <c r="B216" s="170" t="s">
        <v>268</v>
      </c>
      <c r="C216" s="166" t="s">
        <v>32</v>
      </c>
      <c r="D216" s="57">
        <v>5158878085.0200005</v>
      </c>
      <c r="E216" s="52">
        <f t="shared" ref="E216:E223" si="149">(D216/$D$230)</f>
        <v>6.1099947005806947E-2</v>
      </c>
      <c r="F216" s="107">
        <v>143.13999999999999</v>
      </c>
      <c r="G216" s="107">
        <v>143.13999999999999</v>
      </c>
      <c r="H216" s="53">
        <v>765</v>
      </c>
      <c r="I216" s="75">
        <v>-2.5999999999999999E-3</v>
      </c>
      <c r="J216" s="75">
        <v>6.0000000000000001E-3</v>
      </c>
      <c r="K216" s="57">
        <v>5044847369.8299999</v>
      </c>
      <c r="L216" s="52">
        <f t="shared" si="138"/>
        <v>5.9905628619968218E-2</v>
      </c>
      <c r="M216" s="107">
        <v>143.51</v>
      </c>
      <c r="N216" s="107">
        <v>143.51</v>
      </c>
      <c r="O216" s="53">
        <v>765</v>
      </c>
      <c r="P216" s="75">
        <v>2.5999999999999999E-3</v>
      </c>
      <c r="Q216" s="75">
        <v>8.6E-3</v>
      </c>
      <c r="R216" s="81">
        <f t="shared" si="144"/>
        <v>-2.2103781735241072E-2</v>
      </c>
      <c r="S216" s="81">
        <f t="shared" si="145"/>
        <v>2.5848819337711652E-3</v>
      </c>
      <c r="T216" s="81">
        <f t="shared" si="141"/>
        <v>0</v>
      </c>
      <c r="U216" s="81">
        <f t="shared" si="142"/>
        <v>5.1999999999999998E-3</v>
      </c>
      <c r="V216" s="82">
        <f t="shared" si="143"/>
        <v>2.5999999999999999E-3</v>
      </c>
    </row>
    <row r="217" spans="1:24">
      <c r="A217" s="180">
        <v>185</v>
      </c>
      <c r="B217" s="170" t="s">
        <v>269</v>
      </c>
      <c r="C217" s="166" t="s">
        <v>71</v>
      </c>
      <c r="D217" s="57">
        <v>1026829047.62525</v>
      </c>
      <c r="E217" s="52">
        <f t="shared" si="149"/>
        <v>1.2161403964188224E-2</v>
      </c>
      <c r="F217" s="56">
        <v>1331.46</v>
      </c>
      <c r="G217" s="56">
        <v>1331.46</v>
      </c>
      <c r="H217" s="53">
        <v>322</v>
      </c>
      <c r="I217" s="75">
        <v>0.113</v>
      </c>
      <c r="J217" s="75">
        <v>0.1137</v>
      </c>
      <c r="K217" s="57">
        <v>1027654540.33392</v>
      </c>
      <c r="L217" s="52">
        <f t="shared" si="138"/>
        <v>1.2203003724360936E-2</v>
      </c>
      <c r="M217" s="56">
        <v>1334.47625140938</v>
      </c>
      <c r="N217" s="56">
        <v>1334.47625140938</v>
      </c>
      <c r="O217" s="53">
        <v>321</v>
      </c>
      <c r="P217" s="75">
        <v>0.11799999999999999</v>
      </c>
      <c r="Q217" s="75">
        <v>0.1152</v>
      </c>
      <c r="R217" s="81">
        <f t="shared" si="139"/>
        <v>8.0392418833411374E-4</v>
      </c>
      <c r="S217" s="81">
        <f t="shared" si="140"/>
        <v>2.2653714038573802E-3</v>
      </c>
      <c r="T217" s="81">
        <f t="shared" si="141"/>
        <v>-3.105590062111801E-3</v>
      </c>
      <c r="U217" s="81">
        <f t="shared" si="142"/>
        <v>4.9999999999999906E-3</v>
      </c>
      <c r="V217" s="82">
        <f t="shared" si="143"/>
        <v>1.5000000000000013E-3</v>
      </c>
    </row>
    <row r="218" spans="1:24">
      <c r="A218" s="180">
        <v>186</v>
      </c>
      <c r="B218" s="170" t="s">
        <v>270</v>
      </c>
      <c r="C218" s="166" t="s">
        <v>258</v>
      </c>
      <c r="D218" s="57">
        <v>42213029066.989998</v>
      </c>
      <c r="E218" s="52">
        <f t="shared" si="149"/>
        <v>0.49995634640737546</v>
      </c>
      <c r="F218" s="56">
        <v>1266.8699999999999</v>
      </c>
      <c r="G218" s="56">
        <v>1266.8699999999999</v>
      </c>
      <c r="H218" s="53">
        <v>11878</v>
      </c>
      <c r="I218" s="75">
        <v>-2.8899999999999999E-2</v>
      </c>
      <c r="J218" s="75">
        <v>5.7000000000000002E-3</v>
      </c>
      <c r="K218" s="57">
        <v>40992269339.769997</v>
      </c>
      <c r="L218" s="52">
        <f t="shared" si="138"/>
        <v>0.4867674843928374</v>
      </c>
      <c r="M218" s="56">
        <v>1271.83</v>
      </c>
      <c r="N218" s="56">
        <v>1271.83</v>
      </c>
      <c r="O218" s="53">
        <v>11943</v>
      </c>
      <c r="P218" s="75">
        <v>3.8999999999999998E-3</v>
      </c>
      <c r="Q218" s="75">
        <v>9.5999999999999992E-3</v>
      </c>
      <c r="R218" s="81">
        <f t="shared" si="139"/>
        <v>-2.8919026997155681E-2</v>
      </c>
      <c r="S218" s="81">
        <f t="shared" si="140"/>
        <v>3.9151609873152235E-3</v>
      </c>
      <c r="T218" s="81">
        <f t="shared" si="141"/>
        <v>5.4723017342987032E-3</v>
      </c>
      <c r="U218" s="81">
        <f t="shared" si="142"/>
        <v>3.2799999999999996E-2</v>
      </c>
      <c r="V218" s="82">
        <f t="shared" si="143"/>
        <v>3.899999999999999E-3</v>
      </c>
    </row>
    <row r="219" spans="1:24">
      <c r="A219" s="180">
        <v>187</v>
      </c>
      <c r="B219" s="170" t="s">
        <v>271</v>
      </c>
      <c r="C219" s="166" t="s">
        <v>272</v>
      </c>
      <c r="D219" s="57">
        <v>336501393.99000001</v>
      </c>
      <c r="E219" s="52">
        <f t="shared" si="149"/>
        <v>3.9854047723807476E-3</v>
      </c>
      <c r="F219" s="108">
        <v>123.91</v>
      </c>
      <c r="G219" s="108">
        <v>124.7</v>
      </c>
      <c r="H219" s="71">
        <v>130</v>
      </c>
      <c r="I219" s="75">
        <v>4.4999999999999997E-3</v>
      </c>
      <c r="J219" s="75">
        <v>2.2200000000000001E-2</v>
      </c>
      <c r="K219" s="57">
        <v>336482567.69999999</v>
      </c>
      <c r="L219" s="52">
        <f t="shared" si="138"/>
        <v>3.9956015038783554E-3</v>
      </c>
      <c r="M219" s="108">
        <v>123.87</v>
      </c>
      <c r="N219" s="108">
        <v>124.65</v>
      </c>
      <c r="O219" s="71">
        <v>131</v>
      </c>
      <c r="P219" s="75">
        <v>-4.0000000000000002E-4</v>
      </c>
      <c r="Q219" s="75">
        <v>2.18E-2</v>
      </c>
      <c r="R219" s="81">
        <f t="shared" si="139"/>
        <v>-5.5947138217742208E-5</v>
      </c>
      <c r="S219" s="81">
        <f t="shared" si="140"/>
        <v>-4.0096230954288014E-4</v>
      </c>
      <c r="T219" s="81">
        <f t="shared" si="141"/>
        <v>7.6923076923076927E-3</v>
      </c>
      <c r="U219" s="81">
        <f t="shared" si="142"/>
        <v>-4.8999999999999998E-3</v>
      </c>
      <c r="V219" s="82">
        <f t="shared" si="143"/>
        <v>-4.0000000000000105E-4</v>
      </c>
    </row>
    <row r="220" spans="1:24">
      <c r="A220" s="180">
        <v>188</v>
      </c>
      <c r="B220" s="170" t="s">
        <v>273</v>
      </c>
      <c r="C220" s="166" t="s">
        <v>272</v>
      </c>
      <c r="D220" s="57">
        <v>631283340.33000004</v>
      </c>
      <c r="E220" s="52">
        <f t="shared" si="149"/>
        <v>7.4766990039583873E-3</v>
      </c>
      <c r="F220" s="108">
        <v>136.65</v>
      </c>
      <c r="G220" s="108">
        <v>136.65</v>
      </c>
      <c r="H220" s="71">
        <v>148</v>
      </c>
      <c r="I220" s="75">
        <v>2.8999999999999998E-3</v>
      </c>
      <c r="J220" s="75">
        <v>7.6E-3</v>
      </c>
      <c r="K220" s="57">
        <v>649529590.64999998</v>
      </c>
      <c r="L220" s="52">
        <f t="shared" si="138"/>
        <v>7.7129148976552838E-3</v>
      </c>
      <c r="M220" s="108">
        <v>136.97999999999999</v>
      </c>
      <c r="N220" s="108">
        <v>136.97999999999999</v>
      </c>
      <c r="O220" s="71">
        <v>148</v>
      </c>
      <c r="P220" s="75">
        <v>2.3999999999999998E-3</v>
      </c>
      <c r="Q220" s="75">
        <v>1.01E-2</v>
      </c>
      <c r="R220" s="81">
        <f t="shared" si="139"/>
        <v>2.8903424428184343E-2</v>
      </c>
      <c r="S220" s="81">
        <f t="shared" si="140"/>
        <v>2.4149286498352292E-3</v>
      </c>
      <c r="T220" s="81">
        <f t="shared" si="141"/>
        <v>0</v>
      </c>
      <c r="U220" s="81">
        <f t="shared" si="142"/>
        <v>-5.0000000000000001E-4</v>
      </c>
      <c r="V220" s="82">
        <f t="shared" si="143"/>
        <v>2.4999999999999996E-3</v>
      </c>
    </row>
    <row r="221" spans="1:24" ht="13.5" customHeight="1">
      <c r="A221" s="180">
        <v>189</v>
      </c>
      <c r="B221" s="170" t="s">
        <v>274</v>
      </c>
      <c r="C221" s="166" t="s">
        <v>104</v>
      </c>
      <c r="D221" s="57">
        <v>2545028563</v>
      </c>
      <c r="E221" s="52">
        <f t="shared" si="149"/>
        <v>3.0142427823425126E-2</v>
      </c>
      <c r="F221" s="85">
        <v>104.6</v>
      </c>
      <c r="G221" s="85">
        <v>104.6</v>
      </c>
      <c r="H221" s="53">
        <v>778</v>
      </c>
      <c r="I221" s="75">
        <v>3.3E-3</v>
      </c>
      <c r="J221" s="75">
        <v>0.17199999999999999</v>
      </c>
      <c r="K221" s="57">
        <v>2565915827</v>
      </c>
      <c r="L221" s="52">
        <f t="shared" si="138"/>
        <v>3.0469266824922871E-2</v>
      </c>
      <c r="M221" s="85">
        <v>104.95</v>
      </c>
      <c r="N221" s="85">
        <v>104.95</v>
      </c>
      <c r="O221" s="53">
        <v>785</v>
      </c>
      <c r="P221" s="75">
        <v>3.3999999999999998E-3</v>
      </c>
      <c r="Q221" s="75">
        <v>0.16769999999999999</v>
      </c>
      <c r="R221" s="81">
        <f t="shared" si="139"/>
        <v>8.2070843147547031E-3</v>
      </c>
      <c r="S221" s="81">
        <f t="shared" si="140"/>
        <v>3.346080305927424E-3</v>
      </c>
      <c r="T221" s="81">
        <f t="shared" si="141"/>
        <v>8.9974293059125968E-3</v>
      </c>
      <c r="U221" s="81">
        <f t="shared" si="142"/>
        <v>9.9999999999999829E-5</v>
      </c>
      <c r="V221" s="82">
        <f t="shared" si="143"/>
        <v>-4.2999999999999983E-3</v>
      </c>
    </row>
    <row r="222" spans="1:24" ht="15.75" customHeight="1">
      <c r="A222" s="180">
        <v>190</v>
      </c>
      <c r="B222" s="170" t="s">
        <v>275</v>
      </c>
      <c r="C222" s="166" t="s">
        <v>50</v>
      </c>
      <c r="D222" s="57">
        <v>3801582826.3000002</v>
      </c>
      <c r="E222" s="52">
        <f t="shared" si="149"/>
        <v>4.5024616863806988E-2</v>
      </c>
      <c r="F222" s="85">
        <v>145.22999999999999</v>
      </c>
      <c r="G222" s="85">
        <v>145.22999999999999</v>
      </c>
      <c r="H222" s="53">
        <v>1977</v>
      </c>
      <c r="I222" s="75">
        <v>2.5000000000000001E-3</v>
      </c>
      <c r="J222" s="75">
        <v>5.5999999999999999E-3</v>
      </c>
      <c r="K222" s="57">
        <v>3821039388.71</v>
      </c>
      <c r="L222" s="52">
        <f t="shared" si="138"/>
        <v>4.5373377979925904E-2</v>
      </c>
      <c r="M222" s="85">
        <v>145.58000000000001</v>
      </c>
      <c r="N222" s="85">
        <v>145.58000000000001</v>
      </c>
      <c r="O222" s="53">
        <v>2023</v>
      </c>
      <c r="P222" s="75">
        <v>2.3999999999999998E-3</v>
      </c>
      <c r="Q222" s="75">
        <v>8.0000000000000002E-3</v>
      </c>
      <c r="R222" s="81">
        <f t="shared" si="139"/>
        <v>5.1180161787863785E-3</v>
      </c>
      <c r="S222" s="81">
        <f t="shared" si="140"/>
        <v>2.409970391792486E-3</v>
      </c>
      <c r="T222" s="81">
        <f t="shared" si="141"/>
        <v>2.3267577137076379E-2</v>
      </c>
      <c r="U222" s="81">
        <f t="shared" si="142"/>
        <v>-1.0000000000000026E-4</v>
      </c>
      <c r="V222" s="82">
        <f t="shared" si="143"/>
        <v>2.4000000000000002E-3</v>
      </c>
    </row>
    <row r="223" spans="1:24">
      <c r="A223" s="182">
        <v>191</v>
      </c>
      <c r="B223" s="170" t="s">
        <v>276</v>
      </c>
      <c r="C223" s="166" t="s">
        <v>53</v>
      </c>
      <c r="D223" s="57">
        <v>4030806555.5799999</v>
      </c>
      <c r="E223" s="52">
        <f t="shared" si="149"/>
        <v>4.7739462510605617E-2</v>
      </c>
      <c r="F223" s="85">
        <v>1.2270000000000001</v>
      </c>
      <c r="G223" s="85">
        <v>1.2270000000000001</v>
      </c>
      <c r="H223" s="53">
        <v>2056</v>
      </c>
      <c r="I223" s="75">
        <v>2.5999999999999999E-3</v>
      </c>
      <c r="J223" s="75">
        <v>-5.9400000000000001E-2</v>
      </c>
      <c r="K223" s="57">
        <v>4038673481.4200001</v>
      </c>
      <c r="L223" s="52">
        <f t="shared" si="138"/>
        <v>4.7957699402789551E-2</v>
      </c>
      <c r="M223" s="85">
        <v>1.2291000000000001</v>
      </c>
      <c r="N223" s="85">
        <v>1.2291000000000001</v>
      </c>
      <c r="O223" s="53">
        <v>2070</v>
      </c>
      <c r="P223" s="75">
        <v>1.6999999999999999E-3</v>
      </c>
      <c r="Q223" s="75">
        <v>-1.54E-2</v>
      </c>
      <c r="R223" s="81">
        <f t="shared" si="139"/>
        <v>1.9517001700589342E-3</v>
      </c>
      <c r="S223" s="81">
        <f t="shared" si="140"/>
        <v>1.7114914425427796E-3</v>
      </c>
      <c r="T223" s="81">
        <f t="shared" si="141"/>
        <v>6.8093385214007783E-3</v>
      </c>
      <c r="U223" s="81">
        <f t="shared" si="142"/>
        <v>-8.9999999999999998E-4</v>
      </c>
      <c r="V223" s="82">
        <f t="shared" si="143"/>
        <v>4.3999999999999997E-2</v>
      </c>
    </row>
    <row r="224" spans="1:24" ht="6" customHeight="1">
      <c r="A224" s="60"/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</row>
    <row r="225" spans="1:22">
      <c r="A225" s="190" t="s">
        <v>277</v>
      </c>
      <c r="B225" s="190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</row>
    <row r="226" spans="1:22">
      <c r="A226" s="180">
        <v>192</v>
      </c>
      <c r="B226" s="170" t="s">
        <v>278</v>
      </c>
      <c r="C226" s="166" t="s">
        <v>20</v>
      </c>
      <c r="D226" s="106">
        <v>378790513.50999999</v>
      </c>
      <c r="E226" s="52">
        <f>(D226/$D$202)</f>
        <v>4.0651317616524789E-2</v>
      </c>
      <c r="F226" s="107">
        <v>107.43980000000001</v>
      </c>
      <c r="G226" s="107">
        <v>107.43980000000001</v>
      </c>
      <c r="H226" s="55">
        <v>112</v>
      </c>
      <c r="I226" s="76">
        <v>1.26E-2</v>
      </c>
      <c r="J226" s="76">
        <v>2.4400000000000002E-2</v>
      </c>
      <c r="K226" s="106">
        <v>380399627.83999997</v>
      </c>
      <c r="L226" s="79">
        <f>(K226/K227)</f>
        <v>6.2743411092918561E-2</v>
      </c>
      <c r="M226" s="107">
        <v>107.5782</v>
      </c>
      <c r="N226" s="107">
        <v>107.5782</v>
      </c>
      <c r="O226" s="55">
        <v>112</v>
      </c>
      <c r="P226" s="76">
        <v>1.3899999999999999E-2</v>
      </c>
      <c r="Q226" s="76">
        <v>2.5700000000000001E-2</v>
      </c>
      <c r="R226" s="81">
        <f>((K226-D226)/D226)</f>
        <v>4.2480322833045366E-3</v>
      </c>
      <c r="S226" s="81">
        <f t="shared" ref="S226" si="150">((N226-G226)/G226)</f>
        <v>1.2881632318748738E-3</v>
      </c>
      <c r="T226" s="81">
        <f t="shared" ref="T226" si="151">((O226-H226)/H226)</f>
        <v>0</v>
      </c>
      <c r="U226" s="81">
        <f t="shared" ref="U226" si="152">P226-I226</f>
        <v>1.2999999999999991E-3</v>
      </c>
      <c r="V226" s="82">
        <f t="shared" ref="V226" si="153">Q226-J226</f>
        <v>1.2999999999999991E-3</v>
      </c>
    </row>
    <row r="227" spans="1:22">
      <c r="A227" s="180">
        <v>193</v>
      </c>
      <c r="B227" s="170" t="s">
        <v>279</v>
      </c>
      <c r="C227" s="166" t="s">
        <v>24</v>
      </c>
      <c r="D227" s="106">
        <v>5616346462.1599998</v>
      </c>
      <c r="E227" s="52">
        <f>(D227/$D$202)</f>
        <v>0.6027391809844892</v>
      </c>
      <c r="F227" s="107">
        <v>110.2376</v>
      </c>
      <c r="G227" s="107">
        <v>113.56140000000001</v>
      </c>
      <c r="H227" s="55">
        <v>3868</v>
      </c>
      <c r="I227" s="76">
        <v>0.78039999999999998</v>
      </c>
      <c r="J227" s="76">
        <v>1.3372999999999999</v>
      </c>
      <c r="K227" s="106">
        <v>6062782070.8800001</v>
      </c>
      <c r="L227" s="79">
        <f>(K227/$K$202)</f>
        <v>0.60813226637459805</v>
      </c>
      <c r="M227" s="107">
        <v>110.7253</v>
      </c>
      <c r="N227" s="107">
        <v>114.0637</v>
      </c>
      <c r="O227" s="55">
        <v>3903</v>
      </c>
      <c r="P227" s="76">
        <v>0.2306</v>
      </c>
      <c r="Q227" s="76">
        <v>1.0045999999999999</v>
      </c>
      <c r="R227" s="81">
        <f>((K227-D227)/D227)</f>
        <v>7.948861626109599E-2</v>
      </c>
      <c r="S227" s="81">
        <f t="shared" ref="S227" si="154">((N227-G227)/G227)</f>
        <v>4.4231578687827997E-3</v>
      </c>
      <c r="T227" s="81">
        <f t="shared" ref="T227" si="155">((O227-H227)/H227)</f>
        <v>9.0486039296794208E-3</v>
      </c>
      <c r="U227" s="81">
        <f t="shared" ref="U227" si="156">P227-I227</f>
        <v>-0.54979999999999996</v>
      </c>
      <c r="V227" s="82">
        <f t="shared" ref="V227" si="157">Q227-J227</f>
        <v>-0.3327</v>
      </c>
    </row>
    <row r="228" spans="1:22">
      <c r="A228" s="180">
        <v>194</v>
      </c>
      <c r="B228" s="170" t="s">
        <v>280</v>
      </c>
      <c r="C228" s="166" t="s">
        <v>258</v>
      </c>
      <c r="D228" s="57">
        <v>292077201.14999998</v>
      </c>
      <c r="E228" s="52">
        <f t="shared" ref="E228" si="158">(D228/$D$230)</f>
        <v>3.4592601759070698E-3</v>
      </c>
      <c r="F228" s="56">
        <v>1283.92</v>
      </c>
      <c r="G228" s="56">
        <v>1283.92</v>
      </c>
      <c r="H228" s="53">
        <v>167</v>
      </c>
      <c r="I228" s="75">
        <v>1.26E-2</v>
      </c>
      <c r="J228" s="75">
        <v>3.0599999999999999E-2</v>
      </c>
      <c r="K228" s="57">
        <v>296584760.88</v>
      </c>
      <c r="L228" s="52">
        <f t="shared" ref="L228" si="159">(K228/$K$230)</f>
        <v>3.5218303423554457E-3</v>
      </c>
      <c r="M228" s="56">
        <v>1292.73</v>
      </c>
      <c r="N228" s="56">
        <v>1292.73</v>
      </c>
      <c r="O228" s="53">
        <v>167</v>
      </c>
      <c r="P228" s="75">
        <v>1.44E-2</v>
      </c>
      <c r="Q228" s="75">
        <v>4.5600000000000002E-2</v>
      </c>
      <c r="R228" s="81">
        <f t="shared" ref="R228" si="160">((K228-D228)/D228)</f>
        <v>1.5432768159419278E-2</v>
      </c>
      <c r="S228" s="81">
        <f t="shared" ref="S228" si="161">((N228-G228)/G228)</f>
        <v>6.8617982428811333E-3</v>
      </c>
      <c r="T228" s="81">
        <f t="shared" ref="T228" si="162">((O228-H228)/H228)</f>
        <v>0</v>
      </c>
      <c r="U228" s="81">
        <f t="shared" ref="U228" si="163">P228-I228</f>
        <v>1.7999999999999995E-3</v>
      </c>
      <c r="V228" s="82">
        <f t="shared" ref="V228" si="164">Q228-J228</f>
        <v>1.5000000000000003E-2</v>
      </c>
    </row>
    <row r="229" spans="1:22">
      <c r="A229" s="180">
        <v>195</v>
      </c>
      <c r="B229" s="170" t="s">
        <v>281</v>
      </c>
      <c r="C229" s="166" t="s">
        <v>282</v>
      </c>
      <c r="D229" s="57">
        <v>155284932.81999999</v>
      </c>
      <c r="E229" s="52">
        <f t="shared" ref="E229" si="165">(D229/$D$230)</f>
        <v>1.8391404118761041E-3</v>
      </c>
      <c r="F229" s="56">
        <v>117.29</v>
      </c>
      <c r="G229" s="56">
        <v>119.71</v>
      </c>
      <c r="H229" s="53">
        <v>314</v>
      </c>
      <c r="I229" s="75">
        <v>3.0999999999999999E-3</v>
      </c>
      <c r="J229" s="75">
        <v>0.10249999999999999</v>
      </c>
      <c r="K229" s="57">
        <v>152810487.81</v>
      </c>
      <c r="L229" s="52">
        <f t="shared" ref="L229" si="166">(K229/$K$230)</f>
        <v>1.8145659642207405E-3</v>
      </c>
      <c r="M229" s="56">
        <v>117.66</v>
      </c>
      <c r="N229" s="56">
        <v>120.09</v>
      </c>
      <c r="O229" s="53">
        <v>311</v>
      </c>
      <c r="P229" s="75">
        <v>3.0999999999999999E-3</v>
      </c>
      <c r="Q229" s="75">
        <v>0.1067</v>
      </c>
      <c r="R229" s="81">
        <f t="shared" ref="R229" si="167">((K229-D229)/D229)</f>
        <v>-1.5934868664098063E-2</v>
      </c>
      <c r="S229" s="81">
        <f t="shared" ref="S229" si="168">((N229-G229)/G229)</f>
        <v>3.1743379834601091E-3</v>
      </c>
      <c r="T229" s="81">
        <f t="shared" ref="T229" si="169">((O229-H229)/H229)</f>
        <v>-9.5541401273885346E-3</v>
      </c>
      <c r="U229" s="81">
        <f t="shared" ref="U229" si="170">P229-I229</f>
        <v>0</v>
      </c>
      <c r="V229" s="82">
        <f t="shared" ref="V229" si="171">Q229-J229</f>
        <v>4.2000000000000093E-3</v>
      </c>
    </row>
    <row r="230" spans="1:22">
      <c r="A230" s="60"/>
      <c r="B230" s="61"/>
      <c r="C230" s="96" t="s">
        <v>56</v>
      </c>
      <c r="D230" s="84">
        <f>SUM(D206:D229)</f>
        <v>84433429779.074936</v>
      </c>
      <c r="E230" s="64">
        <f>(D230/$D$231)</f>
        <v>1.0515609167134172E-2</v>
      </c>
      <c r="F230" s="65"/>
      <c r="G230" s="99"/>
      <c r="H230" s="109">
        <f>SUM(H206:H229)</f>
        <v>42108</v>
      </c>
      <c r="I230" s="101"/>
      <c r="J230" s="101"/>
      <c r="K230" s="84">
        <f>SUM(K206:K229)</f>
        <v>84213244832.69693</v>
      </c>
      <c r="L230" s="64">
        <f>(K230/$K$231)</f>
        <v>1.0453306689113718E-2</v>
      </c>
      <c r="M230" s="65"/>
      <c r="N230" s="99"/>
      <c r="O230" s="67">
        <f>SUM(O206:O229)</f>
        <v>42518</v>
      </c>
      <c r="P230" s="101"/>
      <c r="Q230" s="101"/>
      <c r="R230" s="81">
        <f t="shared" si="139"/>
        <v>-2.6077934646754597E-3</v>
      </c>
      <c r="S230" s="81" t="e">
        <f t="shared" si="140"/>
        <v>#DIV/0!</v>
      </c>
      <c r="T230" s="81">
        <f t="shared" si="141"/>
        <v>9.7368671036382626E-3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283</v>
      </c>
      <c r="D231" s="112">
        <f>SUM(D26,D72,D114,D156,D165,D197,D202,D230)</f>
        <v>8029342707312.2813</v>
      </c>
      <c r="E231" s="113"/>
      <c r="F231" s="113"/>
      <c r="G231" s="114"/>
      <c r="H231" s="112">
        <f>SUM(H26,H72,H114,H156,H165,H197,H202,H230)</f>
        <v>1144352</v>
      </c>
      <c r="I231" s="124"/>
      <c r="J231" s="124"/>
      <c r="K231" s="112">
        <f>SUM(K26,K72,K114,K156,K165,K197,K202,K230)</f>
        <v>8056134516783.8887</v>
      </c>
      <c r="L231" s="113"/>
      <c r="M231" s="113"/>
      <c r="N231" s="114"/>
      <c r="O231" s="112">
        <f>SUM(O26,O72,O114,O156,O165,O197,O202,O230)</f>
        <v>1153293</v>
      </c>
      <c r="P231" s="125"/>
      <c r="Q231" s="112"/>
      <c r="R231" s="129">
        <f t="shared" si="139"/>
        <v>3.3367375697151719E-3</v>
      </c>
      <c r="S231" s="129"/>
      <c r="T231" s="129"/>
      <c r="U231" s="129"/>
      <c r="V231" s="129"/>
    </row>
    <row r="232" spans="1:22" ht="6.75" customHeight="1">
      <c r="A232" s="60"/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61"/>
    </row>
    <row r="233" spans="1:22" ht="14.4" customHeight="1">
      <c r="A233" s="187" t="s">
        <v>284</v>
      </c>
      <c r="B233" s="187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</row>
    <row r="234" spans="1:22" ht="14.4" customHeight="1">
      <c r="A234" s="180">
        <v>1</v>
      </c>
      <c r="B234" s="170" t="s">
        <v>285</v>
      </c>
      <c r="C234" s="166" t="s">
        <v>24</v>
      </c>
      <c r="D234" s="57">
        <v>1882510318.6829591</v>
      </c>
      <c r="E234" s="52">
        <f t="shared" ref="E234:E237" si="172">(D234/$D$230)</f>
        <v>2.2295793545384319E-2</v>
      </c>
      <c r="F234" s="56">
        <v>1471.54674574</v>
      </c>
      <c r="G234" s="56">
        <v>1471.54674574</v>
      </c>
      <c r="H234" s="53">
        <v>51</v>
      </c>
      <c r="I234" s="75">
        <v>7.5499999999999998E-2</v>
      </c>
      <c r="J234" s="75">
        <v>2.64E-2</v>
      </c>
      <c r="K234" s="57">
        <f>1320863.74*W137</f>
        <v>1877774895.67311</v>
      </c>
      <c r="L234" s="52">
        <f>(K234/$K$239)</f>
        <v>9.7237634025059999E-2</v>
      </c>
      <c r="M234" s="56">
        <f>1.0396*W137</f>
        <v>1477.9229094000002</v>
      </c>
      <c r="N234" s="56">
        <f>1.0396*W137</f>
        <v>1477.9229094000002</v>
      </c>
      <c r="O234" s="53">
        <v>52</v>
      </c>
      <c r="P234" s="75">
        <v>9.0399999999999994E-2</v>
      </c>
      <c r="Q234" s="75">
        <v>4.5900000000000003E-2</v>
      </c>
      <c r="R234" s="81">
        <f t="shared" ref="R234" si="173">((K234-D234)/D234)</f>
        <v>-2.51548316248384E-3</v>
      </c>
      <c r="S234" s="81">
        <f t="shared" ref="S234" si="174">((N234-G234)/G234)</f>
        <v>4.3329671167148731E-3</v>
      </c>
      <c r="T234" s="81">
        <f t="shared" ref="T234" si="175">((O234-H234)/H234)</f>
        <v>1.9607843137254902E-2</v>
      </c>
      <c r="U234" s="81">
        <f t="shared" ref="U234" si="176">P234-I234</f>
        <v>1.4899999999999997E-2</v>
      </c>
      <c r="V234" s="82">
        <f t="shared" ref="V234" si="177">Q234-J234</f>
        <v>1.9500000000000003E-2</v>
      </c>
    </row>
    <row r="235" spans="1:22" ht="14.4" customHeight="1">
      <c r="A235" s="180">
        <v>2</v>
      </c>
      <c r="B235" s="170" t="s">
        <v>286</v>
      </c>
      <c r="C235" s="166" t="s">
        <v>214</v>
      </c>
      <c r="D235" s="57">
        <v>4170284582.0599999</v>
      </c>
      <c r="E235" s="52">
        <f t="shared" ref="E235" si="178">(D235/$D$230)</f>
        <v>4.9391391454448742E-2</v>
      </c>
      <c r="F235" s="56">
        <v>123.2</v>
      </c>
      <c r="G235" s="56">
        <v>123.2</v>
      </c>
      <c r="H235" s="53">
        <v>9</v>
      </c>
      <c r="I235" s="75">
        <v>5.1999999999999998E-3</v>
      </c>
      <c r="J235" s="75">
        <v>1.38E-2</v>
      </c>
      <c r="K235" s="57">
        <v>4191991325.02</v>
      </c>
      <c r="L235" s="52">
        <f>(K235/$K$239)</f>
        <v>0.21707570978703775</v>
      </c>
      <c r="M235" s="56">
        <v>123.2</v>
      </c>
      <c r="N235" s="56">
        <v>123.2</v>
      </c>
      <c r="O235" s="53">
        <v>9</v>
      </c>
      <c r="P235" s="75">
        <v>5.1999999999999998E-3</v>
      </c>
      <c r="Q235" s="75">
        <v>1.9099999999999999E-2</v>
      </c>
      <c r="R235" s="81">
        <f t="shared" ref="R235" si="179">((K235-D235)/D235)</f>
        <v>5.2050987247679713E-3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0</v>
      </c>
      <c r="V235" s="82">
        <f t="shared" ref="V235" si="183">Q235-J235</f>
        <v>5.2999999999999992E-3</v>
      </c>
    </row>
    <row r="236" spans="1:22" ht="14.4" customHeight="1">
      <c r="A236" s="180">
        <v>3</v>
      </c>
      <c r="B236" s="170" t="s">
        <v>287</v>
      </c>
      <c r="C236" s="166" t="s">
        <v>32</v>
      </c>
      <c r="D236" s="57">
        <v>702057568.34639597</v>
      </c>
      <c r="E236" s="52">
        <f>(D236/$D$230)</f>
        <v>8.3149241974816279E-3</v>
      </c>
      <c r="F236" s="56">
        <v>158072.87648400001</v>
      </c>
      <c r="G236" s="56">
        <v>158072.87648400001</v>
      </c>
      <c r="H236" s="53">
        <v>7</v>
      </c>
      <c r="I236" s="75">
        <v>-5.7000000000000002E-3</v>
      </c>
      <c r="J236" s="75">
        <v>-2.8E-3</v>
      </c>
      <c r="K236" s="57">
        <f>769938.38*W137</f>
        <v>1094564804.3750701</v>
      </c>
      <c r="L236" s="52">
        <f>(K236/$K$239)</f>
        <v>5.6680325266773982E-2</v>
      </c>
      <c r="M236" s="56">
        <f>111.9*W137</f>
        <v>159080.00535000002</v>
      </c>
      <c r="N236" s="56">
        <f>111.9*W137</f>
        <v>159080.00535000002</v>
      </c>
      <c r="O236" s="53">
        <v>10</v>
      </c>
      <c r="P236" s="75">
        <v>3.8E-3</v>
      </c>
      <c r="Q236" s="75">
        <v>1E-3</v>
      </c>
      <c r="R236" s="81">
        <f t="shared" ref="R236:R237" si="184">((K236-D236)/D236)</f>
        <v>0.55908126872440556</v>
      </c>
      <c r="S236" s="81">
        <f t="shared" ref="S236:S237" si="185">((N236-G236)/G236)</f>
        <v>6.3712946104447863E-3</v>
      </c>
      <c r="T236" s="81">
        <f t="shared" ref="T236:T237" si="186">((O236-H236)/H236)</f>
        <v>0.42857142857142855</v>
      </c>
      <c r="U236" s="81">
        <f t="shared" ref="U236:U237" si="187">P236-I236</f>
        <v>9.4999999999999998E-3</v>
      </c>
      <c r="V236" s="82">
        <f t="shared" ref="V236:V237" si="188">Q236-J236</f>
        <v>3.8E-3</v>
      </c>
    </row>
    <row r="237" spans="1:22" ht="14.4" customHeight="1">
      <c r="A237" s="180">
        <v>4</v>
      </c>
      <c r="B237" s="170" t="s">
        <v>288</v>
      </c>
      <c r="C237" s="166" t="s">
        <v>42</v>
      </c>
      <c r="D237" s="57">
        <v>11924604167.559999</v>
      </c>
      <c r="E237" s="52">
        <f t="shared" si="172"/>
        <v>0.14123083947627654</v>
      </c>
      <c r="F237" s="56">
        <v>1.1399999999999999</v>
      </c>
      <c r="G237" s="56">
        <v>1.1399999999999999</v>
      </c>
      <c r="H237" s="53">
        <v>16</v>
      </c>
      <c r="I237" s="75">
        <v>-8.2900000000000001E-2</v>
      </c>
      <c r="J237" s="75">
        <v>-2.4165000000000001</v>
      </c>
      <c r="K237" s="57">
        <v>11956154704.129999</v>
      </c>
      <c r="L237" s="52">
        <f>(K237/$K$239)</f>
        <v>0.61913075850896881</v>
      </c>
      <c r="M237" s="56">
        <v>1.1499999999999999</v>
      </c>
      <c r="N237" s="56">
        <v>1.1499999999999999</v>
      </c>
      <c r="O237" s="53">
        <v>16</v>
      </c>
      <c r="P237" s="75">
        <v>-8.0399999999999999E-2</v>
      </c>
      <c r="Q237" s="75">
        <v>-1.6435</v>
      </c>
      <c r="R237" s="81">
        <f t="shared" si="184"/>
        <v>2.6458351259851954E-3</v>
      </c>
      <c r="S237" s="81">
        <f t="shared" si="185"/>
        <v>8.7719298245614117E-3</v>
      </c>
      <c r="T237" s="81">
        <f t="shared" si="186"/>
        <v>0</v>
      </c>
      <c r="U237" s="81">
        <f t="shared" si="187"/>
        <v>2.5000000000000022E-3</v>
      </c>
      <c r="V237" s="82">
        <f t="shared" si="188"/>
        <v>0.77300000000000013</v>
      </c>
    </row>
    <row r="238" spans="1:22" ht="14.4" customHeight="1">
      <c r="A238" s="180">
        <v>5</v>
      </c>
      <c r="B238" s="170" t="s">
        <v>289</v>
      </c>
      <c r="C238" s="166" t="s">
        <v>53</v>
      </c>
      <c r="D238" s="57">
        <v>186893026.12</v>
      </c>
      <c r="E238" s="52">
        <f t="shared" ref="E238" si="189">(D238/$D$230)</f>
        <v>2.213495609606487E-3</v>
      </c>
      <c r="F238" s="56">
        <v>1.1919999999999999</v>
      </c>
      <c r="G238" s="56">
        <v>1.1919999999999999</v>
      </c>
      <c r="H238" s="53">
        <v>17</v>
      </c>
      <c r="I238" s="75">
        <v>1.26E-2</v>
      </c>
      <c r="J238" s="75">
        <v>6.9000000000000006E-2</v>
      </c>
      <c r="K238" s="57">
        <v>190709102.93000001</v>
      </c>
      <c r="L238" s="52">
        <f>(K238/$K$239)</f>
        <v>9.8755724121593873E-3</v>
      </c>
      <c r="M238" s="56">
        <v>1.1847000000000001</v>
      </c>
      <c r="N238" s="56">
        <v>1.1847000000000001</v>
      </c>
      <c r="O238" s="53">
        <v>20</v>
      </c>
      <c r="P238" s="75">
        <v>-6.4000000000000003E-3</v>
      </c>
      <c r="Q238" s="75">
        <v>6.2399999999999997E-2</v>
      </c>
      <c r="R238" s="81">
        <f t="shared" ref="R238:R239" si="190">((K238-D238)/D238)</f>
        <v>2.0418508326521406E-2</v>
      </c>
      <c r="S238" s="81">
        <f t="shared" ref="S238" si="191">((N238-G238)/G238)</f>
        <v>-6.124161073825388E-3</v>
      </c>
      <c r="T238" s="81">
        <f t="shared" ref="T238" si="192">((O238-H238)/H238)</f>
        <v>0.17647058823529413</v>
      </c>
      <c r="U238" s="81">
        <f t="shared" ref="U238" si="193">P238-I238</f>
        <v>-1.9E-2</v>
      </c>
      <c r="V238" s="82">
        <f t="shared" ref="V238" si="194">Q238-J238</f>
        <v>-6.6000000000000086E-3</v>
      </c>
    </row>
    <row r="239" spans="1:22" ht="14.4" customHeight="1">
      <c r="A239" s="115"/>
      <c r="B239" s="115"/>
      <c r="C239" s="115" t="s">
        <v>56</v>
      </c>
      <c r="D239" s="115">
        <f>SUM(D234:D238)</f>
        <v>18866349662.769352</v>
      </c>
      <c r="E239" s="115"/>
      <c r="F239" s="115"/>
      <c r="G239" s="115"/>
      <c r="H239" s="115">
        <f>SUM(H234:H238)</f>
        <v>100</v>
      </c>
      <c r="I239" s="115"/>
      <c r="J239" s="115"/>
      <c r="K239" s="115">
        <f>SUM(K234:K238)</f>
        <v>19311194832.128181</v>
      </c>
      <c r="L239" s="64"/>
      <c r="M239" s="115"/>
      <c r="N239" s="115"/>
      <c r="O239" s="115">
        <f>SUM(O234:O238)</f>
        <v>107</v>
      </c>
      <c r="P239" s="115"/>
      <c r="Q239" s="115"/>
      <c r="R239" s="129">
        <f t="shared" si="190"/>
        <v>2.3578762045139135E-2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87" t="s">
        <v>290</v>
      </c>
      <c r="B241" s="187"/>
      <c r="C241" s="187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</row>
    <row r="242" spans="1:22">
      <c r="A242" s="180">
        <v>1</v>
      </c>
      <c r="B242" s="170" t="s">
        <v>291</v>
      </c>
      <c r="C242" s="166" t="s">
        <v>292</v>
      </c>
      <c r="D242" s="57">
        <v>130673357691</v>
      </c>
      <c r="E242" s="52">
        <f>(D242/$D$244)</f>
        <v>0.89459386611761171</v>
      </c>
      <c r="F242" s="85">
        <v>108.35</v>
      </c>
      <c r="G242" s="85">
        <v>108.35</v>
      </c>
      <c r="H242" s="53">
        <v>0</v>
      </c>
      <c r="I242" s="75">
        <v>0.20979999999999999</v>
      </c>
      <c r="J242" s="75">
        <v>0.20979999999999999</v>
      </c>
      <c r="K242" s="57">
        <v>130673357691</v>
      </c>
      <c r="L242" s="52">
        <f>(K242/$K$244)</f>
        <v>0.89436273172779701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80">
        <v>2</v>
      </c>
      <c r="B243" s="170" t="s">
        <v>293</v>
      </c>
      <c r="C243" s="166" t="s">
        <v>53</v>
      </c>
      <c r="D243" s="57">
        <v>15396677707.41</v>
      </c>
      <c r="E243" s="52">
        <f>(D243/$D$244)</f>
        <v>0.10540613388238827</v>
      </c>
      <c r="F243" s="116">
        <v>1000000</v>
      </c>
      <c r="G243" s="116">
        <v>1000000</v>
      </c>
      <c r="H243" s="53">
        <v>26</v>
      </c>
      <c r="I243" s="75">
        <v>0.2039</v>
      </c>
      <c r="J243" s="75">
        <v>0.2039</v>
      </c>
      <c r="K243" s="57">
        <v>15434427277.360001</v>
      </c>
      <c r="L243" s="52">
        <f>(K243/$K$244)</f>
        <v>0.10563726827220306</v>
      </c>
      <c r="M243" s="116">
        <v>1000000</v>
      </c>
      <c r="N243" s="116">
        <v>1000000</v>
      </c>
      <c r="O243" s="53">
        <v>26</v>
      </c>
      <c r="P243" s="75">
        <v>0.2031</v>
      </c>
      <c r="Q243" s="75">
        <v>0.2031</v>
      </c>
      <c r="R243" s="81">
        <f>((K243-D243)/D243)</f>
        <v>2.4517997107800032E-3</v>
      </c>
      <c r="S243" s="81">
        <f>((N243-G243)/G243)</f>
        <v>0</v>
      </c>
      <c r="T243" s="81">
        <f>((O243-H243)/H243)</f>
        <v>0</v>
      </c>
      <c r="U243" s="81">
        <f>P243-I243</f>
        <v>-7.9999999999999516E-4</v>
      </c>
      <c r="V243" s="82">
        <f>Q243-J243</f>
        <v>-7.9999999999999516E-4</v>
      </c>
    </row>
    <row r="244" spans="1:22" ht="15" customHeight="1">
      <c r="A244" s="110"/>
      <c r="B244" s="110"/>
      <c r="C244" s="111" t="s">
        <v>294</v>
      </c>
      <c r="D244" s="115">
        <f>SUM(D242:D243)</f>
        <v>146070035398.41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146107784968.35999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2.584347285671473E-4</v>
      </c>
      <c r="S244" s="130"/>
      <c r="T244" s="130"/>
      <c r="U244" s="129"/>
      <c r="V244" s="131"/>
    </row>
    <row r="245" spans="1:22" ht="4.5" customHeight="1">
      <c r="A245" s="60"/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</row>
    <row r="246" spans="1:22" ht="15.6">
      <c r="A246" s="187" t="s">
        <v>295</v>
      </c>
      <c r="B246" s="187"/>
      <c r="C246" s="187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</row>
    <row r="247" spans="1:22">
      <c r="A247" s="180">
        <v>1</v>
      </c>
      <c r="B247" s="170" t="s">
        <v>296</v>
      </c>
      <c r="C247" s="166" t="s">
        <v>94</v>
      </c>
      <c r="D247" s="119">
        <v>1567003924.9000001</v>
      </c>
      <c r="E247" s="120">
        <f t="shared" ref="E247:E258" si="195">(D247/$D$259)</f>
        <v>8.0869016210282862E-2</v>
      </c>
      <c r="F247" s="116">
        <v>382.89</v>
      </c>
      <c r="G247" s="116">
        <v>352.48</v>
      </c>
      <c r="H247" s="121">
        <v>266</v>
      </c>
      <c r="I247" s="77">
        <v>8.5099999999999995E-2</v>
      </c>
      <c r="J247" s="77">
        <v>8.4599999999999995E-2</v>
      </c>
      <c r="K247" s="119">
        <v>1561841348.48</v>
      </c>
      <c r="L247" s="120">
        <f t="shared" ref="L247:L258" si="196">(K247/$K$259)</f>
        <v>8.0309639226002011E-2</v>
      </c>
      <c r="M247" s="116">
        <v>381.62411691</v>
      </c>
      <c r="N247" s="116">
        <v>381.62411691</v>
      </c>
      <c r="O247" s="121">
        <v>266</v>
      </c>
      <c r="P247" s="77">
        <v>-3.2000000000000002E-3</v>
      </c>
      <c r="Q247" s="77">
        <v>8.1100000000000005E-2</v>
      </c>
      <c r="R247" s="81">
        <f>((K247-D247)/D247)</f>
        <v>-3.2945523224069341E-3</v>
      </c>
      <c r="S247" s="81">
        <f>((N247-G247)/G247)</f>
        <v>8.2683037080117955E-2</v>
      </c>
      <c r="T247" s="81">
        <f>((O247-H247)/H247)</f>
        <v>0</v>
      </c>
      <c r="U247" s="81">
        <f>P247-I247</f>
        <v>-8.829999999999999E-2</v>
      </c>
      <c r="V247" s="82">
        <f>Q247-J247</f>
        <v>-3.4999999999999892E-3</v>
      </c>
    </row>
    <row r="248" spans="1:22">
      <c r="A248" s="180">
        <v>2</v>
      </c>
      <c r="B248" s="170" t="s">
        <v>297</v>
      </c>
      <c r="C248" s="166" t="s">
        <v>258</v>
      </c>
      <c r="D248" s="119">
        <v>2234652841.3099999</v>
      </c>
      <c r="E248" s="120">
        <f t="shared" si="195"/>
        <v>0.11532464850704538</v>
      </c>
      <c r="F248" s="116">
        <v>63.56</v>
      </c>
      <c r="G248" s="116">
        <v>70.25</v>
      </c>
      <c r="H248" s="121">
        <v>615</v>
      </c>
      <c r="I248" s="77">
        <v>2.1100000000000001E-2</v>
      </c>
      <c r="J248" s="77">
        <v>8.4000000000000005E-2</v>
      </c>
      <c r="K248" s="119">
        <v>2238878609.8099999</v>
      </c>
      <c r="L248" s="120">
        <f t="shared" si="196"/>
        <v>0.11512278990413505</v>
      </c>
      <c r="M248" s="116">
        <v>63.68</v>
      </c>
      <c r="N248" s="116">
        <v>70.38</v>
      </c>
      <c r="O248" s="121">
        <v>615</v>
      </c>
      <c r="P248" s="77">
        <v>1.9E-3</v>
      </c>
      <c r="Q248" s="77">
        <v>8.5999999999999993E-2</v>
      </c>
      <c r="R248" s="81">
        <f t="shared" ref="R248:R259" si="197">((K248-D248)/D248)</f>
        <v>1.8910178896167007E-3</v>
      </c>
      <c r="S248" s="81">
        <f t="shared" ref="S248:S259" si="198">((N248-G248)/G248)</f>
        <v>1.8505338078291167E-3</v>
      </c>
      <c r="T248" s="81">
        <f t="shared" ref="T248:T259" si="199">((O248-H248)/H248)</f>
        <v>0</v>
      </c>
      <c r="U248" s="81">
        <f t="shared" ref="U248:U259" si="200">P248-I248</f>
        <v>-1.9200000000000002E-2</v>
      </c>
      <c r="V248" s="82">
        <f t="shared" ref="V248:V259" si="201">Q248-J248</f>
        <v>1.9999999999999879E-3</v>
      </c>
    </row>
    <row r="249" spans="1:22">
      <c r="A249" s="180">
        <v>3</v>
      </c>
      <c r="B249" s="170" t="s">
        <v>298</v>
      </c>
      <c r="C249" s="166" t="s">
        <v>44</v>
      </c>
      <c r="D249" s="119">
        <v>532407891.05000001</v>
      </c>
      <c r="E249" s="120">
        <f t="shared" si="195"/>
        <v>2.7476193063493814E-2</v>
      </c>
      <c r="F249" s="116">
        <v>44.36</v>
      </c>
      <c r="G249" s="116">
        <v>44.46</v>
      </c>
      <c r="H249" s="121">
        <v>218</v>
      </c>
      <c r="I249" s="77">
        <v>0.3075</v>
      </c>
      <c r="J249" s="77">
        <v>9.7199999999999995E-2</v>
      </c>
      <c r="K249" s="119">
        <v>531275294.99000001</v>
      </c>
      <c r="L249" s="120">
        <f t="shared" si="196"/>
        <v>2.7318093039256638E-2</v>
      </c>
      <c r="M249" s="116">
        <v>44.26</v>
      </c>
      <c r="N249" s="116">
        <v>44.37</v>
      </c>
      <c r="O249" s="121">
        <v>218</v>
      </c>
      <c r="P249" s="77">
        <v>-2.0999999999999999E-3</v>
      </c>
      <c r="Q249" s="77">
        <v>0.12039999999999999</v>
      </c>
      <c r="R249" s="81">
        <f t="shared" si="197"/>
        <v>-2.1273089280595147E-3</v>
      </c>
      <c r="S249" s="81">
        <f t="shared" si="198"/>
        <v>-2.0242914979757853E-3</v>
      </c>
      <c r="T249" s="81">
        <f t="shared" si="199"/>
        <v>0</v>
      </c>
      <c r="U249" s="81">
        <f t="shared" si="200"/>
        <v>-0.30959999999999999</v>
      </c>
      <c r="V249" s="82">
        <f t="shared" si="201"/>
        <v>2.3199999999999998E-2</v>
      </c>
    </row>
    <row r="250" spans="1:22">
      <c r="A250" s="180">
        <v>4</v>
      </c>
      <c r="B250" s="170" t="s">
        <v>299</v>
      </c>
      <c r="C250" s="166" t="s">
        <v>44</v>
      </c>
      <c r="D250" s="119">
        <v>1025125443.0700001</v>
      </c>
      <c r="E250" s="120">
        <f t="shared" si="195"/>
        <v>5.2904070472249543E-2</v>
      </c>
      <c r="F250" s="116">
        <v>87.05</v>
      </c>
      <c r="G250" s="116">
        <v>87.25</v>
      </c>
      <c r="H250" s="121">
        <v>261</v>
      </c>
      <c r="I250" s="77">
        <v>0.16980000000000001</v>
      </c>
      <c r="J250" s="77">
        <v>4.4999999999999998E-2</v>
      </c>
      <c r="K250" s="119">
        <v>1028419639.34</v>
      </c>
      <c r="L250" s="120">
        <f t="shared" si="196"/>
        <v>5.2881177904983687E-2</v>
      </c>
      <c r="M250" s="116">
        <v>87.33</v>
      </c>
      <c r="N250" s="116">
        <v>87.54</v>
      </c>
      <c r="O250" s="121">
        <v>261</v>
      </c>
      <c r="P250" s="77">
        <v>3.2000000000000002E-3</v>
      </c>
      <c r="Q250" s="77">
        <v>4.8300000000000003E-2</v>
      </c>
      <c r="R250" s="81">
        <f t="shared" si="197"/>
        <v>3.2134567454834293E-3</v>
      </c>
      <c r="S250" s="81">
        <f t="shared" si="198"/>
        <v>3.3237822349570919E-3</v>
      </c>
      <c r="T250" s="81">
        <f t="shared" si="199"/>
        <v>0</v>
      </c>
      <c r="U250" s="81">
        <f t="shared" si="200"/>
        <v>-0.1666</v>
      </c>
      <c r="V250" s="82">
        <f t="shared" si="201"/>
        <v>3.3000000000000043E-3</v>
      </c>
    </row>
    <row r="251" spans="1:22">
      <c r="A251" s="180">
        <v>5</v>
      </c>
      <c r="B251" s="170" t="s">
        <v>300</v>
      </c>
      <c r="C251" s="166" t="s">
        <v>301</v>
      </c>
      <c r="D251" s="119">
        <v>2040785591.3599999</v>
      </c>
      <c r="E251" s="120">
        <f t="shared" si="195"/>
        <v>0.10531966158281032</v>
      </c>
      <c r="F251" s="116">
        <v>60000</v>
      </c>
      <c r="G251" s="116">
        <v>63150</v>
      </c>
      <c r="H251" s="121">
        <v>326</v>
      </c>
      <c r="I251" s="77">
        <v>2.1999999999999999E-2</v>
      </c>
      <c r="J251" s="77">
        <v>0.04</v>
      </c>
      <c r="K251" s="119">
        <v>2191192552.48</v>
      </c>
      <c r="L251" s="120">
        <f t="shared" si="196"/>
        <v>0.1126707802528284</v>
      </c>
      <c r="M251" s="116">
        <v>62090</v>
      </c>
      <c r="N251" s="116">
        <v>69850</v>
      </c>
      <c r="O251" s="121">
        <v>326</v>
      </c>
      <c r="P251" s="77">
        <v>7.3999999999999996E-2</v>
      </c>
      <c r="Q251" s="77">
        <v>0.11</v>
      </c>
      <c r="R251" s="81">
        <f t="shared" si="197"/>
        <v>7.3700520895861196E-2</v>
      </c>
      <c r="S251" s="81">
        <f t="shared" si="198"/>
        <v>0.1060965954077593</v>
      </c>
      <c r="T251" s="81">
        <f t="shared" si="199"/>
        <v>0</v>
      </c>
      <c r="U251" s="81">
        <f t="shared" si="200"/>
        <v>5.1999999999999998E-2</v>
      </c>
      <c r="V251" s="82">
        <f t="shared" si="201"/>
        <v>7.0000000000000007E-2</v>
      </c>
    </row>
    <row r="252" spans="1:22">
      <c r="A252" s="180">
        <v>6</v>
      </c>
      <c r="B252" s="170" t="s">
        <v>302</v>
      </c>
      <c r="C252" s="166" t="s">
        <v>303</v>
      </c>
      <c r="D252" s="119">
        <v>1014360194.42</v>
      </c>
      <c r="E252" s="120">
        <f t="shared" si="195"/>
        <v>5.2348503856396847E-2</v>
      </c>
      <c r="F252" s="116">
        <v>3561.97</v>
      </c>
      <c r="G252" s="116">
        <v>3561.97</v>
      </c>
      <c r="H252" s="121">
        <v>214</v>
      </c>
      <c r="I252" s="77">
        <v>2.3400000000000001E-2</v>
      </c>
      <c r="J252" s="77">
        <v>7.2999999999999995E-2</v>
      </c>
      <c r="K252" s="119">
        <v>1014315136.62</v>
      </c>
      <c r="L252" s="120">
        <f t="shared" si="196"/>
        <v>5.2155926568791471E-2</v>
      </c>
      <c r="M252" s="116">
        <v>5439.5</v>
      </c>
      <c r="N252" s="116">
        <v>5439.5</v>
      </c>
      <c r="O252" s="121">
        <v>214</v>
      </c>
      <c r="P252" s="77">
        <v>0</v>
      </c>
      <c r="Q252" s="77">
        <v>7.2900000000000006E-2</v>
      </c>
      <c r="R252" s="81">
        <f t="shared" si="197"/>
        <v>-4.4419921294048682E-5</v>
      </c>
      <c r="S252" s="81">
        <f t="shared" si="198"/>
        <v>0.52710438324859565</v>
      </c>
      <c r="T252" s="81">
        <f t="shared" si="199"/>
        <v>0</v>
      </c>
      <c r="U252" s="81">
        <f t="shared" si="200"/>
        <v>-2.3400000000000001E-2</v>
      </c>
      <c r="V252" s="82">
        <f t="shared" si="201"/>
        <v>-9.9999999999988987E-5</v>
      </c>
    </row>
    <row r="253" spans="1:22">
      <c r="A253" s="180">
        <v>7</v>
      </c>
      <c r="B253" s="170" t="s">
        <v>304</v>
      </c>
      <c r="C253" s="166" t="s">
        <v>303</v>
      </c>
      <c r="D253" s="119">
        <v>1123428309.1300001</v>
      </c>
      <c r="E253" s="120">
        <f t="shared" si="195"/>
        <v>5.7977226922339947E-2</v>
      </c>
      <c r="F253" s="116">
        <v>1620.5</v>
      </c>
      <c r="G253" s="116">
        <v>1620.5</v>
      </c>
      <c r="H253" s="121">
        <v>2463</v>
      </c>
      <c r="I253" s="77">
        <v>1.78E-2</v>
      </c>
      <c r="J253" s="77">
        <v>5.3800000000000001E-2</v>
      </c>
      <c r="K253" s="119">
        <v>1116261515.4000001</v>
      </c>
      <c r="L253" s="120">
        <f t="shared" si="196"/>
        <v>5.7397993509961331E-2</v>
      </c>
      <c r="M253" s="116">
        <v>2605.81</v>
      </c>
      <c r="N253" s="116">
        <v>2605.81</v>
      </c>
      <c r="O253" s="121">
        <v>2463</v>
      </c>
      <c r="P253" s="77">
        <v>-6.4000000000000003E-3</v>
      </c>
      <c r="Q253" s="77">
        <v>4.7100000000000003E-2</v>
      </c>
      <c r="R253" s="81">
        <f t="shared" si="197"/>
        <v>-6.3793957048759904E-3</v>
      </c>
      <c r="S253" s="81">
        <f t="shared" si="198"/>
        <v>0.60802838630052447</v>
      </c>
      <c r="T253" s="81">
        <f t="shared" si="199"/>
        <v>0</v>
      </c>
      <c r="U253" s="81">
        <f t="shared" si="200"/>
        <v>-2.4199999999999999E-2</v>
      </c>
      <c r="V253" s="82">
        <f t="shared" si="201"/>
        <v>-6.6999999999999976E-3</v>
      </c>
    </row>
    <row r="254" spans="1:22">
      <c r="A254" s="180">
        <v>8</v>
      </c>
      <c r="B254" s="170" t="s">
        <v>305</v>
      </c>
      <c r="C254" s="166" t="s">
        <v>306</v>
      </c>
      <c r="D254" s="119">
        <v>188146172.94</v>
      </c>
      <c r="E254" s="120">
        <f t="shared" si="195"/>
        <v>9.7097369493560886E-3</v>
      </c>
      <c r="F254" s="116">
        <v>41.54</v>
      </c>
      <c r="G254" s="116">
        <v>41.54</v>
      </c>
      <c r="H254" s="121">
        <v>376</v>
      </c>
      <c r="I254" s="77">
        <v>0</v>
      </c>
      <c r="J254" s="77">
        <v>7.6899999999999996E-2</v>
      </c>
      <c r="K254" s="119">
        <v>184240981.18000001</v>
      </c>
      <c r="L254" s="120">
        <f t="shared" si="196"/>
        <v>9.4736425973165339E-3</v>
      </c>
      <c r="M254" s="116">
        <v>40.700000000000003</v>
      </c>
      <c r="N254" s="116">
        <v>40.799999999999997</v>
      </c>
      <c r="O254" s="121">
        <v>570</v>
      </c>
      <c r="P254" s="77">
        <v>1.1900000000000001E-2</v>
      </c>
      <c r="Q254" s="77">
        <v>8.9700000000000002E-2</v>
      </c>
      <c r="R254" s="81">
        <f t="shared" si="197"/>
        <v>-2.0756158358030276E-2</v>
      </c>
      <c r="S254" s="81">
        <f t="shared" si="198"/>
        <v>-1.7814155031295187E-2</v>
      </c>
      <c r="T254" s="81">
        <f t="shared" si="199"/>
        <v>0.51595744680851063</v>
      </c>
      <c r="U254" s="81">
        <f t="shared" si="200"/>
        <v>1.1900000000000001E-2</v>
      </c>
      <c r="V254" s="82">
        <f t="shared" si="201"/>
        <v>1.2800000000000006E-2</v>
      </c>
    </row>
    <row r="255" spans="1:22">
      <c r="A255" s="180">
        <v>9</v>
      </c>
      <c r="B255" s="170" t="s">
        <v>307</v>
      </c>
      <c r="C255" s="166" t="s">
        <v>306</v>
      </c>
      <c r="D255" s="122">
        <v>1007532733.39</v>
      </c>
      <c r="E255" s="120">
        <f t="shared" si="195"/>
        <v>5.1996156266236618E-2</v>
      </c>
      <c r="F255" s="116">
        <v>16.489999999999998</v>
      </c>
      <c r="G255" s="116">
        <v>16.59</v>
      </c>
      <c r="H255" s="121">
        <v>459</v>
      </c>
      <c r="I255" s="77">
        <v>0.48480000000000001</v>
      </c>
      <c r="J255" s="77">
        <v>0.63329999999999997</v>
      </c>
      <c r="K255" s="122">
        <v>994250865.88</v>
      </c>
      <c r="L255" s="120">
        <f t="shared" si="196"/>
        <v>5.1124224887932265E-2</v>
      </c>
      <c r="M255" s="116">
        <v>16.27</v>
      </c>
      <c r="N255" s="116">
        <v>16.37</v>
      </c>
      <c r="O255" s="121">
        <v>719</v>
      </c>
      <c r="P255" s="77">
        <v>0.24940000000000001</v>
      </c>
      <c r="Q255" s="77">
        <v>1.0407</v>
      </c>
      <c r="R255" s="81">
        <f t="shared" si="197"/>
        <v>-1.3182566749281772E-2</v>
      </c>
      <c r="S255" s="81">
        <f t="shared" si="198"/>
        <v>-1.3261000602772686E-2</v>
      </c>
      <c r="T255" s="81">
        <f t="shared" si="199"/>
        <v>0.56644880174291934</v>
      </c>
      <c r="U255" s="81">
        <f t="shared" si="200"/>
        <v>-0.2354</v>
      </c>
      <c r="V255" s="82">
        <f t="shared" si="201"/>
        <v>0.40739999999999998</v>
      </c>
    </row>
    <row r="256" spans="1:22" ht="15" customHeight="1">
      <c r="A256" s="180">
        <v>10</v>
      </c>
      <c r="B256" s="170" t="s">
        <v>308</v>
      </c>
      <c r="C256" s="166" t="s">
        <v>306</v>
      </c>
      <c r="D256" s="119">
        <v>149885347.25</v>
      </c>
      <c r="E256" s="120">
        <f t="shared" si="195"/>
        <v>7.735194777650378E-3</v>
      </c>
      <c r="F256" s="116">
        <v>145.07</v>
      </c>
      <c r="G256" s="116">
        <v>147.07</v>
      </c>
      <c r="H256" s="121">
        <v>458</v>
      </c>
      <c r="I256" s="77">
        <v>0.2089</v>
      </c>
      <c r="J256" s="77">
        <v>0.28410000000000002</v>
      </c>
      <c r="K256" s="119">
        <v>150522132.28999999</v>
      </c>
      <c r="L256" s="120">
        <f t="shared" si="196"/>
        <v>7.7398246316778456E-3</v>
      </c>
      <c r="M256" s="116">
        <v>145.69</v>
      </c>
      <c r="N256" s="116">
        <v>147.69</v>
      </c>
      <c r="O256" s="121">
        <v>506</v>
      </c>
      <c r="P256" s="77">
        <v>4</v>
      </c>
      <c r="Q256" s="77">
        <v>5.4203000000000001</v>
      </c>
      <c r="R256" s="81">
        <f t="shared" si="197"/>
        <v>4.2484809334822531E-3</v>
      </c>
      <c r="S256" s="81">
        <f t="shared" si="198"/>
        <v>4.2156796083497967E-3</v>
      </c>
      <c r="T256" s="81">
        <f t="shared" si="199"/>
        <v>0.10480349344978165</v>
      </c>
      <c r="U256" s="81">
        <f t="shared" si="200"/>
        <v>3.7911000000000001</v>
      </c>
      <c r="V256" s="82">
        <f t="shared" si="201"/>
        <v>5.1362000000000005</v>
      </c>
    </row>
    <row r="257" spans="1:26">
      <c r="A257" s="180">
        <v>11</v>
      </c>
      <c r="B257" s="170" t="s">
        <v>309</v>
      </c>
      <c r="C257" s="166" t="s">
        <v>306</v>
      </c>
      <c r="D257" s="119">
        <v>8389102269.1999998</v>
      </c>
      <c r="E257" s="120">
        <f t="shared" si="195"/>
        <v>0.43293985204341429</v>
      </c>
      <c r="F257" s="116">
        <v>60.52</v>
      </c>
      <c r="G257" s="116">
        <v>60.72</v>
      </c>
      <c r="H257" s="121">
        <v>872</v>
      </c>
      <c r="I257" s="77">
        <v>0.26129999999999998</v>
      </c>
      <c r="J257" s="77">
        <v>0.55530000000000002</v>
      </c>
      <c r="K257" s="119">
        <v>8332129321.0900002</v>
      </c>
      <c r="L257" s="120">
        <f t="shared" si="196"/>
        <v>0.4284367937962168</v>
      </c>
      <c r="M257" s="116">
        <v>60.11</v>
      </c>
      <c r="N257" s="116">
        <v>60.31</v>
      </c>
      <c r="O257" s="121">
        <v>1293</v>
      </c>
      <c r="P257" s="77">
        <v>3.0000000000000001E-3</v>
      </c>
      <c r="Q257" s="77">
        <v>0.55989999999999995</v>
      </c>
      <c r="R257" s="81">
        <f t="shared" si="197"/>
        <v>-6.7913045140922694E-3</v>
      </c>
      <c r="S257" s="81">
        <f t="shared" si="198"/>
        <v>-6.7523056653490876E-3</v>
      </c>
      <c r="T257" s="81">
        <f t="shared" si="199"/>
        <v>0.4827981651376147</v>
      </c>
      <c r="U257" s="81">
        <f t="shared" si="200"/>
        <v>-0.25829999999999997</v>
      </c>
      <c r="V257" s="82">
        <f t="shared" si="201"/>
        <v>4.5999999999999375E-3</v>
      </c>
    </row>
    <row r="258" spans="1:26">
      <c r="A258" s="180">
        <v>12</v>
      </c>
      <c r="B258" s="170" t="s">
        <v>310</v>
      </c>
      <c r="C258" s="166" t="s">
        <v>306</v>
      </c>
      <c r="D258" s="122">
        <v>104631083.06999999</v>
      </c>
      <c r="E258" s="120">
        <f t="shared" si="195"/>
        <v>5.3997393487238751E-3</v>
      </c>
      <c r="F258" s="116">
        <v>59.76</v>
      </c>
      <c r="G258" s="116">
        <v>59.96</v>
      </c>
      <c r="H258" s="121">
        <v>450</v>
      </c>
      <c r="I258" s="77">
        <v>0.18690000000000001</v>
      </c>
      <c r="J258" s="77">
        <v>0.22670000000000001</v>
      </c>
      <c r="K258" s="122">
        <v>104417151.31999999</v>
      </c>
      <c r="L258" s="120">
        <f t="shared" si="196"/>
        <v>5.3691136808979422E-3</v>
      </c>
      <c r="M258" s="116">
        <v>59.71</v>
      </c>
      <c r="N258" s="116">
        <v>59.91</v>
      </c>
      <c r="O258" s="121">
        <v>696</v>
      </c>
      <c r="P258" s="77">
        <v>0.33150000000000002</v>
      </c>
      <c r="Q258" s="77">
        <v>0.63329999999999997</v>
      </c>
      <c r="R258" s="81">
        <f t="shared" si="197"/>
        <v>-2.0446290310965815E-3</v>
      </c>
      <c r="S258" s="81">
        <f t="shared" si="198"/>
        <v>-8.3388925950640864E-4</v>
      </c>
      <c r="T258" s="81">
        <f t="shared" si="199"/>
        <v>0.54666666666666663</v>
      </c>
      <c r="U258" s="81">
        <f t="shared" si="200"/>
        <v>0.14460000000000001</v>
      </c>
      <c r="V258" s="82">
        <f t="shared" si="201"/>
        <v>0.40659999999999996</v>
      </c>
    </row>
    <row r="259" spans="1:26">
      <c r="A259" s="132"/>
      <c r="B259" s="132"/>
      <c r="C259" s="133" t="s">
        <v>311</v>
      </c>
      <c r="D259" s="115">
        <f>SUM(D247:D258)</f>
        <v>19377061801.09</v>
      </c>
      <c r="E259" s="117"/>
      <c r="F259" s="117"/>
      <c r="G259" s="118"/>
      <c r="H259" s="115">
        <f>SUM(H247:H258)</f>
        <v>6978</v>
      </c>
      <c r="I259" s="126"/>
      <c r="J259" s="126"/>
      <c r="K259" s="115">
        <f>SUM(K247:K258)</f>
        <v>19447744548.880001</v>
      </c>
      <c r="L259" s="117"/>
      <c r="M259" s="117"/>
      <c r="N259" s="118"/>
      <c r="O259" s="115">
        <f>SUM(O247:O258)</f>
        <v>8147</v>
      </c>
      <c r="P259" s="126"/>
      <c r="Q259" s="126"/>
      <c r="R259" s="81">
        <f t="shared" si="197"/>
        <v>3.6477536437451454E-3</v>
      </c>
      <c r="S259" s="81" t="e">
        <f t="shared" si="198"/>
        <v>#DIV/0!</v>
      </c>
      <c r="T259" s="81">
        <f t="shared" si="199"/>
        <v>0.16752651189452566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312</v>
      </c>
      <c r="D260" s="136">
        <f>SUM(D231,D239,D244,D259)</f>
        <v>8213656154174.5508</v>
      </c>
      <c r="E260" s="137"/>
      <c r="F260" s="137"/>
      <c r="G260" s="138"/>
      <c r="H260" s="136">
        <f>SUM(H231,H239,H244,H259)</f>
        <v>1151456</v>
      </c>
      <c r="I260" s="149"/>
      <c r="J260" s="149"/>
      <c r="K260" s="136">
        <f>SUM(K231,K239,K244,K259)</f>
        <v>8241001241133.2568</v>
      </c>
      <c r="L260" s="137"/>
      <c r="M260" s="137"/>
      <c r="N260" s="136"/>
      <c r="O260" s="136">
        <f>SUM(O231,O239,O244,O259)</f>
        <v>1161573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313</v>
      </c>
      <c r="B261" s="140" t="s">
        <v>335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22woLOF/idQzJJN4U4Ab/jv6sIYnJxLj65xhTkUityEDoUgUnLGFs2k2TaboPgyWjVjUYRWEl2ePzhEIG8Julg==" saltValue="yBPbLAykkZcWw5Nay//Iw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10" sqref="G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E1" s="15"/>
      <c r="F1" s="15"/>
      <c r="G1" s="15"/>
    </row>
    <row r="2" spans="1:7" ht="27.6">
      <c r="A2" s="30" t="s">
        <v>314</v>
      </c>
      <c r="B2" s="31" t="s">
        <v>332</v>
      </c>
      <c r="C2" s="31" t="s">
        <v>337</v>
      </c>
      <c r="D2" s="173"/>
      <c r="E2" s="15"/>
      <c r="F2" s="15"/>
      <c r="G2" s="15"/>
    </row>
    <row r="3" spans="1:7">
      <c r="A3" s="32" t="s">
        <v>18</v>
      </c>
      <c r="B3" s="33">
        <f t="shared" ref="B3:C10" si="0">B13</f>
        <v>93.935595234247501</v>
      </c>
      <c r="C3" s="33">
        <f t="shared" si="0"/>
        <v>97.343280758238819</v>
      </c>
      <c r="D3" s="173"/>
      <c r="E3" s="15"/>
      <c r="F3" s="15"/>
      <c r="G3" s="15"/>
    </row>
    <row r="4" spans="1:7" ht="15.6" customHeight="1">
      <c r="A4" s="30" t="s">
        <v>57</v>
      </c>
      <c r="B4" s="34">
        <f t="shared" si="0"/>
        <v>5059.9510653095003</v>
      </c>
      <c r="C4" s="34">
        <f t="shared" si="0"/>
        <v>5108.5181730498516</v>
      </c>
      <c r="D4" s="173"/>
      <c r="E4" s="15"/>
      <c r="F4" s="15"/>
      <c r="G4" s="15"/>
    </row>
    <row r="5" spans="1:7" ht="16.2" customHeight="1">
      <c r="A5" s="30" t="s">
        <v>315</v>
      </c>
      <c r="B5" s="33">
        <f t="shared" si="0"/>
        <v>243.52006310036299</v>
      </c>
      <c r="C5" s="33">
        <f t="shared" si="0"/>
        <v>243.03531932412383</v>
      </c>
      <c r="D5" s="173"/>
      <c r="E5" s="15"/>
      <c r="F5" s="15"/>
      <c r="G5" s="15"/>
    </row>
    <row r="6" spans="1:7">
      <c r="A6" s="30" t="s">
        <v>174</v>
      </c>
      <c r="B6" s="34">
        <f t="shared" si="0"/>
        <v>1942.4529687198399</v>
      </c>
      <c r="C6" s="34">
        <f t="shared" si="0"/>
        <v>1915.2579413288515</v>
      </c>
      <c r="D6" s="173"/>
      <c r="E6" s="15"/>
      <c r="F6" s="15"/>
      <c r="G6" s="15"/>
    </row>
    <row r="7" spans="1:7">
      <c r="A7" s="30" t="s">
        <v>316</v>
      </c>
      <c r="B7" s="33">
        <f t="shared" si="0"/>
        <v>504.82886965240448</v>
      </c>
      <c r="C7" s="33">
        <f t="shared" si="0"/>
        <v>505.30953393644558</v>
      </c>
      <c r="D7" s="173"/>
      <c r="E7" s="15"/>
      <c r="F7" s="15"/>
      <c r="G7" s="15"/>
    </row>
    <row r="8" spans="1:7">
      <c r="A8" s="30" t="s">
        <v>219</v>
      </c>
      <c r="B8" s="35">
        <f t="shared" si="0"/>
        <v>90.902677733101569</v>
      </c>
      <c r="C8" s="35">
        <f t="shared" si="0"/>
        <v>92.487511317429949</v>
      </c>
      <c r="D8" s="173"/>
      <c r="E8" s="15"/>
      <c r="F8" s="15"/>
      <c r="G8" s="15"/>
    </row>
    <row r="9" spans="1:7">
      <c r="A9" s="30" t="s">
        <v>251</v>
      </c>
      <c r="B9" s="33">
        <f t="shared" si="0"/>
        <v>9.3180377837500004</v>
      </c>
      <c r="C9" s="33">
        <f t="shared" si="0"/>
        <v>9.9695122362500008</v>
      </c>
      <c r="D9" s="173"/>
      <c r="E9" s="15"/>
      <c r="F9" s="15"/>
      <c r="G9" s="15"/>
    </row>
    <row r="10" spans="1:7">
      <c r="A10" s="30" t="s">
        <v>317</v>
      </c>
      <c r="B10" s="33">
        <f t="shared" si="0"/>
        <v>84.433429779074942</v>
      </c>
      <c r="C10" s="33">
        <f t="shared" si="0"/>
        <v>84.21324483269693</v>
      </c>
      <c r="D10" s="173"/>
      <c r="E10" s="15"/>
      <c r="F10" s="15"/>
      <c r="G10" s="15"/>
    </row>
    <row r="11" spans="1:7">
      <c r="A11" s="30" t="s">
        <v>284</v>
      </c>
      <c r="B11" s="33">
        <f>B21</f>
        <v>18.866349662769352</v>
      </c>
      <c r="C11" s="33">
        <f>C21</f>
        <v>19.31119483212818</v>
      </c>
      <c r="D11" s="173"/>
      <c r="E11" s="15"/>
      <c r="F11" s="15"/>
      <c r="G11" s="15"/>
    </row>
    <row r="12" spans="1:7">
      <c r="E12" s="15"/>
      <c r="F12" s="15"/>
      <c r="G12" s="15"/>
    </row>
    <row r="13" spans="1:7">
      <c r="A13" s="36" t="s">
        <v>18</v>
      </c>
      <c r="B13" s="37">
        <f>'Weekly Valuation'!D26/1000000000</f>
        <v>93.935595234247501</v>
      </c>
      <c r="C13" s="38">
        <f>'Weekly Valuation'!K26/1000000000</f>
        <v>97.343280758238819</v>
      </c>
      <c r="E13" s="15"/>
      <c r="F13" s="15"/>
      <c r="G13" s="15"/>
    </row>
    <row r="14" spans="1:7">
      <c r="A14" s="39" t="s">
        <v>57</v>
      </c>
      <c r="B14" s="37">
        <f>'Weekly Valuation'!D72/1000000000</f>
        <v>5059.9510653095003</v>
      </c>
      <c r="C14" s="40">
        <f>'Weekly Valuation'!K72/1000000000</f>
        <v>5108.5181730498516</v>
      </c>
      <c r="E14" s="15"/>
      <c r="F14" s="15"/>
      <c r="G14" s="15"/>
    </row>
    <row r="15" spans="1:7">
      <c r="A15" s="39" t="s">
        <v>315</v>
      </c>
      <c r="B15" s="37">
        <f>'Weekly Valuation'!D114/1000000000</f>
        <v>243.52006310036299</v>
      </c>
      <c r="C15" s="38">
        <f>'Weekly Valuation'!K114/1000000000</f>
        <v>243.03531932412383</v>
      </c>
      <c r="E15" s="15"/>
      <c r="F15" s="15"/>
      <c r="G15" s="15"/>
    </row>
    <row r="16" spans="1:7">
      <c r="A16" s="39" t="s">
        <v>174</v>
      </c>
      <c r="B16" s="37">
        <f>'Weekly Valuation'!D156/1000000000</f>
        <v>1942.4529687198399</v>
      </c>
      <c r="C16" s="40">
        <f>'Weekly Valuation'!K156/1000000000</f>
        <v>1915.2579413288515</v>
      </c>
      <c r="E16" s="15"/>
      <c r="F16" s="15"/>
      <c r="G16" s="15"/>
    </row>
    <row r="17" spans="1:7">
      <c r="A17" s="39" t="s">
        <v>316</v>
      </c>
      <c r="B17" s="37">
        <f>'Weekly Valuation'!D165/1000000000</f>
        <v>504.82886965240448</v>
      </c>
      <c r="C17" s="38">
        <f>'Weekly Valuation'!K165/1000000000</f>
        <v>505.30953393644558</v>
      </c>
      <c r="E17" s="15"/>
      <c r="F17" s="15"/>
      <c r="G17" s="15"/>
    </row>
    <row r="18" spans="1:7">
      <c r="A18" s="39" t="s">
        <v>219</v>
      </c>
      <c r="B18" s="37">
        <f>'Weekly Valuation'!D197/1000000000</f>
        <v>90.902677733101569</v>
      </c>
      <c r="C18" s="41">
        <f>'Weekly Valuation'!K197/1000000000</f>
        <v>92.487511317429949</v>
      </c>
      <c r="E18" s="15"/>
      <c r="F18" s="15"/>
      <c r="G18" s="15"/>
    </row>
    <row r="19" spans="1:7">
      <c r="A19" s="39" t="s">
        <v>251</v>
      </c>
      <c r="B19" s="37">
        <f>'Weekly Valuation'!D202/1000000000</f>
        <v>9.3180377837500004</v>
      </c>
      <c r="C19" s="38">
        <f>'Weekly Valuation'!K202/1000000000</f>
        <v>9.9695122362500008</v>
      </c>
      <c r="E19" s="15"/>
      <c r="F19" s="15"/>
      <c r="G19" s="15"/>
    </row>
    <row r="20" spans="1:7">
      <c r="A20" s="39" t="s">
        <v>317</v>
      </c>
      <c r="B20" s="37">
        <f>'Weekly Valuation'!D230/1000000000</f>
        <v>84.433429779074942</v>
      </c>
      <c r="C20" s="38">
        <f>'Weekly Valuation'!K230/1000000000</f>
        <v>84.21324483269693</v>
      </c>
      <c r="F20" s="15"/>
      <c r="G20" s="15"/>
    </row>
    <row r="21" spans="1:7">
      <c r="A21" s="39" t="s">
        <v>284</v>
      </c>
      <c r="B21" s="37">
        <f>'Weekly Valuation'!D239/1000000000</f>
        <v>18.866349662769352</v>
      </c>
      <c r="C21" s="38">
        <f>'Weekly Valuation'!K239/1000000000</f>
        <v>19.31119483212818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7"/>
      <c r="B26" s="169"/>
      <c r="C26" s="169"/>
      <c r="D26" s="15"/>
      <c r="E26" s="15"/>
      <c r="F26" s="15"/>
      <c r="G26" s="15"/>
    </row>
    <row r="27" spans="1:7">
      <c r="A27" s="167"/>
      <c r="B27" s="169"/>
      <c r="C27" s="169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LwQh6F15uZW3qcmDGvwcPZj/1MEui5Eo73uP5PY6Tlno2qPN65I6R2PT5Po97c+xJJydj6sl+3c/Fym8QsnGUA==" saltValue="tRPwCYCLI+311wEo1XJh9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4" sqref="I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4" t="s">
        <v>314</v>
      </c>
      <c r="B1" s="175">
        <v>46045</v>
      </c>
      <c r="C1" s="176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7" t="s">
        <v>251</v>
      </c>
      <c r="B2" s="26">
        <f>'Weekly Valuation'!K202</f>
        <v>9969512236.25</v>
      </c>
      <c r="C2" s="176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7" t="s">
        <v>284</v>
      </c>
      <c r="B3" s="26">
        <f>'Weekly Valuation'!K239</f>
        <v>19311194832.128181</v>
      </c>
      <c r="C3" s="176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7" t="s">
        <v>18</v>
      </c>
      <c r="B4" s="26">
        <f>'Weekly Valuation'!K26</f>
        <v>97343280758.238815</v>
      </c>
      <c r="C4" s="176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7" t="s">
        <v>317</v>
      </c>
      <c r="B5" s="27">
        <f>'Weekly Valuation'!K230</f>
        <v>84213244832.69693</v>
      </c>
      <c r="C5" s="176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7" t="s">
        <v>219</v>
      </c>
      <c r="B6" s="26">
        <f>'Weekly Valuation'!K197</f>
        <v>92487511317.429947</v>
      </c>
      <c r="C6" s="176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7" t="s">
        <v>316</v>
      </c>
      <c r="B7" s="26">
        <f>'Weekly Valuation'!K165</f>
        <v>505309533936.44556</v>
      </c>
      <c r="C7" s="176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7" t="s">
        <v>315</v>
      </c>
      <c r="B8" s="26">
        <f>'Weekly Valuation'!K114</f>
        <v>243035319324.12384</v>
      </c>
      <c r="C8" s="176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7" t="s">
        <v>174</v>
      </c>
      <c r="B9" s="178">
        <f>'Weekly Valuation'!K156</f>
        <v>1915257941328.8516</v>
      </c>
      <c r="C9" s="176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7" t="s">
        <v>57</v>
      </c>
      <c r="B10" s="178">
        <f>'Weekly Valuation'!K72</f>
        <v>5108518173049.8516</v>
      </c>
      <c r="C10" s="176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6"/>
      <c r="B11" s="176"/>
      <c r="C11" s="176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7"/>
      <c r="B12" s="186"/>
      <c r="C12" s="176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7"/>
      <c r="B13" s="176"/>
      <c r="C13" s="176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76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6"/>
      <c r="B15" s="26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8"/>
      <c r="B16" s="27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9"/>
      <c r="B17" s="16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9"/>
      <c r="B18" s="169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8"/>
      <c r="B19" s="16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8"/>
      <c r="B20" s="16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8"/>
      <c r="B21" s="16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7"/>
      <c r="B22" s="16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9"/>
    </row>
    <row r="34" spans="1:17" ht="15" customHeight="1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29"/>
    </row>
  </sheetData>
  <sheetProtection algorithmName="SHA-512" hashValue="Xeixpzd/lKvVZP+bPwtaouMPZEowpvmhhuooz44zgR86HjiRuYoXSm57YUC9m2UBJmNQ6QB27RmbiLWr0Up3lg==" saltValue="iBAhys5BeCbcfzKyNTYzp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79"/>
    </row>
    <row r="2" spans="1:15">
      <c r="A2" s="21" t="s">
        <v>318</v>
      </c>
      <c r="B2" s="22">
        <v>45996</v>
      </c>
      <c r="C2" s="22">
        <v>46003</v>
      </c>
      <c r="D2" s="22">
        <v>46010</v>
      </c>
      <c r="E2" s="22">
        <v>46015</v>
      </c>
      <c r="F2" s="22">
        <v>46024</v>
      </c>
      <c r="G2" s="22">
        <v>46031</v>
      </c>
      <c r="H2" s="22">
        <v>46038</v>
      </c>
      <c r="I2" s="22">
        <v>46045</v>
      </c>
      <c r="J2" s="20"/>
      <c r="K2" s="15"/>
      <c r="L2" s="15"/>
      <c r="M2" s="15"/>
      <c r="N2" s="15"/>
      <c r="O2" s="179"/>
    </row>
    <row r="3" spans="1:15">
      <c r="A3" s="21" t="s">
        <v>319</v>
      </c>
      <c r="B3" s="23">
        <f t="shared" ref="B3:I3" si="0">B4</f>
        <v>7473.2757425151976</v>
      </c>
      <c r="C3" s="23">
        <f t="shared" si="0"/>
        <v>7522.4259502457116</v>
      </c>
      <c r="D3" s="23">
        <f t="shared" si="0"/>
        <v>7603.1851114640458</v>
      </c>
      <c r="E3" s="23">
        <f t="shared" si="0"/>
        <v>7672.435028174913</v>
      </c>
      <c r="F3" s="23">
        <f t="shared" si="0"/>
        <v>7797.3820775891299</v>
      </c>
      <c r="G3" s="23">
        <f t="shared" si="0"/>
        <v>7922.6135885840922</v>
      </c>
      <c r="H3" s="23">
        <f t="shared" si="0"/>
        <v>8048.2090569750508</v>
      </c>
      <c r="I3" s="23">
        <f t="shared" si="0"/>
        <v>8075.4457116160165</v>
      </c>
      <c r="J3" s="20"/>
      <c r="K3" s="15"/>
      <c r="L3" s="15"/>
      <c r="M3" s="15"/>
      <c r="N3" s="15"/>
      <c r="O3" s="179"/>
    </row>
    <row r="4" spans="1:15">
      <c r="A4" s="20"/>
      <c r="B4" s="24">
        <f>'NAV Trend'!C11/1000000000</f>
        <v>7473.2757425151976</v>
      </c>
      <c r="C4" s="24">
        <f>'NAV Trend'!D11/1000000000</f>
        <v>7522.4259502457116</v>
      </c>
      <c r="D4" s="24">
        <f>'NAV Trend'!E11/1000000000</f>
        <v>7603.1851114640458</v>
      </c>
      <c r="E4" s="24">
        <f>'NAV Trend'!F11/1000000000</f>
        <v>7672.435028174913</v>
      </c>
      <c r="F4" s="24">
        <f>'NAV Trend'!G11/1000000000</f>
        <v>7797.3820775891299</v>
      </c>
      <c r="G4" s="24">
        <f>'NAV Trend'!H11/1000000000</f>
        <v>7922.6135885840922</v>
      </c>
      <c r="H4" s="25">
        <f>'NAV Trend'!I11/1000000000</f>
        <v>8048.2090569750508</v>
      </c>
      <c r="I4" s="25">
        <f>'NAV Trend'!J11/1000000000</f>
        <v>8075.4457116160165</v>
      </c>
      <c r="J4" s="20"/>
      <c r="K4" s="15"/>
      <c r="L4" s="15"/>
      <c r="M4" s="15"/>
      <c r="N4" s="15"/>
      <c r="O4" s="179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79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79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79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79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79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9"/>
      <c r="O10" s="179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9"/>
      <c r="O11" s="179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79"/>
      <c r="O12" s="179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79"/>
      <c r="O13" s="179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79"/>
      <c r="O14" s="179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79"/>
      <c r="O15" s="179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9"/>
      <c r="N16" s="179"/>
      <c r="O16" s="17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9"/>
      <c r="N17" s="179"/>
      <c r="O17" s="179"/>
    </row>
    <row r="18" spans="1:15"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</row>
    <row r="19" spans="1:15"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</row>
    <row r="20" spans="1:15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</sheetData>
  <sheetProtection algorithmName="SHA-512" hashValue="zltVKnJg8Kz1tifHGQ5uWP4kmTZLbKz+CEw6m6w24AQ8OowtOHlNHDAyM6IJ885+riIJ0rZcJ9Jk3izrdxYsGA==" saltValue="oXYAhR3H5lbrAvj8wbMk9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60"/>
    </row>
    <row r="2" spans="1:16">
      <c r="A2" s="21" t="s">
        <v>318</v>
      </c>
      <c r="B2" s="22">
        <v>45996</v>
      </c>
      <c r="C2" s="22">
        <v>46003</v>
      </c>
      <c r="D2" s="22">
        <v>46010</v>
      </c>
      <c r="E2" s="22">
        <v>46015</v>
      </c>
      <c r="F2" s="22">
        <v>46024</v>
      </c>
      <c r="G2" s="22">
        <v>46031</v>
      </c>
      <c r="H2" s="22">
        <v>46038</v>
      </c>
      <c r="I2" s="22">
        <v>46045</v>
      </c>
      <c r="J2" s="20"/>
      <c r="K2" s="20"/>
      <c r="L2" s="15"/>
      <c r="M2" s="15"/>
      <c r="N2" s="15"/>
      <c r="O2" s="15"/>
      <c r="P2" s="160"/>
    </row>
    <row r="3" spans="1:16">
      <c r="A3" s="21" t="s">
        <v>320</v>
      </c>
      <c r="B3" s="23">
        <f t="shared" ref="B3:I3" si="0">B4</f>
        <v>17.413222879320003</v>
      </c>
      <c r="C3" s="23">
        <f t="shared" si="0"/>
        <v>17.682838809310002</v>
      </c>
      <c r="D3" s="23">
        <f t="shared" si="0"/>
        <v>17.94056485019</v>
      </c>
      <c r="E3" s="23">
        <f t="shared" si="0"/>
        <v>18.082167415780003</v>
      </c>
      <c r="F3" s="23">
        <f t="shared" si="0"/>
        <v>18.294657025999999</v>
      </c>
      <c r="G3" s="23">
        <f t="shared" si="0"/>
        <v>18.629129376529999</v>
      </c>
      <c r="H3" s="23">
        <f t="shared" si="0"/>
        <v>19.377061801090001</v>
      </c>
      <c r="I3" s="23">
        <f t="shared" si="0"/>
        <v>19.447744548879999</v>
      </c>
      <c r="J3" s="20"/>
      <c r="K3" s="20"/>
      <c r="L3" s="15"/>
      <c r="M3" s="15"/>
      <c r="N3" s="15"/>
      <c r="O3" s="15"/>
      <c r="P3" s="160"/>
    </row>
    <row r="4" spans="1:16">
      <c r="A4" s="20"/>
      <c r="B4" s="24">
        <f>'NAV Trend'!C17/1000000000</f>
        <v>17.413222879320003</v>
      </c>
      <c r="C4" s="24">
        <f>'NAV Trend'!D17/1000000000</f>
        <v>17.682838809310002</v>
      </c>
      <c r="D4" s="24">
        <f>'NAV Trend'!E17/1000000000</f>
        <v>17.94056485019</v>
      </c>
      <c r="E4" s="24">
        <f>'NAV Trend'!F17/1000000000</f>
        <v>18.082167415780003</v>
      </c>
      <c r="F4" s="24">
        <f>'NAV Trend'!G17/1000000000</f>
        <v>18.294657025999999</v>
      </c>
      <c r="G4" s="24">
        <f>'NAV Trend'!H17/1000000000</f>
        <v>18.629129376529999</v>
      </c>
      <c r="H4" s="24">
        <f>'NAV Trend'!I17/1000000000</f>
        <v>19.377061801090001</v>
      </c>
      <c r="I4" s="25">
        <f>'NAV Trend'!J17/1000000000</f>
        <v>19.447744548879999</v>
      </c>
      <c r="J4" s="20"/>
      <c r="K4" s="20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58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7vdJWb6Zqv6ntBXaJ+VrPj3b0UoVqakepqHUCBCau+g2cfBkO6uEKf7OJP5r8pfEe0CshM9qhdp2J2FWF6/LTA==" saltValue="hGpAdeFUrnLnz20VnaQ9B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45989</v>
      </c>
      <c r="C1" s="2">
        <v>45996</v>
      </c>
      <c r="D1" s="2">
        <v>46003</v>
      </c>
      <c r="E1" s="2">
        <v>46010</v>
      </c>
      <c r="F1" s="2">
        <v>46015</v>
      </c>
      <c r="G1" s="2">
        <v>46024</v>
      </c>
      <c r="H1" s="2">
        <v>46031</v>
      </c>
      <c r="I1" s="2">
        <v>46038</v>
      </c>
      <c r="J1" s="2">
        <v>46045</v>
      </c>
    </row>
    <row r="2" spans="1:11">
      <c r="A2" s="3" t="s">
        <v>18</v>
      </c>
      <c r="B2" s="4">
        <v>76454466515.944092</v>
      </c>
      <c r="C2" s="4">
        <v>78401377862.474701</v>
      </c>
      <c r="D2" s="4">
        <v>78447194943.245102</v>
      </c>
      <c r="E2" s="4">
        <v>79735701358.92749</v>
      </c>
      <c r="F2" s="4">
        <v>79641660217.847488</v>
      </c>
      <c r="G2" s="4">
        <v>81634147241.387192</v>
      </c>
      <c r="H2" s="4">
        <v>88746718359.350891</v>
      </c>
      <c r="I2" s="4">
        <v>93935595234.247498</v>
      </c>
      <c r="J2" s="4">
        <v>97343280758.238815</v>
      </c>
    </row>
    <row r="3" spans="1:11">
      <c r="A3" s="3" t="s">
        <v>57</v>
      </c>
      <c r="B3" s="4">
        <v>4552330092438.3486</v>
      </c>
      <c r="C3" s="4">
        <v>4598078276116.3418</v>
      </c>
      <c r="D3" s="4">
        <v>4642448189370.7549</v>
      </c>
      <c r="E3" s="4">
        <v>4678050109959.2363</v>
      </c>
      <c r="F3" s="4">
        <v>4744967555037.585</v>
      </c>
      <c r="G3" s="4">
        <v>4861697321728.9277</v>
      </c>
      <c r="H3" s="4">
        <v>4966755962611.584</v>
      </c>
      <c r="I3" s="4">
        <v>5059951065309.5</v>
      </c>
      <c r="J3" s="4">
        <v>5108518173049.8516</v>
      </c>
    </row>
    <row r="4" spans="1:11">
      <c r="A4" s="3" t="s">
        <v>315</v>
      </c>
      <c r="B4" s="5">
        <v>243665972654.49658</v>
      </c>
      <c r="C4" s="5">
        <v>239569435821.11508</v>
      </c>
      <c r="D4" s="5">
        <v>238896018902.52338</v>
      </c>
      <c r="E4" s="5">
        <v>238340225253.66324</v>
      </c>
      <c r="F4" s="5">
        <v>237258742107.80859</v>
      </c>
      <c r="G4" s="5">
        <v>241491021912.76636</v>
      </c>
      <c r="H4" s="5">
        <v>242702403146.86172</v>
      </c>
      <c r="I4" s="5">
        <v>243520063100.36298</v>
      </c>
      <c r="J4" s="5">
        <v>243035319324.12384</v>
      </c>
    </row>
    <row r="5" spans="1:11">
      <c r="A5" s="3" t="s">
        <v>174</v>
      </c>
      <c r="B5" s="4">
        <v>1901028302593.2881</v>
      </c>
      <c r="C5" s="4">
        <v>1910113273501.6394</v>
      </c>
      <c r="D5" s="4">
        <v>1912273958134.9629</v>
      </c>
      <c r="E5" s="4">
        <v>1954262527494.0337</v>
      </c>
      <c r="F5" s="4">
        <v>1955698754786.5325</v>
      </c>
      <c r="G5" s="4">
        <v>1957393043586.3616</v>
      </c>
      <c r="H5" s="4">
        <v>1941064146472.0417</v>
      </c>
      <c r="I5" s="4">
        <v>1942452968719.8398</v>
      </c>
      <c r="J5" s="4">
        <v>1915257941328.8516</v>
      </c>
    </row>
    <row r="6" spans="1:11">
      <c r="A6" s="3" t="s">
        <v>316</v>
      </c>
      <c r="B6" s="5">
        <v>480118186812.3526</v>
      </c>
      <c r="C6" s="5">
        <v>480962390405.30359</v>
      </c>
      <c r="D6" s="5">
        <v>481599355727.08673</v>
      </c>
      <c r="E6" s="5">
        <v>482352533334.53674</v>
      </c>
      <c r="F6" s="5">
        <v>483055353307.30524</v>
      </c>
      <c r="G6" s="5">
        <v>482861100288.11963</v>
      </c>
      <c r="H6" s="5">
        <v>504019075123.87</v>
      </c>
      <c r="I6" s="5">
        <v>504828869652.40448</v>
      </c>
      <c r="J6" s="5">
        <v>505309533936.44556</v>
      </c>
    </row>
    <row r="7" spans="1:11">
      <c r="A7" s="3" t="s">
        <v>219</v>
      </c>
      <c r="B7" s="7">
        <v>80347740959.834061</v>
      </c>
      <c r="C7" s="7">
        <v>82072736373.0802</v>
      </c>
      <c r="D7" s="7">
        <v>83138604455.992661</v>
      </c>
      <c r="E7" s="7">
        <v>83857951344.08696</v>
      </c>
      <c r="F7" s="7">
        <v>83513673347.384338</v>
      </c>
      <c r="G7" s="7">
        <v>84098310043.701248</v>
      </c>
      <c r="H7" s="7">
        <v>88017317935.611069</v>
      </c>
      <c r="I7" s="7">
        <v>90902677733.101563</v>
      </c>
      <c r="J7" s="7">
        <v>92487511317.429947</v>
      </c>
    </row>
    <row r="8" spans="1:11">
      <c r="A8" s="3" t="s">
        <v>251</v>
      </c>
      <c r="B8" s="6">
        <v>8137410105.1800003</v>
      </c>
      <c r="C8" s="6">
        <v>8269417847.3099995</v>
      </c>
      <c r="D8" s="6">
        <v>8345728599.1300001</v>
      </c>
      <c r="E8" s="6">
        <v>8322821216.8900003</v>
      </c>
      <c r="F8" s="6">
        <v>8179170952.1100006</v>
      </c>
      <c r="G8" s="6">
        <v>8453062319.8899994</v>
      </c>
      <c r="H8" s="6">
        <v>8936439418.3799992</v>
      </c>
      <c r="I8" s="6">
        <v>9318037783.75</v>
      </c>
      <c r="J8" s="6">
        <v>9969512236.25</v>
      </c>
    </row>
    <row r="9" spans="1:11">
      <c r="A9" s="3" t="s">
        <v>317</v>
      </c>
      <c r="B9" s="6">
        <v>74458988396.700394</v>
      </c>
      <c r="C9" s="6">
        <v>75808834587.932678</v>
      </c>
      <c r="D9" s="6">
        <v>77276900112.016632</v>
      </c>
      <c r="E9" s="6">
        <v>78263241502.671127</v>
      </c>
      <c r="F9" s="6">
        <v>80120118418.338852</v>
      </c>
      <c r="G9" s="6">
        <v>79754070467.976181</v>
      </c>
      <c r="H9" s="6">
        <v>82371525516.392532</v>
      </c>
      <c r="I9" s="6">
        <v>84433429779.074936</v>
      </c>
      <c r="J9" s="6">
        <v>84213244832.69693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18740964878.253338</v>
      </c>
      <c r="H10" s="6">
        <v>18756838778.421936</v>
      </c>
      <c r="I10" s="6">
        <v>18866349662.769352</v>
      </c>
      <c r="J10" s="6">
        <v>19311194832.128181</v>
      </c>
    </row>
    <row r="11" spans="1:11" ht="15.6">
      <c r="A11" s="8" t="s">
        <v>321</v>
      </c>
      <c r="B11" s="9">
        <f t="shared" ref="B11:H11" si="0">SUM(B2:B9)</f>
        <v>7416541160476.1436</v>
      </c>
      <c r="C11" s="9">
        <f t="shared" si="0"/>
        <v>7473275742515.1973</v>
      </c>
      <c r="D11" s="9">
        <f t="shared" si="0"/>
        <v>7522425950245.7119</v>
      </c>
      <c r="E11" s="9">
        <f t="shared" si="0"/>
        <v>7603185111464.0459</v>
      </c>
      <c r="F11" s="9">
        <f t="shared" si="0"/>
        <v>7672435028174.9131</v>
      </c>
      <c r="G11" s="9">
        <f t="shared" si="0"/>
        <v>7797382077589.1299</v>
      </c>
      <c r="H11" s="9">
        <f t="shared" si="0"/>
        <v>7922613588584.0918</v>
      </c>
      <c r="I11" s="9">
        <f>SUM(I2:I10)</f>
        <v>8048209056975.0508</v>
      </c>
      <c r="J11" s="9">
        <f>SUM(J2:J10)</f>
        <v>8075445711616.0166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57" t="s">
        <v>323</v>
      </c>
      <c r="C13" s="13">
        <f>(B11+C11)/2</f>
        <v>7444908451495.6699</v>
      </c>
      <c r="D13" s="14">
        <f t="shared" ref="D13:J13" si="1">(C11+D11)/2</f>
        <v>7497850846380.4551</v>
      </c>
      <c r="E13" s="14">
        <f t="shared" si="1"/>
        <v>7562805530854.8789</v>
      </c>
      <c r="F13" s="14">
        <f t="shared" si="1"/>
        <v>7637810069819.4795</v>
      </c>
      <c r="G13" s="14">
        <f t="shared" si="1"/>
        <v>7734908552882.0215</v>
      </c>
      <c r="H13" s="14">
        <f t="shared" si="1"/>
        <v>7859997833086.6113</v>
      </c>
      <c r="I13" s="14">
        <f t="shared" si="1"/>
        <v>7985411322779.5713</v>
      </c>
      <c r="J13" s="14">
        <f t="shared" si="1"/>
        <v>8061827384295.5332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45989</v>
      </c>
      <c r="C16" s="2">
        <v>45996</v>
      </c>
      <c r="D16" s="2">
        <v>46003</v>
      </c>
      <c r="E16" s="2">
        <v>46010</v>
      </c>
      <c r="F16" s="2">
        <v>46015</v>
      </c>
      <c r="G16" s="2">
        <v>46024</v>
      </c>
      <c r="H16" s="2">
        <v>46031</v>
      </c>
      <c r="I16" s="2">
        <v>46038</v>
      </c>
      <c r="J16" s="2">
        <v>46045</v>
      </c>
      <c r="K16" s="15"/>
    </row>
    <row r="17" spans="1:11">
      <c r="A17" s="16" t="s">
        <v>324</v>
      </c>
      <c r="B17" s="17">
        <v>16972927008.689999</v>
      </c>
      <c r="C17" s="17">
        <v>17413222879.320004</v>
      </c>
      <c r="D17" s="17">
        <v>17682838809.310001</v>
      </c>
      <c r="E17" s="17">
        <v>17940564850.189999</v>
      </c>
      <c r="F17" s="17">
        <v>18082167415.780003</v>
      </c>
      <c r="G17" s="17">
        <v>18294657026</v>
      </c>
      <c r="H17" s="17">
        <v>18629129376.529999</v>
      </c>
      <c r="I17" s="17">
        <v>19377061801.09</v>
      </c>
      <c r="J17" s="17">
        <v>19447744548.880001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s28UPTRw5F3HD2Kp7hgH7ZHcrhvEJ/1WX/UenIa8n+1JfMdyrQNiYQZlY3nZIDZJVyfIhmrwaQDEiQctoAUkmg==" saltValue="q7dCmzB7fklTECnf4IGJ+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2026-02-03T16:15:06Z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