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6\"/>
    </mc:Choice>
  </mc:AlternateContent>
  <bookViews>
    <workbookView xWindow="0" yWindow="0" windowWidth="11892" windowHeight="9276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Valuation'!$W$137</definedName>
    <definedName name="NFEM_RATE" localSheetId="0">'Weekly Valuation'!$W$137</definedName>
  </definedNames>
  <calcPr calcId="162913"/>
</workbook>
</file>

<file path=xl/calcChain.xml><?xml version="1.0" encoding="utf-8"?>
<calcChain xmlns="http://schemas.openxmlformats.org/spreadsheetml/2006/main">
  <c r="S192" i="1" l="1"/>
  <c r="S81" i="1"/>
  <c r="I11" i="4" l="1"/>
  <c r="N130" i="1" l="1"/>
  <c r="M130" i="1"/>
  <c r="K130" i="1"/>
  <c r="L200" i="1"/>
  <c r="N132" i="1" l="1"/>
  <c r="M132" i="1"/>
  <c r="K132" i="1"/>
  <c r="N133" i="1" l="1"/>
  <c r="M133" i="1"/>
  <c r="K133" i="1"/>
  <c r="N125" i="1"/>
  <c r="M125" i="1"/>
  <c r="K125" i="1"/>
  <c r="K143" i="1"/>
  <c r="K139" i="1"/>
  <c r="N123" i="1"/>
  <c r="M123" i="1"/>
  <c r="K123" i="1"/>
  <c r="M137" i="1"/>
  <c r="N137" i="1"/>
  <c r="K137" i="1"/>
  <c r="N122" i="1"/>
  <c r="M122" i="1"/>
  <c r="K122" i="1"/>
  <c r="N155" i="1"/>
  <c r="M155" i="1"/>
  <c r="K155" i="1"/>
  <c r="N151" i="1"/>
  <c r="M151" i="1"/>
  <c r="K151" i="1"/>
  <c r="N149" i="1"/>
  <c r="M149" i="1"/>
  <c r="K149" i="1"/>
  <c r="N138" i="1"/>
  <c r="M138" i="1"/>
  <c r="K138" i="1"/>
  <c r="K145" i="1"/>
  <c r="N147" i="1"/>
  <c r="M147" i="1"/>
  <c r="N144" i="1" l="1"/>
  <c r="M144" i="1"/>
  <c r="N124" i="1"/>
  <c r="M124" i="1"/>
  <c r="K124" i="1"/>
  <c r="N141" i="1"/>
  <c r="M141" i="1"/>
  <c r="K141" i="1"/>
  <c r="N154" i="1"/>
  <c r="M154" i="1"/>
  <c r="K154" i="1"/>
  <c r="N148" i="1"/>
  <c r="M148" i="1"/>
  <c r="K148" i="1"/>
  <c r="N119" i="1"/>
  <c r="M119" i="1"/>
  <c r="K119" i="1"/>
  <c r="N234" i="1"/>
  <c r="M234" i="1"/>
  <c r="K234" i="1"/>
  <c r="N121" i="1"/>
  <c r="M121" i="1"/>
  <c r="K121" i="1"/>
  <c r="N120" i="1"/>
  <c r="M120" i="1"/>
  <c r="K120" i="1"/>
  <c r="L226" i="1"/>
  <c r="R226" i="1"/>
  <c r="N153" i="1" l="1"/>
  <c r="M153" i="1"/>
  <c r="K153" i="1"/>
  <c r="R253" i="1"/>
  <c r="N134" i="1"/>
  <c r="M134" i="1"/>
  <c r="K134" i="1"/>
  <c r="R152" i="1"/>
  <c r="N152" i="1"/>
  <c r="M152" i="1"/>
  <c r="K152" i="1" l="1"/>
  <c r="N236" i="1"/>
  <c r="M236" i="1"/>
  <c r="K236" i="1"/>
  <c r="N128" i="1"/>
  <c r="M128" i="1"/>
  <c r="K128" i="1"/>
  <c r="N127" i="1"/>
  <c r="M127" i="1"/>
  <c r="K127" i="1"/>
  <c r="K129" i="1"/>
  <c r="N131" i="1"/>
  <c r="K131" i="1"/>
  <c r="J11" i="4" l="1"/>
  <c r="K197" i="1"/>
  <c r="N143" i="1" l="1"/>
  <c r="S213" i="1"/>
  <c r="S163" i="1"/>
  <c r="N146" i="1"/>
  <c r="M146" i="1"/>
  <c r="K146" i="1"/>
  <c r="M131" i="1" l="1"/>
  <c r="M143" i="1" l="1"/>
  <c r="R35" i="1" l="1"/>
  <c r="V24" i="1"/>
  <c r="U24" i="1"/>
  <c r="T24" i="1"/>
  <c r="S24" i="1"/>
  <c r="R24" i="1"/>
  <c r="K202" i="1" l="1"/>
  <c r="L227" i="1" s="1"/>
  <c r="N129" i="1" l="1"/>
  <c r="V190" i="1" l="1"/>
  <c r="U190" i="1"/>
  <c r="T190" i="1"/>
  <c r="S190" i="1"/>
  <c r="R190" i="1"/>
  <c r="N145" i="1" l="1"/>
  <c r="M145" i="1"/>
  <c r="R143" i="1" l="1"/>
  <c r="S132" i="1"/>
  <c r="S128" i="1"/>
  <c r="S127" i="1"/>
  <c r="S236" i="1"/>
  <c r="I4" i="5"/>
  <c r="I3" i="5" s="1"/>
  <c r="H4" i="5"/>
  <c r="H3" i="5" s="1"/>
  <c r="H11" i="4"/>
  <c r="G4" i="5" s="1"/>
  <c r="G3" i="5" s="1"/>
  <c r="G11" i="4"/>
  <c r="F4" i="5" s="1"/>
  <c r="F3" i="5" s="1"/>
  <c r="F11" i="4"/>
  <c r="E4" i="5" s="1"/>
  <c r="E3" i="5" s="1"/>
  <c r="E11" i="4"/>
  <c r="D11" i="4"/>
  <c r="C4" i="5" s="1"/>
  <c r="C3" i="5" s="1"/>
  <c r="C11" i="4"/>
  <c r="B11" i="4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B4" i="5"/>
  <c r="B3" i="5" s="1"/>
  <c r="V259" i="1"/>
  <c r="U259" i="1"/>
  <c r="S259" i="1"/>
  <c r="O259" i="1"/>
  <c r="K259" i="1"/>
  <c r="L258" i="1" s="1"/>
  <c r="H259" i="1"/>
  <c r="D259" i="1"/>
  <c r="E257" i="1" s="1"/>
  <c r="V258" i="1"/>
  <c r="U258" i="1"/>
  <c r="T258" i="1"/>
  <c r="S258" i="1"/>
  <c r="R258" i="1"/>
  <c r="V257" i="1"/>
  <c r="U257" i="1"/>
  <c r="T257" i="1"/>
  <c r="S257" i="1"/>
  <c r="R257" i="1"/>
  <c r="V256" i="1"/>
  <c r="U256" i="1"/>
  <c r="T256" i="1"/>
  <c r="S256" i="1"/>
  <c r="R256" i="1"/>
  <c r="V255" i="1"/>
  <c r="U255" i="1"/>
  <c r="T255" i="1"/>
  <c r="S255" i="1"/>
  <c r="R255" i="1"/>
  <c r="V254" i="1"/>
  <c r="U254" i="1"/>
  <c r="T254" i="1"/>
  <c r="S254" i="1"/>
  <c r="R254" i="1"/>
  <c r="V253" i="1"/>
  <c r="U253" i="1"/>
  <c r="T253" i="1"/>
  <c r="S253" i="1"/>
  <c r="V252" i="1"/>
  <c r="U252" i="1"/>
  <c r="T252" i="1"/>
  <c r="S252" i="1"/>
  <c r="R252" i="1"/>
  <c r="V251" i="1"/>
  <c r="U251" i="1"/>
  <c r="T251" i="1"/>
  <c r="S251" i="1"/>
  <c r="R251" i="1"/>
  <c r="V250" i="1"/>
  <c r="U250" i="1"/>
  <c r="T250" i="1"/>
  <c r="S250" i="1"/>
  <c r="R250" i="1"/>
  <c r="V249" i="1"/>
  <c r="U249" i="1"/>
  <c r="T249" i="1"/>
  <c r="S249" i="1"/>
  <c r="R249" i="1"/>
  <c r="V248" i="1"/>
  <c r="U248" i="1"/>
  <c r="T248" i="1"/>
  <c r="S248" i="1"/>
  <c r="R248" i="1"/>
  <c r="V247" i="1"/>
  <c r="U247" i="1"/>
  <c r="T247" i="1"/>
  <c r="S247" i="1"/>
  <c r="R247" i="1"/>
  <c r="O244" i="1"/>
  <c r="K244" i="1"/>
  <c r="L243" i="1" s="1"/>
  <c r="H244" i="1"/>
  <c r="D244" i="1"/>
  <c r="E243" i="1" s="1"/>
  <c r="V243" i="1"/>
  <c r="U243" i="1"/>
  <c r="T243" i="1"/>
  <c r="S243" i="1"/>
  <c r="R243" i="1"/>
  <c r="V242" i="1"/>
  <c r="U242" i="1"/>
  <c r="T242" i="1"/>
  <c r="S242" i="1"/>
  <c r="R242" i="1"/>
  <c r="O239" i="1"/>
  <c r="H239" i="1"/>
  <c r="D239" i="1"/>
  <c r="B21" i="2" s="1"/>
  <c r="B11" i="2" s="1"/>
  <c r="V238" i="1"/>
  <c r="U238" i="1"/>
  <c r="T238" i="1"/>
  <c r="S238" i="1"/>
  <c r="R238" i="1"/>
  <c r="V237" i="1"/>
  <c r="U237" i="1"/>
  <c r="T237" i="1"/>
  <c r="S237" i="1"/>
  <c r="R237" i="1"/>
  <c r="V236" i="1"/>
  <c r="U236" i="1"/>
  <c r="T236" i="1"/>
  <c r="R236" i="1"/>
  <c r="V235" i="1"/>
  <c r="U235" i="1"/>
  <c r="T235" i="1"/>
  <c r="S235" i="1"/>
  <c r="R235" i="1"/>
  <c r="V234" i="1"/>
  <c r="U234" i="1"/>
  <c r="T234" i="1"/>
  <c r="S234" i="1"/>
  <c r="K239" i="1"/>
  <c r="V230" i="1"/>
  <c r="U230" i="1"/>
  <c r="S230" i="1"/>
  <c r="O230" i="1"/>
  <c r="K230" i="1"/>
  <c r="H230" i="1"/>
  <c r="D230" i="1"/>
  <c r="V229" i="1"/>
  <c r="U229" i="1"/>
  <c r="T229" i="1"/>
  <c r="S229" i="1"/>
  <c r="R229" i="1"/>
  <c r="V228" i="1"/>
  <c r="U228" i="1"/>
  <c r="T228" i="1"/>
  <c r="S228" i="1"/>
  <c r="R228" i="1"/>
  <c r="V227" i="1"/>
  <c r="U227" i="1"/>
  <c r="T227" i="1"/>
  <c r="S227" i="1"/>
  <c r="R227" i="1"/>
  <c r="V226" i="1"/>
  <c r="U226" i="1"/>
  <c r="T226" i="1"/>
  <c r="S226" i="1"/>
  <c r="V223" i="1"/>
  <c r="U223" i="1"/>
  <c r="T223" i="1"/>
  <c r="S223" i="1"/>
  <c r="R223" i="1"/>
  <c r="V222" i="1"/>
  <c r="U222" i="1"/>
  <c r="T222" i="1"/>
  <c r="S222" i="1"/>
  <c r="R222" i="1"/>
  <c r="V221" i="1"/>
  <c r="U221" i="1"/>
  <c r="T221" i="1"/>
  <c r="S221" i="1"/>
  <c r="R221" i="1"/>
  <c r="V220" i="1"/>
  <c r="U220" i="1"/>
  <c r="T220" i="1"/>
  <c r="S220" i="1"/>
  <c r="R220" i="1"/>
  <c r="V219" i="1"/>
  <c r="U219" i="1"/>
  <c r="T219" i="1"/>
  <c r="S219" i="1"/>
  <c r="R219" i="1"/>
  <c r="V218" i="1"/>
  <c r="U218" i="1"/>
  <c r="T218" i="1"/>
  <c r="S218" i="1"/>
  <c r="R218" i="1"/>
  <c r="V217" i="1"/>
  <c r="U217" i="1"/>
  <c r="T217" i="1"/>
  <c r="S217" i="1"/>
  <c r="R217" i="1"/>
  <c r="V216" i="1"/>
  <c r="U216" i="1"/>
  <c r="T216" i="1"/>
  <c r="S216" i="1"/>
  <c r="R216" i="1"/>
  <c r="V215" i="1"/>
  <c r="U215" i="1"/>
  <c r="T215" i="1"/>
  <c r="S215" i="1"/>
  <c r="R215" i="1"/>
  <c r="V214" i="1"/>
  <c r="U214" i="1"/>
  <c r="T214" i="1"/>
  <c r="S214" i="1"/>
  <c r="R214" i="1"/>
  <c r="V213" i="1"/>
  <c r="U213" i="1"/>
  <c r="T213" i="1"/>
  <c r="R213" i="1"/>
  <c r="V212" i="1"/>
  <c r="U212" i="1"/>
  <c r="T212" i="1"/>
  <c r="S212" i="1"/>
  <c r="R212" i="1"/>
  <c r="V211" i="1"/>
  <c r="U211" i="1"/>
  <c r="T211" i="1"/>
  <c r="S211" i="1"/>
  <c r="R211" i="1"/>
  <c r="V210" i="1"/>
  <c r="U210" i="1"/>
  <c r="T210" i="1"/>
  <c r="S210" i="1"/>
  <c r="R210" i="1"/>
  <c r="V207" i="1"/>
  <c r="U207" i="1"/>
  <c r="T207" i="1"/>
  <c r="S207" i="1"/>
  <c r="R207" i="1"/>
  <c r="V206" i="1"/>
  <c r="U206" i="1"/>
  <c r="T206" i="1"/>
  <c r="S206" i="1"/>
  <c r="R206" i="1"/>
  <c r="V202" i="1"/>
  <c r="U202" i="1"/>
  <c r="S202" i="1"/>
  <c r="O202" i="1"/>
  <c r="B2" i="3"/>
  <c r="H202" i="1"/>
  <c r="D202" i="1"/>
  <c r="B19" i="2" s="1"/>
  <c r="B9" i="2" s="1"/>
  <c r="V201" i="1"/>
  <c r="U201" i="1"/>
  <c r="T201" i="1"/>
  <c r="S201" i="1"/>
  <c r="R201" i="1"/>
  <c r="V200" i="1"/>
  <c r="U200" i="1"/>
  <c r="T200" i="1"/>
  <c r="S200" i="1"/>
  <c r="R200" i="1"/>
  <c r="V197" i="1"/>
  <c r="U197" i="1"/>
  <c r="S197" i="1"/>
  <c r="O197" i="1"/>
  <c r="L186" i="1"/>
  <c r="H197" i="1"/>
  <c r="D197" i="1"/>
  <c r="E168" i="1" s="1"/>
  <c r="V196" i="1"/>
  <c r="U196" i="1"/>
  <c r="T196" i="1"/>
  <c r="S196" i="1"/>
  <c r="R196" i="1"/>
  <c r="V195" i="1"/>
  <c r="U195" i="1"/>
  <c r="T195" i="1"/>
  <c r="S195" i="1"/>
  <c r="R195" i="1"/>
  <c r="V194" i="1"/>
  <c r="U194" i="1"/>
  <c r="T194" i="1"/>
  <c r="S194" i="1"/>
  <c r="R194" i="1"/>
  <c r="V193" i="1"/>
  <c r="U193" i="1"/>
  <c r="T193" i="1"/>
  <c r="S193" i="1"/>
  <c r="R193" i="1"/>
  <c r="V192" i="1"/>
  <c r="U192" i="1"/>
  <c r="T192" i="1"/>
  <c r="R192" i="1"/>
  <c r="V191" i="1"/>
  <c r="U191" i="1"/>
  <c r="T191" i="1"/>
  <c r="S191" i="1"/>
  <c r="R191" i="1"/>
  <c r="V189" i="1"/>
  <c r="U189" i="1"/>
  <c r="T189" i="1"/>
  <c r="S189" i="1"/>
  <c r="R189" i="1"/>
  <c r="V188" i="1"/>
  <c r="U188" i="1"/>
  <c r="T188" i="1"/>
  <c r="S188" i="1"/>
  <c r="R188" i="1"/>
  <c r="V187" i="1"/>
  <c r="U187" i="1"/>
  <c r="T187" i="1"/>
  <c r="S187" i="1"/>
  <c r="R187" i="1"/>
  <c r="V186" i="1"/>
  <c r="U186" i="1"/>
  <c r="T186" i="1"/>
  <c r="S186" i="1"/>
  <c r="R186" i="1"/>
  <c r="V185" i="1"/>
  <c r="U185" i="1"/>
  <c r="T185" i="1"/>
  <c r="S185" i="1"/>
  <c r="R185" i="1"/>
  <c r="V184" i="1"/>
  <c r="U184" i="1"/>
  <c r="T184" i="1"/>
  <c r="S184" i="1"/>
  <c r="R184" i="1"/>
  <c r="V183" i="1"/>
  <c r="U183" i="1"/>
  <c r="T183" i="1"/>
  <c r="S183" i="1"/>
  <c r="R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R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R171" i="1"/>
  <c r="V170" i="1"/>
  <c r="U170" i="1"/>
  <c r="T170" i="1"/>
  <c r="S170" i="1"/>
  <c r="R170" i="1"/>
  <c r="V169" i="1"/>
  <c r="U169" i="1"/>
  <c r="T169" i="1"/>
  <c r="S169" i="1"/>
  <c r="R169" i="1"/>
  <c r="V168" i="1"/>
  <c r="U168" i="1"/>
  <c r="T168" i="1"/>
  <c r="S168" i="1"/>
  <c r="R168" i="1"/>
  <c r="V165" i="1"/>
  <c r="U165" i="1"/>
  <c r="S165" i="1"/>
  <c r="O165" i="1"/>
  <c r="K165" i="1"/>
  <c r="L161" i="1" s="1"/>
  <c r="H165" i="1"/>
  <c r="D165" i="1"/>
  <c r="B17" i="2" s="1"/>
  <c r="B7" i="2" s="1"/>
  <c r="V164" i="1"/>
  <c r="U164" i="1"/>
  <c r="T164" i="1"/>
  <c r="S164" i="1"/>
  <c r="R164" i="1"/>
  <c r="V163" i="1"/>
  <c r="U163" i="1"/>
  <c r="T163" i="1"/>
  <c r="R163" i="1"/>
  <c r="V162" i="1"/>
  <c r="U162" i="1"/>
  <c r="T162" i="1"/>
  <c r="S162" i="1"/>
  <c r="R162" i="1"/>
  <c r="V161" i="1"/>
  <c r="U161" i="1"/>
  <c r="T161" i="1"/>
  <c r="S161" i="1"/>
  <c r="R161" i="1"/>
  <c r="V160" i="1"/>
  <c r="U160" i="1"/>
  <c r="T160" i="1"/>
  <c r="S160" i="1"/>
  <c r="R160" i="1"/>
  <c r="V159" i="1"/>
  <c r="U159" i="1"/>
  <c r="T159" i="1"/>
  <c r="S159" i="1"/>
  <c r="R159" i="1"/>
  <c r="V156" i="1"/>
  <c r="U156" i="1"/>
  <c r="S156" i="1"/>
  <c r="O156" i="1"/>
  <c r="H156" i="1"/>
  <c r="D156" i="1"/>
  <c r="B16" i="2" s="1"/>
  <c r="B6" i="2" s="1"/>
  <c r="V155" i="1"/>
  <c r="U155" i="1"/>
  <c r="T155" i="1"/>
  <c r="R155" i="1"/>
  <c r="S155" i="1"/>
  <c r="V154" i="1"/>
  <c r="U154" i="1"/>
  <c r="T154" i="1"/>
  <c r="R154" i="1"/>
  <c r="S154" i="1"/>
  <c r="V153" i="1"/>
  <c r="U153" i="1"/>
  <c r="T153" i="1"/>
  <c r="S153" i="1"/>
  <c r="V152" i="1"/>
  <c r="U152" i="1"/>
  <c r="T152" i="1"/>
  <c r="S152" i="1"/>
  <c r="V151" i="1"/>
  <c r="U151" i="1"/>
  <c r="T151" i="1"/>
  <c r="S151" i="1"/>
  <c r="R151" i="1"/>
  <c r="V150" i="1"/>
  <c r="U150" i="1"/>
  <c r="T150" i="1"/>
  <c r="S150" i="1"/>
  <c r="R150" i="1"/>
  <c r="V149" i="1"/>
  <c r="U149" i="1"/>
  <c r="T149" i="1"/>
  <c r="S149" i="1"/>
  <c r="R149" i="1"/>
  <c r="V148" i="1"/>
  <c r="U148" i="1"/>
  <c r="T148" i="1"/>
  <c r="S148" i="1"/>
  <c r="R148" i="1"/>
  <c r="V147" i="1"/>
  <c r="U147" i="1"/>
  <c r="T147" i="1"/>
  <c r="R147" i="1"/>
  <c r="S147" i="1"/>
  <c r="V146" i="1"/>
  <c r="U146" i="1"/>
  <c r="T146" i="1"/>
  <c r="S146" i="1"/>
  <c r="R146" i="1"/>
  <c r="V145" i="1"/>
  <c r="U145" i="1"/>
  <c r="T145" i="1"/>
  <c r="S145" i="1"/>
  <c r="R145" i="1"/>
  <c r="V144" i="1"/>
  <c r="U144" i="1"/>
  <c r="T144" i="1"/>
  <c r="R144" i="1"/>
  <c r="S144" i="1"/>
  <c r="V143" i="1"/>
  <c r="U143" i="1"/>
  <c r="T143" i="1"/>
  <c r="S143" i="1"/>
  <c r="V142" i="1"/>
  <c r="U142" i="1"/>
  <c r="T142" i="1"/>
  <c r="S142" i="1"/>
  <c r="R142" i="1"/>
  <c r="V141" i="1"/>
  <c r="U141" i="1"/>
  <c r="T141" i="1"/>
  <c r="S141" i="1"/>
  <c r="R141" i="1"/>
  <c r="V140" i="1"/>
  <c r="U140" i="1"/>
  <c r="T140" i="1"/>
  <c r="S140" i="1"/>
  <c r="R140" i="1"/>
  <c r="V139" i="1"/>
  <c r="U139" i="1"/>
  <c r="T139" i="1"/>
  <c r="N139" i="1"/>
  <c r="S139" i="1" s="1"/>
  <c r="M139" i="1"/>
  <c r="V138" i="1"/>
  <c r="U138" i="1"/>
  <c r="T138" i="1"/>
  <c r="S138" i="1"/>
  <c r="R138" i="1"/>
  <c r="V137" i="1"/>
  <c r="U137" i="1"/>
  <c r="T137" i="1"/>
  <c r="S137" i="1"/>
  <c r="R137" i="1"/>
  <c r="V134" i="1"/>
  <c r="U134" i="1"/>
  <c r="T134" i="1"/>
  <c r="S134" i="1"/>
  <c r="R134" i="1"/>
  <c r="V133" i="1"/>
  <c r="U133" i="1"/>
  <c r="T133" i="1"/>
  <c r="S133" i="1"/>
  <c r="R133" i="1"/>
  <c r="V132" i="1"/>
  <c r="U132" i="1"/>
  <c r="T132" i="1"/>
  <c r="R132" i="1"/>
  <c r="V131" i="1"/>
  <c r="U131" i="1"/>
  <c r="T131" i="1"/>
  <c r="S131" i="1"/>
  <c r="R131" i="1"/>
  <c r="V130" i="1"/>
  <c r="U130" i="1"/>
  <c r="T130" i="1"/>
  <c r="S130" i="1"/>
  <c r="R130" i="1"/>
  <c r="V129" i="1"/>
  <c r="U129" i="1"/>
  <c r="T129" i="1"/>
  <c r="S129" i="1"/>
  <c r="M129" i="1"/>
  <c r="V128" i="1"/>
  <c r="U128" i="1"/>
  <c r="T128" i="1"/>
  <c r="V127" i="1"/>
  <c r="U127" i="1"/>
  <c r="T127" i="1"/>
  <c r="V126" i="1"/>
  <c r="U126" i="1"/>
  <c r="T126" i="1"/>
  <c r="S126" i="1"/>
  <c r="R126" i="1"/>
  <c r="V125" i="1"/>
  <c r="U125" i="1"/>
  <c r="T125" i="1"/>
  <c r="S125" i="1"/>
  <c r="R125" i="1"/>
  <c r="V124" i="1"/>
  <c r="U124" i="1"/>
  <c r="T124" i="1"/>
  <c r="S124" i="1"/>
  <c r="R124" i="1"/>
  <c r="V123" i="1"/>
  <c r="U123" i="1"/>
  <c r="T123" i="1"/>
  <c r="S123" i="1"/>
  <c r="R123" i="1"/>
  <c r="V122" i="1"/>
  <c r="U122" i="1"/>
  <c r="T122" i="1"/>
  <c r="S122" i="1"/>
  <c r="R122" i="1"/>
  <c r="V121" i="1"/>
  <c r="U121" i="1"/>
  <c r="T121" i="1"/>
  <c r="S121" i="1"/>
  <c r="R121" i="1"/>
  <c r="V120" i="1"/>
  <c r="U120" i="1"/>
  <c r="T120" i="1"/>
  <c r="S120" i="1"/>
  <c r="V119" i="1"/>
  <c r="U119" i="1"/>
  <c r="T119" i="1"/>
  <c r="S119" i="1"/>
  <c r="V118" i="1"/>
  <c r="U118" i="1"/>
  <c r="T118" i="1"/>
  <c r="S118" i="1"/>
  <c r="V114" i="1"/>
  <c r="U114" i="1"/>
  <c r="S114" i="1"/>
  <c r="O114" i="1"/>
  <c r="K114" i="1"/>
  <c r="H114" i="1"/>
  <c r="D114" i="1"/>
  <c r="B15" i="2" s="1"/>
  <c r="B5" i="2" s="1"/>
  <c r="V113" i="1"/>
  <c r="U113" i="1"/>
  <c r="T113" i="1"/>
  <c r="S113" i="1"/>
  <c r="R113" i="1"/>
  <c r="V112" i="1"/>
  <c r="U112" i="1"/>
  <c r="T112" i="1"/>
  <c r="S112" i="1"/>
  <c r="R112" i="1"/>
  <c r="V111" i="1"/>
  <c r="U111" i="1"/>
  <c r="T111" i="1"/>
  <c r="S111" i="1"/>
  <c r="R111" i="1"/>
  <c r="V110" i="1"/>
  <c r="U110" i="1"/>
  <c r="T110" i="1"/>
  <c r="S110" i="1"/>
  <c r="R110" i="1"/>
  <c r="V109" i="1"/>
  <c r="U109" i="1"/>
  <c r="T109" i="1"/>
  <c r="S109" i="1"/>
  <c r="R109" i="1"/>
  <c r="V108" i="1"/>
  <c r="U108" i="1"/>
  <c r="T108" i="1"/>
  <c r="S108" i="1"/>
  <c r="R108" i="1"/>
  <c r="V107" i="1"/>
  <c r="U107" i="1"/>
  <c r="T107" i="1"/>
  <c r="S107" i="1"/>
  <c r="R107" i="1"/>
  <c r="V106" i="1"/>
  <c r="U106" i="1"/>
  <c r="T106" i="1"/>
  <c r="S106" i="1"/>
  <c r="R106" i="1"/>
  <c r="V105" i="1"/>
  <c r="U105" i="1"/>
  <c r="T105" i="1"/>
  <c r="S105" i="1"/>
  <c r="R105" i="1"/>
  <c r="V104" i="1"/>
  <c r="U104" i="1"/>
  <c r="T104" i="1"/>
  <c r="S104" i="1"/>
  <c r="R104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3" i="1"/>
  <c r="U83" i="1"/>
  <c r="T83" i="1"/>
  <c r="S83" i="1"/>
  <c r="R83" i="1"/>
  <c r="V82" i="1"/>
  <c r="U82" i="1"/>
  <c r="T82" i="1"/>
  <c r="S82" i="1"/>
  <c r="R82" i="1"/>
  <c r="V81" i="1"/>
  <c r="U81" i="1"/>
  <c r="T81" i="1"/>
  <c r="R81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V77" i="1"/>
  <c r="U77" i="1"/>
  <c r="T77" i="1"/>
  <c r="S77" i="1"/>
  <c r="R77" i="1"/>
  <c r="V76" i="1"/>
  <c r="U76" i="1"/>
  <c r="T76" i="1"/>
  <c r="S76" i="1"/>
  <c r="R76" i="1"/>
  <c r="V75" i="1"/>
  <c r="U75" i="1"/>
  <c r="T75" i="1"/>
  <c r="S75" i="1"/>
  <c r="R75" i="1"/>
  <c r="V72" i="1"/>
  <c r="U72" i="1"/>
  <c r="S72" i="1"/>
  <c r="O72" i="1"/>
  <c r="K72" i="1"/>
  <c r="H72" i="1"/>
  <c r="D72" i="1"/>
  <c r="B14" i="2" s="1"/>
  <c r="B4" i="2" s="1"/>
  <c r="V71" i="1"/>
  <c r="U71" i="1"/>
  <c r="T71" i="1"/>
  <c r="S71" i="1"/>
  <c r="R71" i="1"/>
  <c r="V70" i="1"/>
  <c r="U70" i="1"/>
  <c r="T70" i="1"/>
  <c r="S70" i="1"/>
  <c r="R70" i="1"/>
  <c r="V69" i="1"/>
  <c r="U69" i="1"/>
  <c r="T69" i="1"/>
  <c r="S69" i="1"/>
  <c r="R69" i="1"/>
  <c r="V68" i="1"/>
  <c r="U68" i="1"/>
  <c r="T68" i="1"/>
  <c r="S68" i="1"/>
  <c r="R68" i="1"/>
  <c r="V67" i="1"/>
  <c r="U67" i="1"/>
  <c r="T67" i="1"/>
  <c r="S67" i="1"/>
  <c r="R67" i="1"/>
  <c r="V66" i="1"/>
  <c r="U66" i="1"/>
  <c r="T66" i="1"/>
  <c r="S66" i="1"/>
  <c r="R66" i="1"/>
  <c r="V65" i="1"/>
  <c r="U65" i="1"/>
  <c r="T65" i="1"/>
  <c r="S65" i="1"/>
  <c r="R65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R53" i="1"/>
  <c r="V52" i="1"/>
  <c r="U52" i="1"/>
  <c r="T52" i="1"/>
  <c r="S52" i="1"/>
  <c r="R52" i="1"/>
  <c r="V51" i="1"/>
  <c r="U51" i="1"/>
  <c r="T51" i="1"/>
  <c r="S51" i="1"/>
  <c r="R51" i="1"/>
  <c r="V50" i="1"/>
  <c r="U50" i="1"/>
  <c r="T50" i="1"/>
  <c r="S50" i="1"/>
  <c r="R50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6" i="1"/>
  <c r="U46" i="1"/>
  <c r="T46" i="1"/>
  <c r="S46" i="1"/>
  <c r="R46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V34" i="1"/>
  <c r="U34" i="1"/>
  <c r="T34" i="1"/>
  <c r="S34" i="1"/>
  <c r="R34" i="1"/>
  <c r="V33" i="1"/>
  <c r="U33" i="1"/>
  <c r="T33" i="1"/>
  <c r="S33" i="1"/>
  <c r="R33" i="1"/>
  <c r="V32" i="1"/>
  <c r="U32" i="1"/>
  <c r="T32" i="1"/>
  <c r="S32" i="1"/>
  <c r="R32" i="1"/>
  <c r="V31" i="1"/>
  <c r="U31" i="1"/>
  <c r="T31" i="1"/>
  <c r="S31" i="1"/>
  <c r="R31" i="1"/>
  <c r="V30" i="1"/>
  <c r="U30" i="1"/>
  <c r="T30" i="1"/>
  <c r="S30" i="1"/>
  <c r="R30" i="1"/>
  <c r="V29" i="1"/>
  <c r="U29" i="1"/>
  <c r="T29" i="1"/>
  <c r="S29" i="1"/>
  <c r="R29" i="1"/>
  <c r="V26" i="1"/>
  <c r="U26" i="1"/>
  <c r="S26" i="1"/>
  <c r="O26" i="1"/>
  <c r="K26" i="1"/>
  <c r="H26" i="1"/>
  <c r="D26" i="1"/>
  <c r="E13" i="1" s="1"/>
  <c r="V25" i="1"/>
  <c r="U25" i="1"/>
  <c r="T25" i="1"/>
  <c r="S25" i="1"/>
  <c r="R25" i="1"/>
  <c r="V23" i="1"/>
  <c r="U23" i="1"/>
  <c r="T23" i="1"/>
  <c r="S23" i="1"/>
  <c r="R23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R6" i="1"/>
  <c r="L46" i="1" l="1"/>
  <c r="L71" i="1"/>
  <c r="L99" i="1"/>
  <c r="L113" i="1"/>
  <c r="L221" i="1"/>
  <c r="L228" i="1"/>
  <c r="B3" i="3"/>
  <c r="C21" i="2"/>
  <c r="C11" i="2" s="1"/>
  <c r="L68" i="1"/>
  <c r="L57" i="1"/>
  <c r="L64" i="1"/>
  <c r="F13" i="4"/>
  <c r="L70" i="1"/>
  <c r="L39" i="1"/>
  <c r="E35" i="1"/>
  <c r="E24" i="1"/>
  <c r="E9" i="1"/>
  <c r="L78" i="1"/>
  <c r="L12" i="1"/>
  <c r="L24" i="1"/>
  <c r="E7" i="1"/>
  <c r="E11" i="1"/>
  <c r="E15" i="1"/>
  <c r="L30" i="1"/>
  <c r="E99" i="1"/>
  <c r="L213" i="1"/>
  <c r="E112" i="1"/>
  <c r="E21" i="1"/>
  <c r="E19" i="1"/>
  <c r="T197" i="1"/>
  <c r="E17" i="1"/>
  <c r="E98" i="1"/>
  <c r="E176" i="1"/>
  <c r="E174" i="1"/>
  <c r="E172" i="1"/>
  <c r="E170" i="1"/>
  <c r="L94" i="1"/>
  <c r="L163" i="1"/>
  <c r="L190" i="1"/>
  <c r="L180" i="1"/>
  <c r="L45" i="1"/>
  <c r="E242" i="1"/>
  <c r="E94" i="1"/>
  <c r="E96" i="1"/>
  <c r="E92" i="1"/>
  <c r="E76" i="1"/>
  <c r="E90" i="1"/>
  <c r="E88" i="1"/>
  <c r="E100" i="1"/>
  <c r="B18" i="2"/>
  <c r="B8" i="2" s="1"/>
  <c r="E190" i="1"/>
  <c r="E161" i="1"/>
  <c r="E159" i="1"/>
  <c r="E58" i="1"/>
  <c r="E60" i="1"/>
  <c r="E66" i="1"/>
  <c r="E162" i="1"/>
  <c r="E164" i="1"/>
  <c r="E86" i="1"/>
  <c r="E110" i="1"/>
  <c r="E84" i="1"/>
  <c r="E108" i="1"/>
  <c r="E64" i="1"/>
  <c r="E82" i="1"/>
  <c r="E106" i="1"/>
  <c r="L59" i="1"/>
  <c r="L61" i="1"/>
  <c r="L63" i="1"/>
  <c r="L65" i="1"/>
  <c r="L67" i="1"/>
  <c r="E80" i="1"/>
  <c r="E104" i="1"/>
  <c r="E62" i="1"/>
  <c r="E78" i="1"/>
  <c r="E102" i="1"/>
  <c r="E68" i="1"/>
  <c r="L69" i="1"/>
  <c r="E70" i="1"/>
  <c r="B5" i="3"/>
  <c r="L77" i="1"/>
  <c r="L32" i="1"/>
  <c r="B20" i="2"/>
  <c r="B10" i="2" s="1"/>
  <c r="E236" i="1"/>
  <c r="T202" i="1"/>
  <c r="E226" i="1"/>
  <c r="E201" i="1"/>
  <c r="E51" i="1"/>
  <c r="E178" i="1"/>
  <c r="E163" i="1"/>
  <c r="E23" i="1"/>
  <c r="D13" i="4"/>
  <c r="T230" i="1"/>
  <c r="L85" i="1"/>
  <c r="E52" i="1"/>
  <c r="L53" i="1"/>
  <c r="E54" i="1"/>
  <c r="L55" i="1"/>
  <c r="E56" i="1"/>
  <c r="L22" i="1"/>
  <c r="L35" i="1"/>
  <c r="B6" i="3"/>
  <c r="L178" i="1"/>
  <c r="E154" i="1"/>
  <c r="K156" i="1"/>
  <c r="L125" i="1" s="1"/>
  <c r="T259" i="1"/>
  <c r="R259" i="1"/>
  <c r="E248" i="1"/>
  <c r="E250" i="1"/>
  <c r="E252" i="1"/>
  <c r="E254" i="1"/>
  <c r="E258" i="1"/>
  <c r="E256" i="1"/>
  <c r="E247" i="1"/>
  <c r="E249" i="1"/>
  <c r="E251" i="1"/>
  <c r="E253" i="1"/>
  <c r="E255" i="1"/>
  <c r="R244" i="1"/>
  <c r="E212" i="1"/>
  <c r="E210" i="1"/>
  <c r="E206" i="1"/>
  <c r="E228" i="1"/>
  <c r="E222" i="1"/>
  <c r="E220" i="1"/>
  <c r="E218" i="1"/>
  <c r="E216" i="1"/>
  <c r="E200" i="1"/>
  <c r="E195" i="1"/>
  <c r="E193" i="1"/>
  <c r="E191" i="1"/>
  <c r="E188" i="1"/>
  <c r="E186" i="1"/>
  <c r="E169" i="1"/>
  <c r="E171" i="1"/>
  <c r="E184" i="1"/>
  <c r="E182" i="1"/>
  <c r="E180" i="1"/>
  <c r="T165" i="1"/>
  <c r="T156" i="1"/>
  <c r="E130" i="1"/>
  <c r="E145" i="1"/>
  <c r="E147" i="1"/>
  <c r="E118" i="1"/>
  <c r="E120" i="1"/>
  <c r="E128" i="1"/>
  <c r="E126" i="1"/>
  <c r="E134" i="1"/>
  <c r="E151" i="1"/>
  <c r="E122" i="1"/>
  <c r="E138" i="1"/>
  <c r="E140" i="1"/>
  <c r="E142" i="1"/>
  <c r="E153" i="1"/>
  <c r="E144" i="1"/>
  <c r="E129" i="1"/>
  <c r="E146" i="1"/>
  <c r="E155" i="1"/>
  <c r="E119" i="1"/>
  <c r="E131" i="1"/>
  <c r="E148" i="1"/>
  <c r="E121" i="1"/>
  <c r="E125" i="1"/>
  <c r="E127" i="1"/>
  <c r="E133" i="1"/>
  <c r="E150" i="1"/>
  <c r="E152" i="1"/>
  <c r="E132" i="1"/>
  <c r="E149" i="1"/>
  <c r="E123" i="1"/>
  <c r="E137" i="1"/>
  <c r="E139" i="1"/>
  <c r="E143" i="1"/>
  <c r="H231" i="1"/>
  <c r="H260" i="1" s="1"/>
  <c r="T114" i="1"/>
  <c r="R114" i="1"/>
  <c r="E81" i="1"/>
  <c r="E83" i="1"/>
  <c r="E85" i="1"/>
  <c r="E101" i="1"/>
  <c r="E103" i="1"/>
  <c r="E105" i="1"/>
  <c r="E107" i="1"/>
  <c r="E109" i="1"/>
  <c r="E111" i="1"/>
  <c r="E113" i="1"/>
  <c r="E75" i="1"/>
  <c r="E77" i="1"/>
  <c r="E87" i="1"/>
  <c r="E89" i="1"/>
  <c r="E91" i="1"/>
  <c r="E93" i="1"/>
  <c r="E95" i="1"/>
  <c r="E97" i="1"/>
  <c r="T72" i="1"/>
  <c r="E6" i="1"/>
  <c r="E8" i="1"/>
  <c r="E10" i="1"/>
  <c r="E12" i="1"/>
  <c r="E14" i="1"/>
  <c r="E16" i="1"/>
  <c r="E18" i="1"/>
  <c r="E22" i="1"/>
  <c r="E25" i="1"/>
  <c r="E20" i="1"/>
  <c r="J13" i="4"/>
  <c r="D4" i="5"/>
  <c r="D3" i="5" s="1"/>
  <c r="H13" i="4"/>
  <c r="L37" i="1"/>
  <c r="L206" i="1"/>
  <c r="L207" i="1"/>
  <c r="L212" i="1"/>
  <c r="L214" i="1"/>
  <c r="L215" i="1"/>
  <c r="L218" i="1"/>
  <c r="L219" i="1"/>
  <c r="L222" i="1"/>
  <c r="L223" i="1"/>
  <c r="L229" i="1"/>
  <c r="L93" i="1"/>
  <c r="L105" i="1"/>
  <c r="L75" i="1"/>
  <c r="L81" i="1"/>
  <c r="L89" i="1"/>
  <c r="L97" i="1"/>
  <c r="L101" i="1"/>
  <c r="L109" i="1"/>
  <c r="L79" i="1"/>
  <c r="L83" i="1"/>
  <c r="L87" i="1"/>
  <c r="L91" i="1"/>
  <c r="L95" i="1"/>
  <c r="L103" i="1"/>
  <c r="L107" i="1"/>
  <c r="L111" i="1"/>
  <c r="L171" i="1"/>
  <c r="L174" i="1"/>
  <c r="L175" i="1"/>
  <c r="L179" i="1"/>
  <c r="L182" i="1"/>
  <c r="L183" i="1"/>
  <c r="L187" i="1"/>
  <c r="L191" i="1"/>
  <c r="L192" i="1"/>
  <c r="L195" i="1"/>
  <c r="L196" i="1"/>
  <c r="L169" i="1"/>
  <c r="L250" i="1"/>
  <c r="L254" i="1"/>
  <c r="L248" i="1"/>
  <c r="L252" i="1"/>
  <c r="L256" i="1"/>
  <c r="L247" i="1"/>
  <c r="L249" i="1"/>
  <c r="L251" i="1"/>
  <c r="L253" i="1"/>
  <c r="L255" i="1"/>
  <c r="L257" i="1"/>
  <c r="L51" i="1"/>
  <c r="L168" i="1"/>
  <c r="L170" i="1"/>
  <c r="L172" i="1"/>
  <c r="L173" i="1"/>
  <c r="L176" i="1"/>
  <c r="L177" i="1"/>
  <c r="L181" i="1"/>
  <c r="L184" i="1"/>
  <c r="L185" i="1"/>
  <c r="L188" i="1"/>
  <c r="L189" i="1"/>
  <c r="L193" i="1"/>
  <c r="L194" i="1"/>
  <c r="E29" i="1"/>
  <c r="E31" i="1"/>
  <c r="E33" i="1"/>
  <c r="L34" i="1"/>
  <c r="L23" i="1"/>
  <c r="L10" i="1"/>
  <c r="L6" i="1"/>
  <c r="L14" i="1"/>
  <c r="L8" i="1"/>
  <c r="L16" i="1"/>
  <c r="L7" i="1"/>
  <c r="L9" i="1"/>
  <c r="L11" i="1"/>
  <c r="L13" i="1"/>
  <c r="L15" i="1"/>
  <c r="L19" i="1"/>
  <c r="L17" i="1"/>
  <c r="L21" i="1"/>
  <c r="L76" i="1"/>
  <c r="E79" i="1"/>
  <c r="L80" i="1"/>
  <c r="L82" i="1"/>
  <c r="L84" i="1"/>
  <c r="L86" i="1"/>
  <c r="L88" i="1"/>
  <c r="L90" i="1"/>
  <c r="L92" i="1"/>
  <c r="L96" i="1"/>
  <c r="L98" i="1"/>
  <c r="L100" i="1"/>
  <c r="L102" i="1"/>
  <c r="L104" i="1"/>
  <c r="L106" i="1"/>
  <c r="L108" i="1"/>
  <c r="L110" i="1"/>
  <c r="L112" i="1"/>
  <c r="L36" i="1"/>
  <c r="E37" i="1"/>
  <c r="L38" i="1"/>
  <c r="E39" i="1"/>
  <c r="L40" i="1"/>
  <c r="L41" i="1"/>
  <c r="E42" i="1"/>
  <c r="L43" i="1"/>
  <c r="E44" i="1"/>
  <c r="E46" i="1"/>
  <c r="L47" i="1"/>
  <c r="E48" i="1"/>
  <c r="L49" i="1"/>
  <c r="E50" i="1"/>
  <c r="O231" i="1"/>
  <c r="O260" i="1" s="1"/>
  <c r="L210" i="1"/>
  <c r="L211" i="1"/>
  <c r="L216" i="1"/>
  <c r="L217" i="1"/>
  <c r="L220" i="1"/>
  <c r="L18" i="1"/>
  <c r="L20" i="1"/>
  <c r="L29" i="1"/>
  <c r="E30" i="1"/>
  <c r="L31" i="1"/>
  <c r="E32" i="1"/>
  <c r="L33" i="1"/>
  <c r="E34" i="1"/>
  <c r="E36" i="1"/>
  <c r="E38" i="1"/>
  <c r="E40" i="1"/>
  <c r="L42" i="1"/>
  <c r="E43" i="1"/>
  <c r="L44" i="1"/>
  <c r="E45" i="1"/>
  <c r="E47" i="1"/>
  <c r="L48" i="1"/>
  <c r="E49" i="1"/>
  <c r="L50" i="1"/>
  <c r="L52" i="1"/>
  <c r="E53" i="1"/>
  <c r="L54" i="1"/>
  <c r="E55" i="1"/>
  <c r="L56" i="1"/>
  <c r="E57" i="1"/>
  <c r="L58" i="1"/>
  <c r="E59" i="1"/>
  <c r="L60" i="1"/>
  <c r="E61" i="1"/>
  <c r="L62" i="1"/>
  <c r="E63" i="1"/>
  <c r="E65" i="1"/>
  <c r="L66" i="1"/>
  <c r="E67" i="1"/>
  <c r="E69" i="1"/>
  <c r="E71" i="1"/>
  <c r="B4" i="3"/>
  <c r="C13" i="2"/>
  <c r="C3" i="2" s="1"/>
  <c r="R72" i="1"/>
  <c r="R118" i="1"/>
  <c r="R119" i="1"/>
  <c r="R120" i="1"/>
  <c r="R127" i="1"/>
  <c r="R128" i="1"/>
  <c r="R129" i="1"/>
  <c r="R153" i="1"/>
  <c r="B7" i="3"/>
  <c r="C17" i="2"/>
  <c r="C7" i="2" s="1"/>
  <c r="R165" i="1"/>
  <c r="L164" i="1"/>
  <c r="L162" i="1"/>
  <c r="L160" i="1"/>
  <c r="L159" i="1"/>
  <c r="L237" i="1"/>
  <c r="L234" i="1"/>
  <c r="R239" i="1"/>
  <c r="L238" i="1"/>
  <c r="L235" i="1"/>
  <c r="L25" i="1"/>
  <c r="B13" i="2"/>
  <c r="B3" i="2" s="1"/>
  <c r="D231" i="1"/>
  <c r="E230" i="1" s="1"/>
  <c r="R26" i="1"/>
  <c r="T26" i="1"/>
  <c r="B10" i="3"/>
  <c r="C14" i="2"/>
  <c r="C4" i="2" s="1"/>
  <c r="B8" i="3"/>
  <c r="C15" i="2"/>
  <c r="C5" i="2" s="1"/>
  <c r="L140" i="1"/>
  <c r="E141" i="1"/>
  <c r="L141" i="1"/>
  <c r="E173" i="1"/>
  <c r="E175" i="1"/>
  <c r="E177" i="1"/>
  <c r="E179" i="1"/>
  <c r="E181" i="1"/>
  <c r="E183" i="1"/>
  <c r="E185" i="1"/>
  <c r="E187" i="1"/>
  <c r="E189" i="1"/>
  <c r="E192" i="1"/>
  <c r="E194" i="1"/>
  <c r="E196" i="1"/>
  <c r="L201" i="1"/>
  <c r="R202" i="1"/>
  <c r="E207" i="1"/>
  <c r="E211" i="1"/>
  <c r="E214" i="1"/>
  <c r="E217" i="1"/>
  <c r="E219" i="1"/>
  <c r="E221" i="1"/>
  <c r="E223" i="1"/>
  <c r="E227" i="1"/>
  <c r="E229" i="1"/>
  <c r="R234" i="1"/>
  <c r="L236" i="1"/>
  <c r="E237" i="1"/>
  <c r="L242" i="1"/>
  <c r="C18" i="2"/>
  <c r="C8" i="2" s="1"/>
  <c r="C19" i="2"/>
  <c r="C9" i="2" s="1"/>
  <c r="C20" i="2"/>
  <c r="C10" i="2" s="1"/>
  <c r="C13" i="4"/>
  <c r="E13" i="4"/>
  <c r="G13" i="4"/>
  <c r="I13" i="4"/>
  <c r="R197" i="1"/>
  <c r="R230" i="1"/>
  <c r="E234" i="1"/>
  <c r="E235" i="1"/>
  <c r="E238" i="1"/>
  <c r="B9" i="3" l="1"/>
  <c r="L155" i="1"/>
  <c r="L143" i="1"/>
  <c r="L131" i="1"/>
  <c r="L120" i="1"/>
  <c r="L145" i="1"/>
  <c r="L129" i="1"/>
  <c r="L122" i="1"/>
  <c r="L137" i="1"/>
  <c r="L152" i="1"/>
  <c r="L149" i="1"/>
  <c r="K231" i="1"/>
  <c r="L156" i="1" s="1"/>
  <c r="L119" i="1"/>
  <c r="L147" i="1"/>
  <c r="L126" i="1"/>
  <c r="L133" i="1"/>
  <c r="L139" i="1"/>
  <c r="L150" i="1"/>
  <c r="C16" i="2"/>
  <c r="C6" i="2" s="1"/>
  <c r="L154" i="1"/>
  <c r="L118" i="1"/>
  <c r="L148" i="1"/>
  <c r="L124" i="1"/>
  <c r="L153" i="1"/>
  <c r="L127" i="1"/>
  <c r="L128" i="1"/>
  <c r="L142" i="1"/>
  <c r="L121" i="1"/>
  <c r="L123" i="1"/>
  <c r="L130" i="1"/>
  <c r="L132" i="1"/>
  <c r="L134" i="1"/>
  <c r="L138" i="1"/>
  <c r="L144" i="1"/>
  <c r="L146" i="1"/>
  <c r="L151" i="1"/>
  <c r="R156" i="1"/>
  <c r="E197" i="1"/>
  <c r="E114" i="1"/>
  <c r="D260" i="1"/>
  <c r="E202" i="1"/>
  <c r="E156" i="1"/>
  <c r="E165" i="1"/>
  <c r="E26" i="1"/>
  <c r="E72" i="1"/>
  <c r="L202" i="1" l="1"/>
  <c r="R231" i="1"/>
  <c r="L72" i="1"/>
  <c r="L230" i="1"/>
  <c r="L165" i="1"/>
  <c r="L197" i="1"/>
  <c r="K260" i="1"/>
  <c r="L114" i="1"/>
  <c r="L26" i="1"/>
</calcChain>
</file>

<file path=xl/sharedStrings.xml><?xml version="1.0" encoding="utf-8"?>
<sst xmlns="http://schemas.openxmlformats.org/spreadsheetml/2006/main" count="535" uniqueCount="337">
  <si>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</si>
  <si>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</si>
  <si>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</si>
  <si>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</si>
  <si>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</si>
  <si>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</si>
  <si>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</si>
  <si>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 xml:space="preserve"> </t>
  </si>
  <si>
    <t>Offer Price (N)</t>
  </si>
  <si>
    <t>Unitholders</t>
  </si>
  <si>
    <t>Yield (WTD)</t>
  </si>
  <si>
    <t>Yield  (YTD)</t>
  </si>
  <si>
    <t>Bid Price (N)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</si>
  <si>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</si>
  <si>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</si>
  <si>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</si>
  <si>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</si>
  <si>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</si>
  <si>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</si>
  <si>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</si>
  <si>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</si>
  <si>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</si>
  <si>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</si>
  <si>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</si>
  <si>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</si>
  <si>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</si>
  <si>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</si>
  <si>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</si>
  <si>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</si>
  <si>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</si>
  <si>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</si>
  <si>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</si>
  <si>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</si>
  <si>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</si>
  <si>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</si>
  <si>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</si>
  <si>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</si>
  <si>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</si>
  <si>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</si>
  <si>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</si>
  <si>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</si>
  <si>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</si>
  <si>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</si>
  <si>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</si>
  <si>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</si>
  <si>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</si>
  <si>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</si>
  <si>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</si>
  <si>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</si>
  <si>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</si>
  <si>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</si>
  <si>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</si>
  <si>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</si>
  <si>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</si>
  <si>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Zrosk Magna Equity Fund</t>
  </si>
  <si>
    <t>Zrosk Investment Management Limited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</si>
  <si>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</si>
  <si>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</si>
  <si>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</si>
  <si>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</si>
  <si>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</si>
  <si>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</si>
  <si>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</si>
  <si>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AVA GAM Money Market Fund</t>
  </si>
  <si>
    <t>AVA Global Asset Managers Limited</t>
  </si>
  <si>
    <t>AXA Mansard Money Market Fund</t>
  </si>
  <si>
    <t>CardinalStone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</si>
  <si>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</si>
  <si>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</si>
  <si>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</si>
  <si>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</si>
  <si>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</si>
  <si>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</si>
  <si>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</si>
  <si>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</si>
  <si>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</si>
  <si>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DLM Money Market Fund</t>
  </si>
  <si>
    <t>DLM Asset Management Limited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</si>
  <si>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</si>
  <si>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</si>
  <si>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</si>
  <si>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</si>
  <si>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</si>
  <si>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</si>
  <si>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Asset Management Limited</t>
  </si>
  <si>
    <t>First Ally Money Market Fund</t>
  </si>
  <si>
    <t>First Ally Asset Management Limited</t>
  </si>
  <si>
    <t>FSL Money Market Fund</t>
  </si>
  <si>
    <t>FSL Asset Management Limited</t>
  </si>
  <si>
    <t>Fundvine Money Market Fund</t>
  </si>
  <si>
    <t>Fundvine Berkshire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</si>
  <si>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</si>
  <si>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</si>
  <si>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</si>
  <si>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</si>
  <si>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</si>
  <si>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</si>
  <si>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Investment Fund 724</t>
  </si>
  <si>
    <t>Guaranty Trust Money Market Fund</t>
  </si>
  <si>
    <t>Legacy Money Market Fund</t>
  </si>
  <si>
    <t>Mango Naira Money Market Fund</t>
  </si>
  <si>
    <t>Mango Asset Management Limited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</si>
  <si>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</si>
  <si>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</si>
  <si>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</si>
  <si>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</si>
  <si>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</si>
  <si>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</si>
  <si>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</si>
  <si>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</si>
  <si>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Parthian Money Market Fund</t>
  </si>
  <si>
    <t>Parthian Capital Limited</t>
  </si>
  <si>
    <t>RMBN Money Market Fund</t>
  </si>
  <si>
    <t>RMB Nigeria Asset Management Ltd.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</si>
  <si>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</si>
  <si>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</si>
  <si>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</si>
  <si>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</si>
  <si>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</si>
  <si>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</si>
  <si>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</si>
  <si>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</si>
  <si>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</si>
  <si>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</si>
  <si>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</si>
  <si>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</si>
  <si>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</si>
  <si>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</si>
  <si>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</si>
  <si>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</si>
  <si>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</si>
  <si>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</si>
  <si>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</si>
  <si>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CardinalStone Fixed Income Alpha Fund</t>
  </si>
  <si>
    <t>CEAT Fixed Income Fund</t>
  </si>
  <si>
    <t>Capital Express Asset and Trust Limited</t>
  </si>
  <si>
    <t>CFG AM Fixed Income Naira Fund</t>
  </si>
  <si>
    <t>CFG Asset Management Limited</t>
  </si>
  <si>
    <t>Comercio Partners Fixed Income Fund</t>
  </si>
  <si>
    <t>Coral Income Fund</t>
  </si>
  <si>
    <t>Cordros Fixed Income Fund</t>
  </si>
  <si>
    <t>Coronation Fixed Income Fund</t>
  </si>
  <si>
    <t>Coronation Premium Fixed Income Fund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</si>
  <si>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</si>
  <si>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</si>
  <si>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</si>
  <si>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</si>
  <si>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</si>
  <si>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</si>
  <si>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</si>
  <si>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</si>
  <si>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</si>
  <si>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</si>
  <si>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</si>
  <si>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</si>
  <si>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</si>
  <si>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</si>
  <si>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</si>
  <si>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</si>
  <si>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</si>
  <si>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</si>
  <si>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</si>
  <si>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</si>
  <si>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</si>
  <si>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</si>
  <si>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</si>
  <si>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</si>
  <si>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Trustbanc Fixed Income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</si>
  <si>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</si>
  <si>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</si>
  <si>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</si>
  <si>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</si>
  <si>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</si>
  <si>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</si>
  <si>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</si>
  <si>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</si>
  <si>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</si>
  <si>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</si>
  <si>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</si>
  <si>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ARM Short-Term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</si>
  <si>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</si>
  <si>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</si>
  <si>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</si>
  <si>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</si>
  <si>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</si>
  <si>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</si>
  <si>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</si>
  <si>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FSL Eurobond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</si>
  <si>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</si>
  <si>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</si>
  <si>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</si>
  <si>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</si>
  <si>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</si>
  <si>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</si>
  <si>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</si>
  <si>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</si>
  <si>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CFG AM Fixed Income Dollar Fund</t>
  </si>
  <si>
    <t>Cordros Dollar Fund</t>
  </si>
  <si>
    <t>Coronation Dollar Fund</t>
  </si>
  <si>
    <t>FSDH Dollar Fund</t>
  </si>
  <si>
    <t>Greenwich Fixed Income Dollar Fund</t>
  </si>
  <si>
    <t>Guaranty Trust Dollar Fund</t>
  </si>
  <si>
    <t>Lead Dollar Fixed Income Fund</t>
  </si>
  <si>
    <t>Meristem Dollar Fund</t>
  </si>
  <si>
    <t>Nigeria Dollar Income Fund</t>
  </si>
  <si>
    <t>Nova Dollar Fixed Income Fund</t>
  </si>
  <si>
    <t>Parthian Dollar Fixed Income Fund</t>
  </si>
  <si>
    <t>Stanbic IBTC Dollar Fund</t>
  </si>
  <si>
    <t>STL Dollar Fund</t>
  </si>
  <si>
    <t>United Capital Global Fixed Income Fund</t>
  </si>
  <si>
    <t>RMBN Dollar Fixed Income Fund</t>
  </si>
  <si>
    <t>Vetiva USD Fixed Income Fund</t>
  </si>
  <si>
    <t>Zedcrest Dollar Fund</t>
  </si>
  <si>
    <t>REAL ESTATE INVESTMENT TRUSTS</t>
  </si>
  <si>
    <t>Housing Solution Fund</t>
  </si>
  <si>
    <t>Fundco Capital Managers Limited</t>
  </si>
  <si>
    <t>MOFI Real Estate Investment Fund</t>
  </si>
  <si>
    <t>Nigeria Real Estate Investment Trust</t>
  </si>
  <si>
    <t>Union Homes REITS</t>
  </si>
  <si>
    <t>SFS Real Estate Investment Trust Fund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</si>
  <si>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</si>
  <si>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</si>
  <si>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</si>
  <si>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</si>
  <si>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</si>
  <si>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</si>
  <si>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</si>
  <si>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CardinalStone Balanced Fund</t>
  </si>
  <si>
    <t>Coral Balanced Fund</t>
  </si>
  <si>
    <t>Cordros Milestone Fund</t>
  </si>
  <si>
    <t>Coronation Balanced Fund</t>
  </si>
  <si>
    <t xml:space="preserve">Coronation Asset Management 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</si>
  <si>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</si>
  <si>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</si>
  <si>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</si>
  <si>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</si>
  <si>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</si>
  <si>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</si>
  <si>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</si>
  <si>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</si>
  <si>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</si>
  <si>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</si>
  <si>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</si>
  <si>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</si>
  <si>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</si>
  <si>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</si>
  <si>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</si>
  <si>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</si>
  <si>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</si>
  <si>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</si>
  <si>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</si>
  <si>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</si>
  <si>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</si>
  <si>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</si>
  <si>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</si>
  <si>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</si>
  <si>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</si>
  <si>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</si>
  <si>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</si>
  <si>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</si>
  <si>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</si>
  <si>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ARM Sharia Compliant Fixed Income Fund</t>
  </si>
  <si>
    <t>CapitalTrust Halal Fixed Income Fund</t>
  </si>
  <si>
    <t>CapitalTrust Investments &amp; Asset Management Ltd.</t>
  </si>
  <si>
    <t>Cordros Halal Fixed Income Fund</t>
  </si>
  <si>
    <t>D'Namaz Halal Fixed Income Fund</t>
  </si>
  <si>
    <t>D'Namaz Capital Limited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</si>
  <si>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</si>
  <si>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</si>
  <si>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</si>
  <si>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</si>
  <si>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</si>
  <si>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</si>
  <si>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</si>
  <si>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</si>
  <si>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</si>
  <si>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</si>
  <si>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</si>
  <si>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</si>
  <si>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Afrinvest Halal Fund</t>
  </si>
  <si>
    <t>ARM Halal Balanced Fund</t>
  </si>
  <si>
    <t>Lotus Waqf (Endowment) Fund</t>
  </si>
  <si>
    <t>One17 Halal Fund</t>
  </si>
  <si>
    <t>One17 Capital Limited</t>
  </si>
  <si>
    <t>Mutual Funds Total</t>
  </si>
  <si>
    <t>SPECIALISED FUNDS</t>
  </si>
  <si>
    <t>ARM Specialized Dollar Fund</t>
  </si>
  <si>
    <t>Clean Energy Fund</t>
  </si>
  <si>
    <t>FBN Blended Dollar Fund</t>
  </si>
  <si>
    <t>FCMB-TLG Private Debt Fund</t>
  </si>
  <si>
    <t>United Capital Children Investment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</si>
  <si>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</si>
  <si>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</si>
  <si>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</si>
  <si>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</si>
  <si>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</si>
  <si>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</si>
  <si>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</si>
  <si>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</si>
  <si>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</si>
  <si>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</si>
  <si>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</si>
  <si>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</si>
  <si>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</si>
  <si>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</si>
  <si>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</si>
  <si>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</si>
  <si>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</si>
  <si>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</si>
  <si>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</si>
  <si>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</si>
  <si>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</si>
  <si>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</si>
  <si>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</si>
  <si>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</si>
  <si>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</si>
  <si>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</si>
  <si>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</si>
  <si>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</si>
  <si>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</si>
  <si>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</si>
  <si>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</si>
  <si>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</si>
  <si>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</si>
  <si>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</si>
  <si>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</si>
  <si>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>UPDC Real Estate Investment Trust</t>
  </si>
  <si>
    <t>Samtl Mixed Income Fund</t>
  </si>
  <si>
    <t>Samtl Fund Managers Limited</t>
  </si>
  <si>
    <t>Zedcrest Equity Fund</t>
  </si>
  <si>
    <t>NAV, Unit Price and Yield as at Week Ended January 2, 2026</t>
  </si>
  <si>
    <t>Week Ended January 2, 2026</t>
  </si>
  <si>
    <t>WEEKLY VALUATION REPORT OF COLLECTIVE INVESTMENT SCHEMES AS AT WEEK ENDED FRIDAY, JANUARY 9, 2026</t>
  </si>
  <si>
    <t>NAV, Unit Price and Yield as at Week Ended January 9, 2026</t>
  </si>
  <si>
    <t>NFEM RATE NG₦/US$ as at 9th January, 2026 = N1423.1674</t>
  </si>
  <si>
    <t>Week Ended January 9, 2026</t>
  </si>
  <si>
    <t>RT Briscoe Savings &amp; Investment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</si>
</sst>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_-* #,##0.0000_-;\-* #,##0.0000_-;_-* &quot;-&quot;??_-;_-@_-"/>
    <numFmt numFmtId="167" formatCode="0.0%"/>
  </numFmts>
  <fonts count="5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color theme="4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12"/>
      <color rgb="FF000000"/>
      <name val="Calibri"/>
      <family val="2"/>
      <scheme val="minor"/>
    </font>
    <font>
      <i/>
      <sz val="8"/>
      <name val="Arial Narrow"/>
      <family val="2"/>
    </font>
    <font>
      <b/>
      <sz val="6"/>
      <color theme="0"/>
      <name val="Times New Roman"/>
      <family val="1"/>
    </font>
    <font>
      <sz val="8"/>
      <color rgb="FF424242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Calibri"/>
      <family val="2"/>
      <scheme val="minor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family val="2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0"/>
      <name val="Arial Narrow"/>
      <family val="2"/>
    </font>
    <font>
      <sz val="11"/>
      <name val="Calibri"/>
      <charset val="134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3" tint="0.799798577837458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1">
    <xf numFmtId="0" fontId="0" fillId="0" borderId="0"/>
    <xf numFmtId="164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43" fontId="43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0" fontId="44" fillId="21" borderId="0" applyNumberFormat="0" applyBorder="0" applyAlignment="0" applyProtection="0"/>
    <xf numFmtId="0" fontId="45" fillId="0" borderId="0"/>
    <xf numFmtId="0" fontId="42" fillId="0" borderId="0"/>
    <xf numFmtId="0" fontId="42" fillId="0" borderId="0"/>
    <xf numFmtId="0" fontId="4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47" fillId="0" borderId="0" applyNumberFormat="0" applyFill="0" applyBorder="0" applyAlignment="0" applyProtection="0"/>
  </cellStyleXfs>
  <cellXfs count="206">
    <xf numFmtId="0" fontId="0" fillId="0" borderId="0" xfId="0"/>
    <xf numFmtId="0" fontId="2" fillId="0" borderId="1" xfId="0" applyFont="1" applyBorder="1" applyAlignment="1">
      <alignment horizontal="right"/>
    </xf>
    <xf numFmtId="16" fontId="3" fillId="2" borderId="1" xfId="0" applyNumberFormat="1" applyFont="1" applyFill="1" applyBorder="1"/>
    <xf numFmtId="0" fontId="3" fillId="0" borderId="1" xfId="0" applyFont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/>
    <xf numFmtId="4" fontId="5" fillId="2" borderId="1" xfId="0" applyNumberFormat="1" applyFont="1" applyFill="1" applyBorder="1"/>
    <xf numFmtId="164" fontId="4" fillId="2" borderId="1" xfId="1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right"/>
    </xf>
    <xf numFmtId="43" fontId="6" fillId="3" borderId="1" xfId="0" applyNumberFormat="1" applyFont="1" applyFill="1" applyBorder="1"/>
    <xf numFmtId="0" fontId="5" fillId="0" borderId="0" xfId="0" applyFont="1"/>
    <xf numFmtId="164" fontId="5" fillId="0" borderId="0" xfId="1" applyFont="1"/>
    <xf numFmtId="0" fontId="2" fillId="4" borderId="1" xfId="0" applyFont="1" applyFill="1" applyBorder="1" applyAlignment="1">
      <alignment horizontal="right"/>
    </xf>
    <xf numFmtId="43" fontId="2" fillId="4" borderId="1" xfId="0" applyNumberFormat="1" applyFont="1" applyFill="1" applyBorder="1"/>
    <xf numFmtId="164" fontId="2" fillId="4" borderId="1" xfId="1" applyFont="1" applyFill="1" applyBorder="1"/>
    <xf numFmtId="0" fontId="7" fillId="0" borderId="0" xfId="0" applyFont="1"/>
    <xf numFmtId="0" fontId="8" fillId="0" borderId="1" xfId="0" applyFont="1" applyBorder="1" applyAlignment="1">
      <alignment horizontal="right"/>
    </xf>
    <xf numFmtId="164" fontId="4" fillId="0" borderId="1" xfId="1" applyFont="1" applyBorder="1"/>
    <xf numFmtId="164" fontId="7" fillId="0" borderId="0" xfId="1" applyFont="1"/>
    <xf numFmtId="43" fontId="7" fillId="0" borderId="0" xfId="0" applyNumberFormat="1" applyFont="1"/>
    <xf numFmtId="0" fontId="9" fillId="0" borderId="0" xfId="0" applyFont="1"/>
    <xf numFmtId="0" fontId="10" fillId="0" borderId="0" xfId="0" applyFont="1"/>
    <xf numFmtId="16" fontId="11" fillId="2" borderId="0" xfId="0" applyNumberFormat="1" applyFont="1" applyFill="1"/>
    <xf numFmtId="164" fontId="12" fillId="0" borderId="0" xfId="1" applyFont="1"/>
    <xf numFmtId="43" fontId="12" fillId="0" borderId="0" xfId="0" applyNumberFormat="1" applyFont="1"/>
    <xf numFmtId="4" fontId="12" fillId="0" borderId="0" xfId="0" applyNumberFormat="1" applyFont="1"/>
    <xf numFmtId="4" fontId="14" fillId="2" borderId="0" xfId="0" applyNumberFormat="1" applyFont="1" applyFill="1"/>
    <xf numFmtId="164" fontId="14" fillId="2" borderId="0" xfId="1" applyFont="1" applyFill="1" applyBorder="1" applyAlignment="1">
      <alignment horizontal="right" vertical="top" wrapText="1"/>
    </xf>
    <xf numFmtId="0" fontId="13" fillId="0" borderId="0" xfId="0" applyFont="1" applyAlignment="1">
      <alignment horizontal="right"/>
    </xf>
    <xf numFmtId="0" fontId="5" fillId="2" borderId="0" xfId="0" applyFont="1" applyFill="1" applyAlignment="1">
      <alignment wrapText="1"/>
    </xf>
    <xf numFmtId="0" fontId="16" fillId="0" borderId="0" xfId="0" applyFont="1" applyAlignment="1">
      <alignment horizontal="right"/>
    </xf>
    <xf numFmtId="16" fontId="16" fillId="2" borderId="0" xfId="0" applyNumberFormat="1" applyFont="1" applyFill="1" applyAlignment="1">
      <alignment horizontal="center" wrapText="1"/>
    </xf>
    <xf numFmtId="0" fontId="16" fillId="0" borderId="0" xfId="0" applyFont="1" applyAlignment="1">
      <alignment horizontal="right" wrapText="1"/>
    </xf>
    <xf numFmtId="4" fontId="17" fillId="2" borderId="0" xfId="0" applyNumberFormat="1" applyFont="1" applyFill="1"/>
    <xf numFmtId="4" fontId="17" fillId="2" borderId="0" xfId="0" applyNumberFormat="1" applyFont="1" applyFill="1" applyAlignment="1">
      <alignment horizontal="right"/>
    </xf>
    <xf numFmtId="164" fontId="17" fillId="2" borderId="0" xfId="1" applyFont="1" applyFill="1" applyBorder="1" applyAlignment="1">
      <alignment horizontal="right" vertical="top" wrapText="1"/>
    </xf>
    <xf numFmtId="0" fontId="18" fillId="0" borderId="0" xfId="0" applyFont="1" applyAlignment="1">
      <alignment horizontal="right" wrapText="1"/>
    </xf>
    <xf numFmtId="164" fontId="19" fillId="0" borderId="0" xfId="1" applyFont="1" applyBorder="1"/>
    <xf numFmtId="4" fontId="19" fillId="2" borderId="0" xfId="0" applyNumberFormat="1" applyFont="1" applyFill="1"/>
    <xf numFmtId="0" fontId="18" fillId="0" borderId="0" xfId="0" applyFont="1" applyAlignment="1">
      <alignment horizontal="right"/>
    </xf>
    <xf numFmtId="4" fontId="19" fillId="2" borderId="0" xfId="0" applyNumberFormat="1" applyFont="1" applyFill="1" applyAlignment="1">
      <alignment horizontal="right"/>
    </xf>
    <xf numFmtId="164" fontId="19" fillId="2" borderId="0" xfId="1" applyFont="1" applyFill="1" applyBorder="1" applyAlignment="1">
      <alignment horizontal="right" vertical="top" wrapText="1"/>
    </xf>
    <xf numFmtId="0" fontId="5" fillId="6" borderId="1" xfId="0" applyFont="1" applyFill="1" applyBorder="1"/>
    <xf numFmtId="0" fontId="21" fillId="7" borderId="1" xfId="0" applyFont="1" applyFill="1" applyBorder="1"/>
    <xf numFmtId="0" fontId="22" fillId="7" borderId="1" xfId="0" applyFont="1" applyFill="1" applyBorder="1"/>
    <xf numFmtId="0" fontId="23" fillId="3" borderId="1" xfId="0" applyFont="1" applyFill="1" applyBorder="1" applyAlignment="1">
      <alignment horizontal="center" vertical="top" wrapText="1"/>
    </xf>
    <xf numFmtId="0" fontId="23" fillId="3" borderId="1" xfId="0" applyFont="1" applyFill="1" applyBorder="1" applyAlignment="1">
      <alignment vertical="top" wrapText="1"/>
    </xf>
    <xf numFmtId="0" fontId="21" fillId="3" borderId="1" xfId="0" applyFont="1" applyFill="1" applyBorder="1" applyAlignment="1">
      <alignment vertical="top" wrapText="1"/>
    </xf>
    <xf numFmtId="0" fontId="21" fillId="3" borderId="1" xfId="0" applyFont="1" applyFill="1" applyBorder="1" applyAlignment="1">
      <alignment horizontal="center" vertical="top"/>
    </xf>
    <xf numFmtId="0" fontId="21" fillId="3" borderId="1" xfId="0" applyFont="1" applyFill="1" applyBorder="1" applyAlignment="1">
      <alignment horizontal="center" vertical="top" wrapText="1"/>
    </xf>
    <xf numFmtId="0" fontId="5" fillId="0" borderId="1" xfId="0" applyFont="1" applyBorder="1"/>
    <xf numFmtId="4" fontId="26" fillId="2" borderId="1" xfId="0" applyNumberFormat="1" applyFont="1" applyFill="1" applyBorder="1"/>
    <xf numFmtId="10" fontId="26" fillId="7" borderId="1" xfId="2" applyNumberFormat="1" applyFont="1" applyFill="1" applyBorder="1" applyAlignment="1">
      <alignment horizontal="center"/>
    </xf>
    <xf numFmtId="164" fontId="26" fillId="9" borderId="1" xfId="1" applyFont="1" applyFill="1" applyBorder="1" applyAlignment="1">
      <alignment horizontal="center"/>
    </xf>
    <xf numFmtId="0" fontId="27" fillId="0" borderId="0" xfId="0" applyFont="1"/>
    <xf numFmtId="164" fontId="24" fillId="9" borderId="1" xfId="1" applyFont="1" applyFill="1" applyBorder="1" applyAlignment="1">
      <alignment horizontal="center"/>
    </xf>
    <xf numFmtId="164" fontId="26" fillId="2" borderId="1" xfId="1" applyFont="1" applyFill="1" applyBorder="1"/>
    <xf numFmtId="164" fontId="26" fillId="2" borderId="1" xfId="10" applyFont="1" applyFill="1" applyBorder="1"/>
    <xf numFmtId="4" fontId="27" fillId="0" borderId="0" xfId="0" applyNumberFormat="1" applyFont="1"/>
    <xf numFmtId="4" fontId="26" fillId="2" borderId="1" xfId="0" applyNumberFormat="1" applyFont="1" applyFill="1" applyBorder="1" applyAlignment="1">
      <alignment horizontal="right"/>
    </xf>
    <xf numFmtId="0" fontId="24" fillId="0" borderId="1" xfId="0" applyFont="1" applyBorder="1"/>
    <xf numFmtId="0" fontId="24" fillId="2" borderId="1" xfId="0" applyFont="1" applyFill="1" applyBorder="1"/>
    <xf numFmtId="0" fontId="23" fillId="2" borderId="1" xfId="0" applyFont="1" applyFill="1" applyBorder="1" applyAlignment="1">
      <alignment horizontal="right"/>
    </xf>
    <xf numFmtId="164" fontId="23" fillId="2" borderId="1" xfId="1" applyFont="1" applyFill="1" applyBorder="1" applyAlignment="1">
      <alignment horizontal="right" vertical="top" wrapText="1"/>
    </xf>
    <xf numFmtId="10" fontId="29" fillId="7" borderId="1" xfId="2" applyNumberFormat="1" applyFont="1" applyFill="1" applyBorder="1" applyAlignment="1">
      <alignment horizontal="center" vertical="top" wrapText="1"/>
    </xf>
    <xf numFmtId="10" fontId="26" fillId="2" borderId="1" xfId="2" applyNumberFormat="1" applyFont="1" applyFill="1" applyBorder="1" applyAlignment="1">
      <alignment horizontal="center" vertical="top" wrapText="1"/>
    </xf>
    <xf numFmtId="4" fontId="26" fillId="2" borderId="1" xfId="1" applyNumberFormat="1" applyFont="1" applyFill="1" applyBorder="1" applyAlignment="1">
      <alignment vertical="top" wrapText="1"/>
    </xf>
    <xf numFmtId="164" fontId="23" fillId="9" borderId="1" xfId="1" applyFont="1" applyFill="1" applyBorder="1" applyAlignment="1">
      <alignment horizontal="center"/>
    </xf>
    <xf numFmtId="0" fontId="26" fillId="2" borderId="1" xfId="0" applyFont="1" applyFill="1" applyBorder="1" applyAlignment="1">
      <alignment horizontal="center" wrapText="1"/>
    </xf>
    <xf numFmtId="164" fontId="26" fillId="2" borderId="1" xfId="10" applyFont="1" applyFill="1" applyBorder="1" applyAlignment="1">
      <alignment horizontal="right"/>
    </xf>
    <xf numFmtId="4" fontId="26" fillId="2" borderId="1" xfId="1" applyNumberFormat="1" applyFont="1" applyFill="1" applyBorder="1" applyAlignment="1">
      <alignment horizontal="right"/>
    </xf>
    <xf numFmtId="164" fontId="26" fillId="9" borderId="1" xfId="1" applyFont="1" applyFill="1" applyBorder="1" applyAlignment="1">
      <alignment horizontal="center" wrapText="1"/>
    </xf>
    <xf numFmtId="164" fontId="26" fillId="2" borderId="1" xfId="1" applyFont="1" applyFill="1" applyBorder="1" applyAlignment="1">
      <alignment horizontal="right"/>
    </xf>
    <xf numFmtId="164" fontId="26" fillId="2" borderId="1" xfId="10" applyFont="1" applyFill="1" applyBorder="1" applyAlignment="1">
      <alignment horizontal="right" wrapText="1"/>
    </xf>
    <xf numFmtId="164" fontId="21" fillId="3" borderId="1" xfId="1" applyFont="1" applyFill="1" applyBorder="1" applyAlignment="1">
      <alignment horizontal="center" vertical="top"/>
    </xf>
    <xf numFmtId="10" fontId="26" fillId="9" borderId="1" xfId="2" applyNumberFormat="1" applyFont="1" applyFill="1" applyBorder="1" applyAlignment="1">
      <alignment horizontal="center"/>
    </xf>
    <xf numFmtId="10" fontId="24" fillId="9" borderId="1" xfId="2" applyNumberFormat="1" applyFont="1" applyFill="1" applyBorder="1" applyAlignment="1">
      <alignment horizontal="center"/>
    </xf>
    <xf numFmtId="10" fontId="26" fillId="9" borderId="1" xfId="2" applyNumberFormat="1" applyFont="1" applyFill="1" applyBorder="1" applyAlignment="1">
      <alignment horizontal="center" vertical="top" wrapText="1"/>
    </xf>
    <xf numFmtId="10" fontId="26" fillId="9" borderId="1" xfId="2" applyNumberFormat="1" applyFont="1" applyFill="1" applyBorder="1" applyAlignment="1">
      <alignment horizontal="center" wrapText="1"/>
    </xf>
    <xf numFmtId="10" fontId="26" fillId="7" borderId="1" xfId="2" applyNumberFormat="1" applyFont="1" applyFill="1" applyBorder="1" applyAlignment="1">
      <alignment horizontal="center" wrapText="1"/>
    </xf>
    <xf numFmtId="10" fontId="26" fillId="3" borderId="1" xfId="2" applyNumberFormat="1" applyFont="1" applyFill="1" applyBorder="1" applyAlignment="1">
      <alignment horizontal="center" vertical="top" wrapText="1"/>
    </xf>
    <xf numFmtId="10" fontId="24" fillId="3" borderId="1" xfId="2" applyNumberFormat="1" applyFont="1" applyFill="1" applyBorder="1" applyAlignment="1">
      <alignment horizontal="center" vertical="top" wrapText="1"/>
    </xf>
    <xf numFmtId="10" fontId="24" fillId="3" borderId="1" xfId="1" applyNumberFormat="1" applyFont="1" applyFill="1" applyBorder="1" applyAlignment="1">
      <alignment horizontal="center" vertical="top" wrapText="1"/>
    </xf>
    <xf numFmtId="10" fontId="30" fillId="10" borderId="0" xfId="0" applyNumberFormat="1" applyFont="1" applyFill="1" applyAlignment="1">
      <alignment horizontal="right" vertical="center" wrapText="1"/>
    </xf>
    <xf numFmtId="164" fontId="23" fillId="2" borderId="1" xfId="1" applyFont="1" applyFill="1" applyBorder="1" applyAlignment="1">
      <alignment horizontal="right"/>
    </xf>
    <xf numFmtId="2" fontId="26" fillId="2" borderId="1" xfId="0" applyNumberFormat="1" applyFont="1" applyFill="1" applyBorder="1"/>
    <xf numFmtId="164" fontId="26" fillId="2" borderId="1" xfId="10" applyFont="1" applyFill="1" applyBorder="1" applyAlignment="1">
      <alignment wrapText="1"/>
    </xf>
    <xf numFmtId="164" fontId="26" fillId="11" borderId="1" xfId="1" applyFont="1" applyFill="1" applyBorder="1" applyAlignment="1">
      <alignment horizontal="center"/>
    </xf>
    <xf numFmtId="10" fontId="26" fillId="9" borderId="1" xfId="1" applyNumberFormat="1" applyFont="1" applyFill="1" applyBorder="1" applyAlignment="1">
      <alignment horizontal="center"/>
    </xf>
    <xf numFmtId="10" fontId="26" fillId="11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7" fillId="0" borderId="0" xfId="1" applyFont="1"/>
    <xf numFmtId="2" fontId="0" fillId="0" borderId="0" xfId="0" applyNumberFormat="1"/>
    <xf numFmtId="165" fontId="0" fillId="0" borderId="0" xfId="0" applyNumberFormat="1"/>
    <xf numFmtId="4" fontId="32" fillId="10" borderId="0" xfId="0" applyNumberFormat="1" applyFont="1" applyFill="1" applyAlignment="1">
      <alignment horizontal="right" vertical="center" wrapText="1"/>
    </xf>
    <xf numFmtId="0" fontId="26" fillId="0" borderId="1" xfId="0" applyFont="1" applyBorder="1"/>
    <xf numFmtId="0" fontId="23" fillId="0" borderId="1" xfId="0" applyFont="1" applyBorder="1" applyAlignment="1">
      <alignment horizontal="right"/>
    </xf>
    <xf numFmtId="4" fontId="34" fillId="0" borderId="1" xfId="0" applyNumberFormat="1" applyFont="1" applyBorder="1"/>
    <xf numFmtId="0" fontId="28" fillId="2" borderId="1" xfId="0" applyFont="1" applyFill="1" applyBorder="1"/>
    <xf numFmtId="4" fontId="26" fillId="2" borderId="1" xfId="1" applyNumberFormat="1" applyFont="1" applyFill="1" applyBorder="1" applyAlignment="1">
      <alignment horizontal="right" vertical="top" wrapText="1"/>
    </xf>
    <xf numFmtId="4" fontId="26" fillId="9" borderId="1" xfId="1" applyNumberFormat="1" applyFont="1" applyFill="1" applyBorder="1" applyAlignment="1">
      <alignment horizontal="center"/>
    </xf>
    <xf numFmtId="4" fontId="26" fillId="9" borderId="1" xfId="1" applyNumberFormat="1" applyFont="1" applyFill="1" applyBorder="1" applyAlignment="1">
      <alignment horizontal="center" vertical="top" wrapText="1"/>
    </xf>
    <xf numFmtId="166" fontId="19" fillId="0" borderId="0" xfId="1" applyNumberFormat="1" applyFont="1"/>
    <xf numFmtId="4" fontId="35" fillId="0" borderId="0" xfId="0" applyNumberFormat="1" applyFont="1"/>
    <xf numFmtId="164" fontId="23" fillId="2" borderId="1" xfId="1" applyFont="1" applyFill="1" applyBorder="1"/>
    <xf numFmtId="43" fontId="26" fillId="2" borderId="1" xfId="0" applyNumberFormat="1" applyFont="1" applyFill="1" applyBorder="1"/>
    <xf numFmtId="4" fontId="26" fillId="2" borderId="1" xfId="0" applyNumberFormat="1" applyFont="1" applyFill="1" applyBorder="1" applyAlignment="1">
      <alignment horizontal="right" wrapText="1"/>
    </xf>
    <xf numFmtId="4" fontId="26" fillId="2" borderId="1" xfId="10" applyNumberFormat="1" applyFont="1" applyFill="1" applyBorder="1" applyAlignment="1">
      <alignment horizontal="right"/>
    </xf>
    <xf numFmtId="4" fontId="26" fillId="2" borderId="1" xfId="10" applyNumberFormat="1" applyFont="1" applyFill="1" applyBorder="1" applyAlignment="1">
      <alignment horizontal="right" wrapText="1"/>
    </xf>
    <xf numFmtId="4" fontId="23" fillId="9" borderId="1" xfId="1" applyNumberFormat="1" applyFont="1" applyFill="1" applyBorder="1" applyAlignment="1">
      <alignment horizontal="right" vertical="top" wrapText="1"/>
    </xf>
    <xf numFmtId="0" fontId="26" fillId="14" borderId="1" xfId="0" applyFont="1" applyFill="1" applyBorder="1" applyAlignment="1">
      <alignment horizontal="right" vertical="center"/>
    </xf>
    <xf numFmtId="0" fontId="23" fillId="14" borderId="1" xfId="0" applyFont="1" applyFill="1" applyBorder="1" applyAlignment="1">
      <alignment horizontal="right" vertical="center"/>
    </xf>
    <xf numFmtId="164" fontId="23" fillId="14" borderId="1" xfId="1" applyFont="1" applyFill="1" applyBorder="1" applyAlignment="1">
      <alignment horizontal="right" vertical="center" wrapText="1"/>
    </xf>
    <xf numFmtId="10" fontId="26" fillId="14" borderId="1" xfId="1" applyNumberFormat="1" applyFont="1" applyFill="1" applyBorder="1" applyAlignment="1">
      <alignment horizontal="right" vertical="center" wrapText="1"/>
    </xf>
    <xf numFmtId="4" fontId="26" fillId="14" borderId="1" xfId="1" applyNumberFormat="1" applyFont="1" applyFill="1" applyBorder="1" applyAlignment="1">
      <alignment horizontal="right" vertical="center" wrapText="1"/>
    </xf>
    <xf numFmtId="164" fontId="23" fillId="14" borderId="1" xfId="1" applyFont="1" applyFill="1" applyBorder="1" applyAlignment="1">
      <alignment horizontal="right" vertical="top" wrapText="1"/>
    </xf>
    <xf numFmtId="4" fontId="26" fillId="2" borderId="1" xfId="10" applyNumberFormat="1" applyFont="1" applyFill="1" applyBorder="1" applyAlignment="1">
      <alignment horizontal="right" vertical="top" wrapText="1"/>
    </xf>
    <xf numFmtId="164" fontId="36" fillId="14" borderId="1" xfId="1" applyFont="1" applyFill="1" applyBorder="1" applyAlignment="1">
      <alignment horizontal="right" vertical="top" wrapText="1"/>
    </xf>
    <xf numFmtId="4" fontId="26" fillId="14" borderId="1" xfId="1" applyNumberFormat="1" applyFont="1" applyFill="1" applyBorder="1" applyAlignment="1">
      <alignment horizontal="right" vertical="top" wrapText="1"/>
    </xf>
    <xf numFmtId="164" fontId="26" fillId="2" borderId="1" xfId="10" applyFont="1" applyFill="1" applyBorder="1" applyAlignment="1">
      <alignment horizontal="right" vertical="top" wrapText="1"/>
    </xf>
    <xf numFmtId="10" fontId="26" fillId="7" borderId="1" xfId="2" applyNumberFormat="1" applyFont="1" applyFill="1" applyBorder="1" applyAlignment="1">
      <alignment horizontal="center" vertical="top" wrapText="1"/>
    </xf>
    <xf numFmtId="164" fontId="26" fillId="9" borderId="1" xfId="1" applyFont="1" applyFill="1" applyBorder="1" applyAlignment="1">
      <alignment horizontal="center" vertical="top" wrapText="1"/>
    </xf>
    <xf numFmtId="164" fontId="26" fillId="2" borderId="1" xfId="1" applyFont="1" applyFill="1" applyBorder="1" applyAlignment="1">
      <alignment horizontal="right" vertical="top" wrapText="1"/>
    </xf>
    <xf numFmtId="43" fontId="26" fillId="9" borderId="1" xfId="0" applyNumberFormat="1" applyFont="1" applyFill="1" applyBorder="1" applyAlignment="1">
      <alignment horizontal="center"/>
    </xf>
    <xf numFmtId="9" fontId="26" fillId="14" borderId="1" xfId="2" applyFont="1" applyFill="1" applyBorder="1" applyAlignment="1">
      <alignment horizontal="center" vertical="center" wrapText="1"/>
    </xf>
    <xf numFmtId="4" fontId="26" fillId="14" borderId="1" xfId="1" applyNumberFormat="1" applyFont="1" applyFill="1" applyBorder="1" applyAlignment="1">
      <alignment horizontal="center" vertical="center" wrapText="1"/>
    </xf>
    <xf numFmtId="4" fontId="26" fillId="14" borderId="1" xfId="1" applyNumberFormat="1" applyFont="1" applyFill="1" applyBorder="1" applyAlignment="1">
      <alignment horizontal="center" vertical="top" wrapText="1"/>
    </xf>
    <xf numFmtId="10" fontId="26" fillId="3" borderId="1" xfId="1" applyNumberFormat="1" applyFont="1" applyFill="1" applyBorder="1" applyAlignment="1">
      <alignment horizontal="center" vertical="top" wrapText="1"/>
    </xf>
    <xf numFmtId="164" fontId="0" fillId="0" borderId="0" xfId="1" applyFont="1"/>
    <xf numFmtId="10" fontId="24" fillId="14" borderId="1" xfId="2" applyNumberFormat="1" applyFont="1" applyFill="1" applyBorder="1" applyAlignment="1">
      <alignment horizontal="center" vertical="top" wrapText="1"/>
    </xf>
    <xf numFmtId="167" fontId="24" fillId="14" borderId="1" xfId="2" applyNumberFormat="1" applyFont="1" applyFill="1" applyBorder="1" applyAlignment="1">
      <alignment horizontal="center" vertical="top" wrapText="1"/>
    </xf>
    <xf numFmtId="10" fontId="24" fillId="14" borderId="1" xfId="1" applyNumberFormat="1" applyFont="1" applyFill="1" applyBorder="1" applyAlignment="1">
      <alignment horizontal="center" vertical="top" wrapText="1"/>
    </xf>
    <xf numFmtId="0" fontId="26" fillId="14" borderId="1" xfId="0" applyFont="1" applyFill="1" applyBorder="1" applyAlignment="1">
      <alignment horizontal="right"/>
    </xf>
    <xf numFmtId="0" fontId="23" fillId="14" borderId="1" xfId="0" applyFont="1" applyFill="1" applyBorder="1" applyAlignment="1">
      <alignment horizontal="right"/>
    </xf>
    <xf numFmtId="0" fontId="26" fillId="15" borderId="1" xfId="0" applyFont="1" applyFill="1" applyBorder="1" applyAlignment="1">
      <alignment horizontal="right" vertical="top" wrapText="1"/>
    </xf>
    <xf numFmtId="0" fontId="33" fillId="15" borderId="1" xfId="0" applyFont="1" applyFill="1" applyBorder="1" applyAlignment="1">
      <alignment horizontal="right" vertical="top" wrapText="1"/>
    </xf>
    <xf numFmtId="164" fontId="33" fillId="15" borderId="1" xfId="1" applyFont="1" applyFill="1" applyBorder="1" applyAlignment="1">
      <alignment horizontal="right" vertical="top" wrapText="1"/>
    </xf>
    <xf numFmtId="164" fontId="15" fillId="15" borderId="1" xfId="1" applyFont="1" applyFill="1" applyBorder="1" applyAlignment="1">
      <alignment horizontal="right" vertical="top" wrapText="1"/>
    </xf>
    <xf numFmtId="4" fontId="15" fillId="15" borderId="1" xfId="0" applyNumberFormat="1" applyFont="1" applyFill="1" applyBorder="1" applyAlignment="1">
      <alignment horizontal="right"/>
    </xf>
    <xf numFmtId="0" fontId="37" fillId="5" borderId="1" xfId="0" applyFont="1" applyFill="1" applyBorder="1" applyAlignment="1">
      <alignment horizontal="right" vertical="center"/>
    </xf>
    <xf numFmtId="0" fontId="37" fillId="5" borderId="1" xfId="0" applyFont="1" applyFill="1" applyBorder="1" applyAlignment="1">
      <alignment horizontal="left" vertical="center"/>
    </xf>
    <xf numFmtId="0" fontId="9" fillId="5" borderId="1" xfId="0" applyFont="1" applyFill="1" applyBorder="1"/>
    <xf numFmtId="0" fontId="38" fillId="0" borderId="0" xfId="0" applyFont="1"/>
    <xf numFmtId="0" fontId="39" fillId="0" borderId="0" xfId="0" applyFont="1"/>
    <xf numFmtId="43" fontId="0" fillId="0" borderId="0" xfId="0" applyNumberFormat="1"/>
    <xf numFmtId="0" fontId="40" fillId="0" borderId="0" xfId="0" applyFont="1"/>
    <xf numFmtId="0" fontId="28" fillId="2" borderId="0" xfId="0" applyFont="1" applyFill="1" applyAlignment="1">
      <alignment wrapText="1"/>
    </xf>
    <xf numFmtId="43" fontId="40" fillId="0" borderId="0" xfId="16" applyFont="1" applyBorder="1"/>
    <xf numFmtId="2" fontId="40" fillId="0" borderId="0" xfId="0" applyNumberFormat="1" applyFont="1"/>
    <xf numFmtId="9" fontId="15" fillId="15" borderId="1" xfId="2" applyFont="1" applyFill="1" applyBorder="1" applyAlignment="1">
      <alignment horizontal="center"/>
    </xf>
    <xf numFmtId="4" fontId="15" fillId="15" borderId="1" xfId="0" applyNumberFormat="1" applyFont="1" applyFill="1" applyBorder="1" applyAlignment="1">
      <alignment horizontal="center"/>
    </xf>
    <xf numFmtId="10" fontId="40" fillId="0" borderId="0" xfId="2" applyNumberFormat="1" applyFont="1" applyBorder="1"/>
    <xf numFmtId="10" fontId="41" fillId="0" borderId="0" xfId="2" applyNumberFormat="1" applyFont="1" applyBorder="1"/>
    <xf numFmtId="10" fontId="0" fillId="0" borderId="0" xfId="2" applyNumberFormat="1" applyFont="1"/>
    <xf numFmtId="10" fontId="15" fillId="15" borderId="1" xfId="2" applyNumberFormat="1" applyFont="1" applyFill="1" applyBorder="1" applyAlignment="1">
      <alignment horizontal="center" vertical="top" wrapText="1"/>
    </xf>
    <xf numFmtId="167" fontId="15" fillId="15" borderId="1" xfId="2" applyNumberFormat="1" applyFont="1" applyFill="1" applyBorder="1" applyAlignment="1">
      <alignment horizontal="center" vertical="top" wrapText="1"/>
    </xf>
    <xf numFmtId="167" fontId="26" fillId="15" borderId="1" xfId="2" applyNumberFormat="1" applyFont="1" applyFill="1" applyBorder="1" applyAlignment="1">
      <alignment horizontal="center" vertical="top" wrapText="1"/>
    </xf>
    <xf numFmtId="43" fontId="2" fillId="4" borderId="1" xfId="0" quotePrefix="1" applyNumberFormat="1" applyFont="1" applyFill="1" applyBorder="1" applyAlignment="1">
      <alignment horizontal="center"/>
    </xf>
    <xf numFmtId="0" fontId="48" fillId="0" borderId="0" xfId="0" applyFont="1"/>
    <xf numFmtId="4" fontId="24" fillId="0" borderId="0" xfId="0" applyNumberFormat="1" applyFont="1"/>
    <xf numFmtId="0" fontId="49" fillId="0" borderId="0" xfId="0" applyFont="1"/>
    <xf numFmtId="10" fontId="24" fillId="7" borderId="1" xfId="2" applyNumberFormat="1" applyFont="1" applyFill="1" applyBorder="1" applyAlignment="1">
      <alignment horizontal="center"/>
    </xf>
    <xf numFmtId="2" fontId="24" fillId="2" borderId="1" xfId="0" applyNumberFormat="1" applyFont="1" applyFill="1" applyBorder="1"/>
    <xf numFmtId="4" fontId="24" fillId="2" borderId="1" xfId="0" applyNumberFormat="1" applyFont="1" applyFill="1" applyBorder="1"/>
    <xf numFmtId="0" fontId="1" fillId="0" borderId="0" xfId="0" applyFont="1"/>
    <xf numFmtId="2" fontId="27" fillId="0" borderId="0" xfId="0" applyNumberFormat="1" applyFont="1"/>
    <xf numFmtId="0" fontId="26" fillId="2" borderId="1" xfId="0" applyFont="1" applyFill="1" applyBorder="1" applyAlignment="1">
      <alignment wrapText="1"/>
    </xf>
    <xf numFmtId="0" fontId="8" fillId="0" borderId="0" xfId="0" applyFont="1" applyAlignment="1">
      <alignment horizontal="right"/>
    </xf>
    <xf numFmtId="4" fontId="4" fillId="2" borderId="0" xfId="0" applyNumberFormat="1" applyFont="1" applyFill="1" applyAlignment="1">
      <alignment horizontal="right"/>
    </xf>
    <xf numFmtId="4" fontId="4" fillId="2" borderId="0" xfId="0" applyNumberFormat="1" applyFont="1" applyFill="1"/>
    <xf numFmtId="4" fontId="26" fillId="2" borderId="1" xfId="0" applyNumberFormat="1" applyFont="1" applyFill="1" applyBorder="1" applyAlignment="1">
      <alignment wrapText="1"/>
    </xf>
    <xf numFmtId="49" fontId="26" fillId="2" borderId="1" xfId="0" applyNumberFormat="1" applyFont="1" applyFill="1" applyBorder="1" applyAlignment="1">
      <alignment wrapText="1"/>
    </xf>
    <xf numFmtId="0" fontId="26" fillId="2" borderId="1" xfId="0" applyFont="1" applyFill="1" applyBorder="1" applyAlignment="1">
      <alignment horizontal="left" wrapText="1"/>
    </xf>
    <xf numFmtId="0" fontId="50" fillId="0" borderId="0" xfId="0" applyFont="1"/>
    <xf numFmtId="0" fontId="51" fillId="2" borderId="0" xfId="0" applyFont="1" applyFill="1" applyAlignment="1">
      <alignment horizontal="right"/>
    </xf>
    <xf numFmtId="16" fontId="13" fillId="2" borderId="0" xfId="0" applyNumberFormat="1" applyFont="1" applyFill="1"/>
    <xf numFmtId="0" fontId="9" fillId="2" borderId="0" xfId="0" applyFont="1" applyFill="1"/>
    <xf numFmtId="0" fontId="13" fillId="2" borderId="0" xfId="0" applyFont="1" applyFill="1" applyAlignment="1">
      <alignment horizontal="right"/>
    </xf>
    <xf numFmtId="4" fontId="14" fillId="2" borderId="0" xfId="0" applyNumberFormat="1" applyFont="1" applyFill="1" applyAlignment="1">
      <alignment horizontal="right"/>
    </xf>
    <xf numFmtId="164" fontId="9" fillId="2" borderId="0" xfId="1" applyFont="1" applyFill="1" applyBorder="1"/>
    <xf numFmtId="0" fontId="24" fillId="2" borderId="1" xfId="0" applyFont="1" applyFill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4" fontId="24" fillId="2" borderId="1" xfId="0" applyNumberFormat="1" applyFont="1" applyFill="1" applyBorder="1" applyAlignment="1">
      <alignment wrapText="1"/>
    </xf>
    <xf numFmtId="0" fontId="24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wrapText="1"/>
    </xf>
    <xf numFmtId="0" fontId="24" fillId="0" borderId="1" xfId="0" applyFont="1" applyBorder="1" applyAlignment="1">
      <alignment horizontal="center" vertical="center"/>
    </xf>
    <xf numFmtId="4" fontId="24" fillId="2" borderId="1" xfId="44" applyNumberFormat="1" applyFont="1" applyFill="1" applyBorder="1" applyAlignment="1">
      <alignment wrapText="1"/>
    </xf>
    <xf numFmtId="0" fontId="26" fillId="2" borderId="1" xfId="0" applyFont="1" applyFill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4" fontId="26" fillId="0" borderId="1" xfId="0" applyNumberFormat="1" applyFont="1" applyBorder="1" applyAlignment="1">
      <alignment wrapText="1"/>
    </xf>
    <xf numFmtId="0" fontId="52" fillId="0" borderId="0" xfId="0" applyFont="1"/>
    <xf numFmtId="0" fontId="7" fillId="2" borderId="0" xfId="0" applyFont="1" applyFill="1"/>
    <xf numFmtId="164" fontId="4" fillId="2" borderId="0" xfId="1" applyFont="1" applyFill="1" applyBorder="1" applyAlignment="1">
      <alignment horizontal="right" vertical="top" wrapText="1"/>
    </xf>
    <xf numFmtId="0" fontId="6" fillId="8" borderId="1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/>
    </xf>
    <xf numFmtId="0" fontId="26" fillId="2" borderId="1" xfId="0" applyFont="1" applyFill="1" applyBorder="1" applyAlignment="1">
      <alignment horizontal="center" wrapText="1"/>
    </xf>
    <xf numFmtId="0" fontId="33" fillId="13" borderId="1" xfId="0" applyFont="1" applyFill="1" applyBorder="1" applyAlignment="1">
      <alignment horizontal="center" wrapText="1"/>
    </xf>
    <xf numFmtId="0" fontId="33" fillId="8" borderId="1" xfId="0" applyFont="1" applyFill="1" applyBorder="1" applyAlignment="1">
      <alignment horizontal="center"/>
    </xf>
    <xf numFmtId="0" fontId="31" fillId="12" borderId="1" xfId="0" applyFont="1" applyFill="1" applyBorder="1" applyAlignment="1">
      <alignment horizontal="center"/>
    </xf>
    <xf numFmtId="0" fontId="25" fillId="8" borderId="1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 vertical="top" wrapText="1"/>
    </xf>
    <xf numFmtId="0" fontId="20" fillId="5" borderId="1" xfId="0" applyFont="1" applyFill="1" applyBorder="1" applyAlignment="1">
      <alignment horizontal="center"/>
    </xf>
    <xf numFmtId="0" fontId="21" fillId="7" borderId="1" xfId="0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wrapText="1"/>
    </xf>
  </cellXfs>
  <cellStyles count="61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0 13 2" xfId="11"/>
    <cellStyle name="Comma 11" xfId="12"/>
    <cellStyle name="Comma 14" xfId="13"/>
    <cellStyle name="Comma 15" xfId="14"/>
    <cellStyle name="Comma 15 2" xfId="15"/>
    <cellStyle name="Comma 2" xfId="16"/>
    <cellStyle name="Comma 2 2" xfId="17"/>
    <cellStyle name="Comma 2 2 2" xfId="18"/>
    <cellStyle name="Comma 2 3" xfId="19"/>
    <cellStyle name="Comma 3" xfId="20"/>
    <cellStyle name="Comma 3 2" xfId="21"/>
    <cellStyle name="Comma 3 2 2" xfId="22"/>
    <cellStyle name="Comma 3 2 2 2" xfId="23"/>
    <cellStyle name="Comma 3 2 3" xfId="24"/>
    <cellStyle name="Comma 4" xfId="25"/>
    <cellStyle name="Comma 5" xfId="26"/>
    <cellStyle name="Comma 6" xfId="27"/>
    <cellStyle name="Comma 7" xfId="28"/>
    <cellStyle name="Comma 7 2" xfId="29"/>
    <cellStyle name="Comma 8" xfId="30"/>
    <cellStyle name="Comma 9" xfId="31"/>
    <cellStyle name="Comma 9 2" xfId="32"/>
    <cellStyle name="Neutral 2" xfId="33"/>
    <cellStyle name="Normal" xfId="0" builtinId="0"/>
    <cellStyle name="Normal 2" xfId="34"/>
    <cellStyle name="Normal 2 2" xfId="35"/>
    <cellStyle name="Normal 2 2 2" xfId="36"/>
    <cellStyle name="Normal 27 2" xfId="37"/>
    <cellStyle name="Normal 3" xfId="38"/>
    <cellStyle name="Normal 3 2" xfId="39"/>
    <cellStyle name="Normal 4" xfId="40"/>
    <cellStyle name="Normal 4 2" xfId="41"/>
    <cellStyle name="Normal 5" xfId="42"/>
    <cellStyle name="Normal 5 2" xfId="43"/>
    <cellStyle name="Normal 6" xfId="44"/>
    <cellStyle name="Normal 6 2" xfId="45"/>
    <cellStyle name="Normal 6 2 2" xfId="46"/>
    <cellStyle name="Percent" xfId="2" builtinId="5"/>
    <cellStyle name="Percent 13" xfId="47"/>
    <cellStyle name="Percent 13 2" xfId="48"/>
    <cellStyle name="Percent 2" xfId="49"/>
    <cellStyle name="Percent 2 2" xfId="50"/>
    <cellStyle name="Percent 2 2 2" xfId="51"/>
    <cellStyle name="Percent 2 3" xfId="52"/>
    <cellStyle name="Percent 3" xfId="53"/>
    <cellStyle name="Percent 3 2" xfId="54"/>
    <cellStyle name="Percent 4" xfId="55"/>
    <cellStyle name="Percent 4 2" xfId="56"/>
    <cellStyle name="Percent 5" xfId="57"/>
    <cellStyle name="Percent 6" xfId="58"/>
    <cellStyle name="Percent 7" xfId="59"/>
    <cellStyle name="Title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January 2, 2026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Comparison'!$B$3:$B$11</c:f>
              <c:numCache>
                <c:formatCode>#,##0.00</c:formatCode>
                <c:ptCount val="9"/>
                <c:pt idx="0">
                  <c:v>81.634147241387197</c:v>
                </c:pt>
                <c:pt idx="1">
                  <c:v>4861.6973217289278</c:v>
                </c:pt>
                <c:pt idx="2">
                  <c:v>241.49102191276637</c:v>
                </c:pt>
                <c:pt idx="3">
                  <c:v>1957.3930435863615</c:v>
                </c:pt>
                <c:pt idx="4">
                  <c:v>482.86110028811964</c:v>
                </c:pt>
                <c:pt idx="5" formatCode="_-* #,##0.00_-;\-* #,##0.00_-;_-* &quot;-&quot;??_-;_-@_-">
                  <c:v>84.098310043701247</c:v>
                </c:pt>
                <c:pt idx="6">
                  <c:v>8.4530623198899999</c:v>
                </c:pt>
                <c:pt idx="7">
                  <c:v>79.754070467976177</c:v>
                </c:pt>
                <c:pt idx="8">
                  <c:v>18.740964878253337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4-485B-B2FA-123DA4A4CFB3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January 9, 2026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Comparison'!$C$3:$C$11</c:f>
              <c:numCache>
                <c:formatCode>#,##0.00</c:formatCode>
                <c:ptCount val="9"/>
                <c:pt idx="0">
                  <c:v>88.746718359350893</c:v>
                </c:pt>
                <c:pt idx="1">
                  <c:v>4966.7559626115844</c:v>
                </c:pt>
                <c:pt idx="2">
                  <c:v>242.70240314686171</c:v>
                </c:pt>
                <c:pt idx="3">
                  <c:v>1941.0641464720418</c:v>
                </c:pt>
                <c:pt idx="4">
                  <c:v>504.01907512386998</c:v>
                </c:pt>
                <c:pt idx="5" formatCode="_-* #,##0.00_-;\-* #,##0.00_-;_-* &quot;-&quot;??_-;_-@_-">
                  <c:v>88.017317935611075</c:v>
                </c:pt>
                <c:pt idx="6">
                  <c:v>8.9364394183799991</c:v>
                </c:pt>
                <c:pt idx="7">
                  <c:v>82.371525516392538</c:v>
                </c:pt>
                <c:pt idx="8">
                  <c:v>18.756838778421937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84-485B-B2FA-123DA4A4CF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45978400"/>
        <c:axId val="255697712"/>
      </c:barChart>
      <c:catAx>
        <c:axId val="145978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55697712"/>
        <c:crosses val="autoZero"/>
        <c:auto val="1"/>
        <c:lblAlgn val="ctr"/>
        <c:lblOffset val="100"/>
        <c:noMultiLvlLbl val="0"/>
      </c:catAx>
      <c:valAx>
        <c:axId val="255697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45978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9TH JANUARY, 2026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5382304706685366"/>
          <c:y val="1.8702749868806573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9-Jan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CD-4238-805E-79E3D03273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1CD-4238-805E-79E3D03273A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1CD-4238-805E-79E3D03273A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1CD-4238-805E-79E3D03273A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1CD-4238-805E-79E3D03273A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1CD-4238-805E-79E3D03273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1CD-4238-805E-79E3D03273A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CD-4238-805E-79E3D03273A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9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804E-2"/>
                      <c:h val="7.40762974126113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CD-4238-805E-79E3D03273A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1CD-4238-805E-79E3D03273AE}"/>
                </c:ext>
              </c:extLst>
            </c:dLbl>
            <c:dLbl>
              <c:idx val="2"/>
              <c:layout>
                <c:manualLayout>
                  <c:x val="-2.43329415803131E-2"/>
                  <c:y val="-9.75631346843399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1CD-4238-805E-79E3D03273A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1CD-4238-805E-79E3D03273AE}"/>
                </c:ext>
              </c:extLst>
            </c:dLbl>
            <c:dLbl>
              <c:idx val="4"/>
              <c:layout>
                <c:manualLayout>
                  <c:x val="-1.9911338166239988E-2"/>
                  <c:y val="-0.1152061035006779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1CD-4238-805E-79E3D03273AE}"/>
                </c:ext>
              </c:extLst>
            </c:dLbl>
            <c:dLbl>
              <c:idx val="5"/>
              <c:layout>
                <c:manualLayout>
                  <c:x val="0.12519178075328871"/>
                  <c:y val="-0.1538166011610618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1CD-4238-805E-79E3D03273AE}"/>
                </c:ext>
              </c:extLst>
            </c:dLbl>
            <c:dLbl>
              <c:idx val="6"/>
              <c:layout>
                <c:manualLayout>
                  <c:x val="0.1048281673819053"/>
                  <c:y val="7.524831088468098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1CD-4238-805E-79E3D03273AE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1CD-4238-805E-79E3D03273AE}"/>
                </c:ext>
              </c:extLst>
            </c:dLbl>
            <c:dLbl>
              <c:idx val="8"/>
              <c:layout>
                <c:manualLayout>
                  <c:x val="-0.21830311802119767"/>
                  <c:y val="-0.199591660471421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C2C-451A-80BF-6519EFFE5B2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Share'!$A$2:$A$10</c:f>
              <c:strCache>
                <c:ptCount val="9"/>
                <c:pt idx="0">
                  <c:v>ETHICAL FUNDS</c:v>
                </c:pt>
                <c:pt idx="1">
                  <c:v>SPECIALISED FUNDS</c:v>
                </c:pt>
                <c:pt idx="2">
                  <c:v>EQUITY BASED FUNDS</c:v>
                </c:pt>
                <c:pt idx="3">
                  <c:v>SHARI'AH COMPLAINT FUNDS</c:v>
                </c:pt>
                <c:pt idx="4">
                  <c:v>BALANCED FUNDS</c:v>
                </c:pt>
                <c:pt idx="5">
                  <c:v>REAL ESTATE INVESTMENT TRUST</c:v>
                </c:pt>
                <c:pt idx="6">
                  <c:v>BONDS/FIXED INCOME FUNDS</c:v>
                </c:pt>
                <c:pt idx="7">
                  <c:v>DOLLAR FUNDS</c:v>
                </c:pt>
                <c:pt idx="8">
                  <c:v>MONEY MARKET FUNDS</c:v>
                </c:pt>
              </c:strCache>
            </c:strRef>
          </c:cat>
          <c:val>
            <c:numRef>
              <c:f>'Market Share'!$B$2:$B$10</c:f>
              <c:numCache>
                <c:formatCode>#,##0.00</c:formatCode>
                <c:ptCount val="9"/>
                <c:pt idx="0">
                  <c:v>8936439418.3799992</c:v>
                </c:pt>
                <c:pt idx="1">
                  <c:v>18756838778.421936</c:v>
                </c:pt>
                <c:pt idx="2">
                  <c:v>88746718359.350891</c:v>
                </c:pt>
                <c:pt idx="3" formatCode="_-* #,##0.00_-;\-* #,##0.00_-;_-* &quot;-&quot;??_-;_-@_-">
                  <c:v>82371525516.392532</c:v>
                </c:pt>
                <c:pt idx="4">
                  <c:v>88017317935.611069</c:v>
                </c:pt>
                <c:pt idx="5">
                  <c:v>504019075123.87</c:v>
                </c:pt>
                <c:pt idx="6">
                  <c:v>242702403146.86172</c:v>
                </c:pt>
                <c:pt idx="7">
                  <c:v>1941064146472.0417</c:v>
                </c:pt>
                <c:pt idx="8">
                  <c:v>4966755962611.584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1CD-4238-805E-79E3D03273A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45982</c:v>
                </c:pt>
                <c:pt idx="1">
                  <c:v>45989</c:v>
                </c:pt>
                <c:pt idx="2">
                  <c:v>45996</c:v>
                </c:pt>
                <c:pt idx="3">
                  <c:v>46003</c:v>
                </c:pt>
                <c:pt idx="4">
                  <c:v>46010</c:v>
                </c:pt>
                <c:pt idx="5">
                  <c:v>46015</c:v>
                </c:pt>
                <c:pt idx="6">
                  <c:v>46024</c:v>
                </c:pt>
                <c:pt idx="7">
                  <c:v>46031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7259.9310118544208</c:v>
                </c:pt>
                <c:pt idx="1">
                  <c:v>7416.5411604761439</c:v>
                </c:pt>
                <c:pt idx="2">
                  <c:v>7473.2757425151976</c:v>
                </c:pt>
                <c:pt idx="3">
                  <c:v>7522.4259502457116</c:v>
                </c:pt>
                <c:pt idx="4">
                  <c:v>7603.1851114640458</c:v>
                </c:pt>
                <c:pt idx="5">
                  <c:v>7672.435028174913</c:v>
                </c:pt>
                <c:pt idx="6">
                  <c:v>7816.1230424673831</c:v>
                </c:pt>
                <c:pt idx="7">
                  <c:v>7941.3704273625135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9-45FC-8D31-ECB21A7F50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27975552"/>
        <c:axId val="328105904"/>
      </c:lineChart>
      <c:dateAx>
        <c:axId val="32797555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8105904"/>
        <c:crosses val="autoZero"/>
        <c:auto val="1"/>
        <c:lblOffset val="100"/>
        <c:baseTimeUnit val="days"/>
      </c:dateAx>
      <c:valAx>
        <c:axId val="328105904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97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 sz="1600"/>
              <a:t>AGGREGATE </a:t>
            </a:r>
            <a:r>
              <a: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45982</c:v>
                </c:pt>
                <c:pt idx="1">
                  <c:v>45989</c:v>
                </c:pt>
                <c:pt idx="2">
                  <c:v>45996</c:v>
                </c:pt>
                <c:pt idx="3">
                  <c:v>46003</c:v>
                </c:pt>
                <c:pt idx="4">
                  <c:v>46010</c:v>
                </c:pt>
                <c:pt idx="5">
                  <c:v>46015</c:v>
                </c:pt>
                <c:pt idx="6">
                  <c:v>46024</c:v>
                </c:pt>
                <c:pt idx="7">
                  <c:v>46031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16.915814556049998</c:v>
                </c:pt>
                <c:pt idx="1">
                  <c:v>16.97292700869</c:v>
                </c:pt>
                <c:pt idx="2">
                  <c:v>17.413222879320003</c:v>
                </c:pt>
                <c:pt idx="3">
                  <c:v>17.682838809310002</c:v>
                </c:pt>
                <c:pt idx="4">
                  <c:v>17.94056485019</c:v>
                </c:pt>
                <c:pt idx="5">
                  <c:v>18.082167415780003</c:v>
                </c:pt>
                <c:pt idx="6">
                  <c:v>18.294657025999999</c:v>
                </c:pt>
                <c:pt idx="7">
                  <c:v>18.629129376529999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9-4D76-8B47-F198EF18C2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28047144"/>
        <c:axId val="327973656"/>
      </c:lineChart>
      <c:dateAx>
        <c:axId val="328047144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973656"/>
        <c:crosses val="autoZero"/>
        <c:auto val="1"/>
        <c:lblOffset val="100"/>
        <c:baseTimeUnit val="days"/>
      </c:dateAx>
      <c:valAx>
        <c:axId val="327973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8047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15240</xdr:colOff>
      <xdr:row>22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71717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68"/>
  <sheetViews>
    <sheetView tabSelected="1" zoomScale="120" zoomScaleNormal="120" workbookViewId="0">
      <pane ySplit="3" topLeftCell="A4" activePane="bottomLeft" state="frozen"/>
      <selection pane="bottomLeft" activeCell="A4" sqref="A4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11.44140625" customWidth="1"/>
    <col min="11" max="11" width="20.5546875" customWidth="1"/>
    <col min="13" max="14" width="10.109375" customWidth="1"/>
    <col min="15" max="15" width="10.5546875" customWidth="1"/>
    <col min="16" max="16" width="8.33203125" customWidth="1"/>
    <col min="17" max="17" width="9.109375" customWidth="1"/>
    <col min="20" max="20" width="9.33203125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203" t="s">
        <v>332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</row>
    <row r="2" spans="1:25" ht="14.4" customHeight="1">
      <c r="A2" s="42"/>
      <c r="B2" s="43"/>
      <c r="C2" s="44"/>
      <c r="D2" s="204" t="s">
        <v>330</v>
      </c>
      <c r="E2" s="204"/>
      <c r="F2" s="204"/>
      <c r="G2" s="204"/>
      <c r="H2" s="204"/>
      <c r="I2" s="204"/>
      <c r="J2" s="204"/>
      <c r="K2" s="204" t="s">
        <v>333</v>
      </c>
      <c r="L2" s="204"/>
      <c r="M2" s="204"/>
      <c r="N2" s="204"/>
      <c r="O2" s="204"/>
      <c r="P2" s="204"/>
      <c r="Q2" s="204"/>
      <c r="R2" s="204" t="s">
        <v>0</v>
      </c>
      <c r="S2" s="204"/>
      <c r="T2" s="204"/>
      <c r="U2" s="204" t="s">
        <v>1</v>
      </c>
      <c r="V2" s="204"/>
    </row>
    <row r="3" spans="1:25" ht="20.399999999999999">
      <c r="A3" s="45" t="s">
        <v>2</v>
      </c>
      <c r="B3" s="46" t="s">
        <v>3</v>
      </c>
      <c r="C3" s="47" t="s">
        <v>4</v>
      </c>
      <c r="D3" s="48" t="s">
        <v>5</v>
      </c>
      <c r="E3" s="49" t="s">
        <v>6</v>
      </c>
      <c r="F3" s="49" t="s">
        <v>7</v>
      </c>
      <c r="G3" s="49" t="s">
        <v>8</v>
      </c>
      <c r="H3" s="49" t="s">
        <v>9</v>
      </c>
      <c r="I3" s="49" t="s">
        <v>10</v>
      </c>
      <c r="J3" s="49" t="s">
        <v>11</v>
      </c>
      <c r="K3" s="74" t="s">
        <v>5</v>
      </c>
      <c r="L3" s="49" t="s">
        <v>6</v>
      </c>
      <c r="M3" s="49" t="s">
        <v>12</v>
      </c>
      <c r="N3" s="49" t="s">
        <v>8</v>
      </c>
      <c r="O3" s="49" t="s">
        <v>9</v>
      </c>
      <c r="P3" s="49" t="s">
        <v>10</v>
      </c>
      <c r="Q3" s="49" t="s">
        <v>11</v>
      </c>
      <c r="R3" s="48" t="s">
        <v>13</v>
      </c>
      <c r="S3" s="49" t="s">
        <v>14</v>
      </c>
      <c r="T3" s="49" t="s">
        <v>15</v>
      </c>
      <c r="U3" s="49" t="s">
        <v>16</v>
      </c>
      <c r="V3" s="49" t="s">
        <v>17</v>
      </c>
    </row>
    <row r="4" spans="1:25" ht="5.25" customHeight="1">
      <c r="A4" s="50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</row>
    <row r="5" spans="1:25" ht="15" customHeight="1">
      <c r="A5" s="201" t="s">
        <v>18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</row>
    <row r="6" spans="1:25">
      <c r="A6" s="189">
        <v>1</v>
      </c>
      <c r="B6" s="170" t="s">
        <v>19</v>
      </c>
      <c r="C6" s="166" t="s">
        <v>20</v>
      </c>
      <c r="D6" s="163">
        <v>4567762171.0900002</v>
      </c>
      <c r="E6" s="161">
        <f t="shared" ref="E6:E24" si="0">(D6/$D$26)</f>
        <v>5.5954062429088729E-2</v>
      </c>
      <c r="F6" s="163">
        <v>625.18949999999995</v>
      </c>
      <c r="G6" s="163">
        <v>631.32839999999999</v>
      </c>
      <c r="H6" s="55">
        <v>1695</v>
      </c>
      <c r="I6" s="76">
        <v>1.01E-2</v>
      </c>
      <c r="J6" s="76">
        <v>1.01E-2</v>
      </c>
      <c r="K6" s="163">
        <v>5261261233.1499996</v>
      </c>
      <c r="L6" s="161">
        <f t="shared" ref="L6:L25" si="1">(K6/$K$26)</f>
        <v>5.9284008810852454E-2</v>
      </c>
      <c r="M6" s="163">
        <v>649.59860000000003</v>
      </c>
      <c r="N6" s="163">
        <v>656.2319</v>
      </c>
      <c r="O6" s="55">
        <v>1695</v>
      </c>
      <c r="P6" s="76">
        <v>3.9E-2</v>
      </c>
      <c r="Q6" s="76">
        <v>4.9500000000000002E-2</v>
      </c>
      <c r="R6" s="81">
        <f>((K6-D6)/D6)</f>
        <v>0.15182468703148583</v>
      </c>
      <c r="S6" s="81">
        <f>((N6-G6)/G6)</f>
        <v>3.944618997022787E-2</v>
      </c>
      <c r="T6" s="81">
        <f>((O6-H6)/H6)</f>
        <v>0</v>
      </c>
      <c r="U6" s="81">
        <f>P6-I6</f>
        <v>2.8900000000000002E-2</v>
      </c>
      <c r="V6" s="82">
        <f>Q6-J6</f>
        <v>3.9400000000000004E-2</v>
      </c>
      <c r="W6" s="164"/>
    </row>
    <row r="7" spans="1:25">
      <c r="A7" s="186">
        <v>2</v>
      </c>
      <c r="B7" s="183" t="s">
        <v>21</v>
      </c>
      <c r="C7" s="166" t="s">
        <v>22</v>
      </c>
      <c r="D7" s="51">
        <v>1273498243.0899999</v>
      </c>
      <c r="E7" s="52">
        <f t="shared" si="0"/>
        <v>1.5600067938779875E-2</v>
      </c>
      <c r="F7" s="51">
        <v>411.12529999999998</v>
      </c>
      <c r="G7" s="51">
        <v>416.16070000000002</v>
      </c>
      <c r="H7" s="53">
        <v>632</v>
      </c>
      <c r="I7" s="75">
        <v>3.418E-3</v>
      </c>
      <c r="J7" s="75">
        <v>3.3999999999999998E-3</v>
      </c>
      <c r="K7" s="51">
        <v>1373129919.6199999</v>
      </c>
      <c r="L7" s="52">
        <f t="shared" si="1"/>
        <v>1.5472458531480096E-2</v>
      </c>
      <c r="M7" s="51">
        <v>438.94889999999998</v>
      </c>
      <c r="N7" s="51">
        <v>444.31240000000003</v>
      </c>
      <c r="O7" s="53">
        <v>641</v>
      </c>
      <c r="P7" s="75">
        <v>1.2723999999999999E-2</v>
      </c>
      <c r="Q7" s="75">
        <v>7.1499999999999994E-2</v>
      </c>
      <c r="R7" s="80">
        <f t="shared" ref="R7:R26" si="2">((K7-D7)/D7)</f>
        <v>7.823463995384472E-2</v>
      </c>
      <c r="S7" s="80">
        <f t="shared" ref="S7:S26" si="3">((N7-G7)/G7)</f>
        <v>6.7646224162925539E-2</v>
      </c>
      <c r="T7" s="80">
        <f t="shared" ref="T7:T26" si="4">((O7-H7)/H7)</f>
        <v>1.4240506329113924E-2</v>
      </c>
      <c r="U7" s="81">
        <f t="shared" ref="U7:U26" si="5">P7-I7</f>
        <v>9.3059999999999983E-3</v>
      </c>
      <c r="V7" s="82">
        <f t="shared" ref="V7:V26" si="6">Q7-J7</f>
        <v>6.8099999999999994E-2</v>
      </c>
    </row>
    <row r="8" spans="1:25">
      <c r="A8" s="189">
        <v>3</v>
      </c>
      <c r="B8" s="170" t="s">
        <v>23</v>
      </c>
      <c r="C8" s="166" t="s">
        <v>24</v>
      </c>
      <c r="D8" s="51">
        <v>7560693280.5100002</v>
      </c>
      <c r="E8" s="52">
        <f t="shared" si="0"/>
        <v>9.2616797455524244E-2</v>
      </c>
      <c r="F8" s="51">
        <v>52.8782</v>
      </c>
      <c r="G8" s="54">
        <v>54.472499999999997</v>
      </c>
      <c r="H8" s="55">
        <v>8560</v>
      </c>
      <c r="I8" s="76">
        <v>0.32890000000000003</v>
      </c>
      <c r="J8" s="76">
        <v>0.49280000000000002</v>
      </c>
      <c r="K8" s="51">
        <v>8224202274.4399996</v>
      </c>
      <c r="L8" s="52">
        <f t="shared" si="1"/>
        <v>9.2670494486779498E-2</v>
      </c>
      <c r="M8" s="51">
        <v>55.121299999999998</v>
      </c>
      <c r="N8" s="54">
        <v>56.783299999999997</v>
      </c>
      <c r="O8" s="55">
        <v>8684</v>
      </c>
      <c r="P8" s="76">
        <v>1.9097</v>
      </c>
      <c r="Q8" s="76">
        <v>1.6521999999999999</v>
      </c>
      <c r="R8" s="80">
        <f t="shared" si="2"/>
        <v>8.7757692226504772E-2</v>
      </c>
      <c r="S8" s="80">
        <f t="shared" si="3"/>
        <v>4.2421405296250408E-2</v>
      </c>
      <c r="T8" s="80">
        <f t="shared" si="4"/>
        <v>1.4485981308411215E-2</v>
      </c>
      <c r="U8" s="81">
        <f t="shared" si="5"/>
        <v>1.5808</v>
      </c>
      <c r="V8" s="82">
        <f t="shared" si="6"/>
        <v>1.1593999999999998</v>
      </c>
      <c r="X8" s="83"/>
      <c r="Y8" s="83"/>
    </row>
    <row r="9" spans="1:25">
      <c r="A9" s="189">
        <v>4</v>
      </c>
      <c r="B9" s="170" t="s">
        <v>25</v>
      </c>
      <c r="C9" s="166" t="s">
        <v>26</v>
      </c>
      <c r="D9" s="51">
        <v>979225658.77999997</v>
      </c>
      <c r="E9" s="52">
        <f t="shared" si="0"/>
        <v>1.1995294761694386E-2</v>
      </c>
      <c r="F9" s="51">
        <v>251.06</v>
      </c>
      <c r="G9" s="51">
        <v>251.06</v>
      </c>
      <c r="H9" s="53">
        <v>2290</v>
      </c>
      <c r="I9" s="75">
        <v>5.8999999999999999E-3</v>
      </c>
      <c r="J9" s="75">
        <v>5.3E-3</v>
      </c>
      <c r="K9" s="51">
        <v>1056888350.39</v>
      </c>
      <c r="L9" s="52">
        <f t="shared" si="1"/>
        <v>1.1909041482643622E-2</v>
      </c>
      <c r="M9" s="51">
        <v>265.3288</v>
      </c>
      <c r="N9" s="51">
        <v>265.3288</v>
      </c>
      <c r="O9" s="53">
        <v>2289</v>
      </c>
      <c r="P9" s="75">
        <v>5.6800000000000003E-2</v>
      </c>
      <c r="Q9" s="75">
        <v>6.0199999999999997E-2</v>
      </c>
      <c r="R9" s="80">
        <f t="shared" si="2"/>
        <v>7.9310311074526574E-2</v>
      </c>
      <c r="S9" s="80">
        <f t="shared" si="3"/>
        <v>5.6834222894925512E-2</v>
      </c>
      <c r="T9" s="80">
        <f t="shared" si="4"/>
        <v>-4.3668122270742359E-4</v>
      </c>
      <c r="U9" s="81">
        <f t="shared" si="5"/>
        <v>5.0900000000000001E-2</v>
      </c>
      <c r="V9" s="82">
        <f t="shared" si="6"/>
        <v>5.4899999999999997E-2</v>
      </c>
    </row>
    <row r="10" spans="1:25">
      <c r="A10" s="189">
        <v>5</v>
      </c>
      <c r="B10" s="170" t="s">
        <v>27</v>
      </c>
      <c r="C10" s="166" t="s">
        <v>28</v>
      </c>
      <c r="D10" s="51">
        <v>2812435276.98</v>
      </c>
      <c r="E10" s="52">
        <f t="shared" si="0"/>
        <v>3.4451701549154432E-2</v>
      </c>
      <c r="F10" s="51">
        <v>1.8705000000000001</v>
      </c>
      <c r="G10" s="51">
        <v>1.8922000000000001</v>
      </c>
      <c r="H10" s="53">
        <v>1064</v>
      </c>
      <c r="I10" s="75">
        <v>2.81E-2</v>
      </c>
      <c r="J10" s="75">
        <v>1.0699999999999999E-2</v>
      </c>
      <c r="K10" s="51">
        <v>3044949153.9499998</v>
      </c>
      <c r="L10" s="52">
        <f t="shared" si="1"/>
        <v>3.431055491675164E-2</v>
      </c>
      <c r="M10" s="51">
        <v>1.9352</v>
      </c>
      <c r="N10" s="51">
        <v>1.9576</v>
      </c>
      <c r="O10" s="53">
        <v>1064</v>
      </c>
      <c r="P10" s="75">
        <v>3.4599999999999999E-2</v>
      </c>
      <c r="Q10" s="75">
        <v>4.5699999999999998E-2</v>
      </c>
      <c r="R10" s="80">
        <f t="shared" si="2"/>
        <v>8.2673503235130008E-2</v>
      </c>
      <c r="S10" s="80">
        <f t="shared" si="3"/>
        <v>3.4562942606489747E-2</v>
      </c>
      <c r="T10" s="80">
        <f t="shared" si="4"/>
        <v>0</v>
      </c>
      <c r="U10" s="81">
        <f t="shared" si="5"/>
        <v>6.4999999999999988E-3</v>
      </c>
      <c r="V10" s="82">
        <f t="shared" si="6"/>
        <v>3.4999999999999996E-2</v>
      </c>
    </row>
    <row r="11" spans="1:25">
      <c r="A11" s="189">
        <v>6</v>
      </c>
      <c r="B11" s="170" t="s">
        <v>29</v>
      </c>
      <c r="C11" s="166" t="s">
        <v>30</v>
      </c>
      <c r="D11" s="56">
        <v>299353959</v>
      </c>
      <c r="E11" s="52">
        <f t="shared" si="0"/>
        <v>3.6670188777109241E-3</v>
      </c>
      <c r="F11" s="51">
        <v>214.02330000000001</v>
      </c>
      <c r="G11" s="51">
        <v>215.28469999999999</v>
      </c>
      <c r="H11" s="55">
        <v>116</v>
      </c>
      <c r="I11" s="76">
        <v>2.4849999999999998E-3</v>
      </c>
      <c r="J11" s="76">
        <v>0.28539999999999999</v>
      </c>
      <c r="K11" s="56">
        <v>315929315.19999999</v>
      </c>
      <c r="L11" s="52">
        <f t="shared" si="1"/>
        <v>3.5598985634685359E-3</v>
      </c>
      <c r="M11" s="51">
        <v>222.83850000000001</v>
      </c>
      <c r="N11" s="51">
        <v>224.1729</v>
      </c>
      <c r="O11" s="55">
        <v>115</v>
      </c>
      <c r="P11" s="76">
        <v>8.0540000000000004E-3</v>
      </c>
      <c r="Q11" s="76">
        <v>4.0800000000000003E-2</v>
      </c>
      <c r="R11" s="80">
        <f t="shared" si="2"/>
        <v>5.5370425884362494E-2</v>
      </c>
      <c r="S11" s="80">
        <f t="shared" si="3"/>
        <v>4.1285795042564626E-2</v>
      </c>
      <c r="T11" s="80">
        <f t="shared" si="4"/>
        <v>-8.6206896551724137E-3</v>
      </c>
      <c r="U11" s="81">
        <f t="shared" si="5"/>
        <v>5.569000000000001E-3</v>
      </c>
      <c r="V11" s="82">
        <f t="shared" si="6"/>
        <v>-0.24459999999999998</v>
      </c>
    </row>
    <row r="12" spans="1:25">
      <c r="A12" s="189">
        <v>7</v>
      </c>
      <c r="B12" s="170" t="s">
        <v>31</v>
      </c>
      <c r="C12" s="166" t="s">
        <v>32</v>
      </c>
      <c r="D12" s="51">
        <v>2863729489.0799999</v>
      </c>
      <c r="E12" s="52">
        <f t="shared" si="0"/>
        <v>3.5080044146380641E-2</v>
      </c>
      <c r="F12" s="51">
        <v>456.48</v>
      </c>
      <c r="G12" s="51">
        <v>462.93</v>
      </c>
      <c r="H12" s="55">
        <v>1874</v>
      </c>
      <c r="I12" s="76">
        <v>3.5900000000000001E-2</v>
      </c>
      <c r="J12" s="76">
        <v>0.58050000000000002</v>
      </c>
      <c r="K12" s="51">
        <v>3004111033.3699999</v>
      </c>
      <c r="L12" s="52">
        <f t="shared" si="1"/>
        <v>3.3850390064067856E-2</v>
      </c>
      <c r="M12" s="51">
        <v>475.8</v>
      </c>
      <c r="N12" s="51">
        <v>482.55</v>
      </c>
      <c r="O12" s="55">
        <v>1874</v>
      </c>
      <c r="P12" s="76">
        <v>4.24E-2</v>
      </c>
      <c r="Q12" s="76">
        <v>0.1716</v>
      </c>
      <c r="R12" s="80">
        <f t="shared" si="2"/>
        <v>4.9020532429932429E-2</v>
      </c>
      <c r="S12" s="80">
        <f t="shared" si="3"/>
        <v>4.2382217613894116E-2</v>
      </c>
      <c r="T12" s="80">
        <f t="shared" si="4"/>
        <v>0</v>
      </c>
      <c r="U12" s="81">
        <f t="shared" si="5"/>
        <v>6.4999999999999988E-3</v>
      </c>
      <c r="V12" s="82">
        <f t="shared" si="6"/>
        <v>-0.40890000000000004</v>
      </c>
    </row>
    <row r="13" spans="1:25">
      <c r="A13" s="189">
        <v>8</v>
      </c>
      <c r="B13" s="170" t="s">
        <v>33</v>
      </c>
      <c r="C13" s="166" t="s">
        <v>34</v>
      </c>
      <c r="D13" s="57">
        <v>516202549.56999999</v>
      </c>
      <c r="E13" s="52">
        <f t="shared" si="0"/>
        <v>6.3233654912033385E-3</v>
      </c>
      <c r="F13" s="51">
        <v>257.82</v>
      </c>
      <c r="G13" s="51">
        <v>269.10000000000002</v>
      </c>
      <c r="H13" s="53">
        <v>2469</v>
      </c>
      <c r="I13" s="75">
        <v>2.2200000000000001E-2</v>
      </c>
      <c r="J13" s="75">
        <v>0.21740000000000001</v>
      </c>
      <c r="K13" s="57">
        <v>525697904.99000001</v>
      </c>
      <c r="L13" s="52">
        <f t="shared" si="1"/>
        <v>5.9235757074572355E-3</v>
      </c>
      <c r="M13" s="51">
        <v>26.57</v>
      </c>
      <c r="N13" s="51">
        <v>274.17</v>
      </c>
      <c r="O13" s="53">
        <v>2469</v>
      </c>
      <c r="P13" s="75">
        <v>1.8800000000000001E-2</v>
      </c>
      <c r="Q13" s="75">
        <v>0.2399</v>
      </c>
      <c r="R13" s="80">
        <f t="shared" si="2"/>
        <v>1.8394630998838941E-2</v>
      </c>
      <c r="S13" s="80">
        <f t="shared" si="3"/>
        <v>1.8840579710144901E-2</v>
      </c>
      <c r="T13" s="80">
        <f t="shared" si="4"/>
        <v>0</v>
      </c>
      <c r="U13" s="81">
        <f t="shared" si="5"/>
        <v>-3.4000000000000002E-3</v>
      </c>
      <c r="V13" s="82">
        <f t="shared" si="6"/>
        <v>2.2499999999999992E-2</v>
      </c>
    </row>
    <row r="14" spans="1:25">
      <c r="A14" s="189">
        <v>9</v>
      </c>
      <c r="B14" s="170" t="s">
        <v>35</v>
      </c>
      <c r="C14" s="166" t="s">
        <v>36</v>
      </c>
      <c r="D14" s="56">
        <v>89102261.907199994</v>
      </c>
      <c r="E14" s="52">
        <f t="shared" si="0"/>
        <v>1.0914827301831186E-3</v>
      </c>
      <c r="F14" s="51">
        <v>323.2749</v>
      </c>
      <c r="G14" s="51">
        <v>331.9701</v>
      </c>
      <c r="H14" s="53">
        <v>29</v>
      </c>
      <c r="I14" s="75">
        <v>3.1399999999999997E-2</v>
      </c>
      <c r="J14" s="75">
        <v>0.45950000000000002</v>
      </c>
      <c r="K14" s="56">
        <v>93730281.910899997</v>
      </c>
      <c r="L14" s="52">
        <f t="shared" si="1"/>
        <v>1.0561549051466871E-3</v>
      </c>
      <c r="M14" s="51">
        <v>339.9461</v>
      </c>
      <c r="N14" s="51">
        <v>349.31490000000002</v>
      </c>
      <c r="O14" s="53">
        <v>29</v>
      </c>
      <c r="P14" s="75">
        <v>5.1900000000000002E-2</v>
      </c>
      <c r="Q14" s="75">
        <v>0.5353</v>
      </c>
      <c r="R14" s="80">
        <f t="shared" si="2"/>
        <v>5.1940544545547966E-2</v>
      </c>
      <c r="S14" s="80">
        <f t="shared" si="3"/>
        <v>5.2248078968557772E-2</v>
      </c>
      <c r="T14" s="80">
        <f t="shared" si="4"/>
        <v>0</v>
      </c>
      <c r="U14" s="81">
        <f t="shared" si="5"/>
        <v>2.0500000000000004E-2</v>
      </c>
      <c r="V14" s="82">
        <f t="shared" si="6"/>
        <v>7.5799999999999979E-2</v>
      </c>
    </row>
    <row r="15" spans="1:25" ht="14.25" customHeight="1">
      <c r="A15" s="189">
        <v>10</v>
      </c>
      <c r="B15" s="170" t="s">
        <v>37</v>
      </c>
      <c r="C15" s="166" t="s">
        <v>38</v>
      </c>
      <c r="D15" s="57">
        <v>3474608552.4699998</v>
      </c>
      <c r="E15" s="52">
        <f t="shared" si="0"/>
        <v>4.2563175703860721E-2</v>
      </c>
      <c r="F15" s="51">
        <v>3.9855770000000001</v>
      </c>
      <c r="G15" s="51">
        <v>4.0193779999999997</v>
      </c>
      <c r="H15" s="53">
        <v>3420</v>
      </c>
      <c r="I15" s="75">
        <v>8.0000000000000004E-4</v>
      </c>
      <c r="J15" s="75">
        <v>1.8E-3</v>
      </c>
      <c r="K15" s="57">
        <v>3995316536.0300002</v>
      </c>
      <c r="L15" s="52">
        <f t="shared" si="1"/>
        <v>4.5019315754891001E-2</v>
      </c>
      <c r="M15" s="51">
        <v>4.1643999999999997</v>
      </c>
      <c r="N15" s="51">
        <v>4.1967999999999996</v>
      </c>
      <c r="O15" s="53">
        <v>3759</v>
      </c>
      <c r="P15" s="75">
        <v>4.4900000000000002E-2</v>
      </c>
      <c r="Q15" s="75">
        <v>4.6699999999999998E-2</v>
      </c>
      <c r="R15" s="80">
        <f t="shared" si="2"/>
        <v>0.1498609053931684</v>
      </c>
      <c r="S15" s="80">
        <f t="shared" si="3"/>
        <v>4.4141655748725299E-2</v>
      </c>
      <c r="T15" s="80">
        <f t="shared" si="4"/>
        <v>9.9122807017543862E-2</v>
      </c>
      <c r="U15" s="81">
        <f t="shared" si="5"/>
        <v>4.41E-2</v>
      </c>
      <c r="V15" s="82">
        <f t="shared" si="6"/>
        <v>4.4899999999999995E-2</v>
      </c>
    </row>
    <row r="16" spans="1:25" ht="14.25" customHeight="1">
      <c r="A16" s="190">
        <v>11</v>
      </c>
      <c r="B16" s="170" t="s">
        <v>39</v>
      </c>
      <c r="C16" s="166" t="s">
        <v>40</v>
      </c>
      <c r="D16" s="57">
        <v>121529008.26000001</v>
      </c>
      <c r="E16" s="52">
        <f t="shared" si="0"/>
        <v>1.488703102399614E-3</v>
      </c>
      <c r="F16" s="51">
        <v>26.65</v>
      </c>
      <c r="G16" s="51">
        <v>27.15</v>
      </c>
      <c r="H16" s="53">
        <v>78</v>
      </c>
      <c r="I16" s="75">
        <v>8.3000000000000001E-3</v>
      </c>
      <c r="J16" s="75">
        <v>1.69</v>
      </c>
      <c r="K16" s="57">
        <v>133937190.39</v>
      </c>
      <c r="L16" s="52">
        <f t="shared" si="1"/>
        <v>1.5092072458123469E-3</v>
      </c>
      <c r="M16" s="51">
        <v>28.68</v>
      </c>
      <c r="N16" s="51">
        <v>29.17</v>
      </c>
      <c r="O16" s="53">
        <v>80</v>
      </c>
      <c r="P16" s="75">
        <v>0.09</v>
      </c>
      <c r="Q16" s="75">
        <v>0.16</v>
      </c>
      <c r="R16" s="80">
        <f t="shared" ref="R16" si="7">((K16-D16)/D16)</f>
        <v>0.10210057917574579</v>
      </c>
      <c r="S16" s="80">
        <f t="shared" ref="S16" si="8">((N16-G16)/G16)</f>
        <v>7.4401473296501042E-2</v>
      </c>
      <c r="T16" s="80">
        <f t="shared" ref="T16" si="9">((O16-H16)/H16)</f>
        <v>2.564102564102564E-2</v>
      </c>
      <c r="U16" s="81">
        <f t="shared" ref="U16" si="10">P16-I16</f>
        <v>8.1699999999999995E-2</v>
      </c>
      <c r="V16" s="82">
        <f t="shared" ref="V16" si="11">Q16-J16</f>
        <v>-1.53</v>
      </c>
    </row>
    <row r="17" spans="1:22">
      <c r="A17" s="189">
        <v>12</v>
      </c>
      <c r="B17" s="170" t="s">
        <v>41</v>
      </c>
      <c r="C17" s="166" t="s">
        <v>42</v>
      </c>
      <c r="D17" s="58">
        <v>2679242989.0999999</v>
      </c>
      <c r="E17" s="52">
        <f t="shared" si="0"/>
        <v>3.2820125886507297E-2</v>
      </c>
      <c r="F17" s="51">
        <v>5.55</v>
      </c>
      <c r="G17" s="51">
        <v>5.67</v>
      </c>
      <c r="H17" s="53">
        <v>3706</v>
      </c>
      <c r="I17" s="75">
        <v>6.1699999999999998E-2</v>
      </c>
      <c r="J17" s="75">
        <v>3.3999999999999998E-3</v>
      </c>
      <c r="K17" s="58">
        <v>2810905109.6399999</v>
      </c>
      <c r="L17" s="52">
        <f t="shared" si="1"/>
        <v>3.1673341410306081E-2</v>
      </c>
      <c r="M17" s="51">
        <v>5.82</v>
      </c>
      <c r="N17" s="51">
        <v>5.95</v>
      </c>
      <c r="O17" s="53">
        <v>3704</v>
      </c>
      <c r="P17" s="75">
        <v>0.113</v>
      </c>
      <c r="Q17" s="75">
        <v>5.1900000000000002E-2</v>
      </c>
      <c r="R17" s="80">
        <f t="shared" si="2"/>
        <v>4.9141537768557286E-2</v>
      </c>
      <c r="S17" s="80">
        <f t="shared" si="3"/>
        <v>4.9382716049382762E-2</v>
      </c>
      <c r="T17" s="80">
        <f t="shared" si="4"/>
        <v>-5.3966540744738263E-4</v>
      </c>
      <c r="U17" s="81">
        <f t="shared" si="5"/>
        <v>5.1300000000000005E-2</v>
      </c>
      <c r="V17" s="82">
        <f t="shared" si="6"/>
        <v>4.8500000000000001E-2</v>
      </c>
    </row>
    <row r="18" spans="1:22">
      <c r="A18" s="189">
        <v>13</v>
      </c>
      <c r="B18" s="170" t="s">
        <v>43</v>
      </c>
      <c r="C18" s="166" t="s">
        <v>44</v>
      </c>
      <c r="D18" s="51">
        <v>3551248934.1999998</v>
      </c>
      <c r="E18" s="52">
        <f t="shared" si="0"/>
        <v>4.3502003196029884E-2</v>
      </c>
      <c r="F18" s="51">
        <v>34.113737999999998</v>
      </c>
      <c r="G18" s="51">
        <v>34.270040999999999</v>
      </c>
      <c r="H18" s="53">
        <v>972</v>
      </c>
      <c r="I18" s="75">
        <v>1.09E-2</v>
      </c>
      <c r="J18" s="75">
        <v>0.4496</v>
      </c>
      <c r="K18" s="51">
        <v>3983742431.48</v>
      </c>
      <c r="L18" s="52">
        <f t="shared" si="1"/>
        <v>4.4888898486917954E-2</v>
      </c>
      <c r="M18" s="51">
        <v>35.89</v>
      </c>
      <c r="N18" s="51">
        <v>36.01</v>
      </c>
      <c r="O18" s="53">
        <v>975</v>
      </c>
      <c r="P18" s="75">
        <v>6.1699999999999998E-2</v>
      </c>
      <c r="Q18" s="75">
        <v>0.14729999999999999</v>
      </c>
      <c r="R18" s="80">
        <f t="shared" si="2"/>
        <v>0.1217863082238219</v>
      </c>
      <c r="S18" s="80">
        <f t="shared" si="3"/>
        <v>5.077201395819745E-2</v>
      </c>
      <c r="T18" s="80">
        <f t="shared" si="4"/>
        <v>3.0864197530864196E-3</v>
      </c>
      <c r="U18" s="81">
        <f t="shared" si="5"/>
        <v>5.0799999999999998E-2</v>
      </c>
      <c r="V18" s="82">
        <f t="shared" si="6"/>
        <v>-0.30230000000000001</v>
      </c>
    </row>
    <row r="19" spans="1:22">
      <c r="A19" s="189">
        <v>14</v>
      </c>
      <c r="B19" s="170" t="s">
        <v>45</v>
      </c>
      <c r="C19" s="166" t="s">
        <v>46</v>
      </c>
      <c r="D19" s="51">
        <v>192176456.56999999</v>
      </c>
      <c r="E19" s="52">
        <f t="shared" si="0"/>
        <v>2.3541185038871777E-3</v>
      </c>
      <c r="F19" s="51">
        <v>2.0699999999999998</v>
      </c>
      <c r="G19" s="51">
        <v>2.14</v>
      </c>
      <c r="H19" s="53">
        <v>26</v>
      </c>
      <c r="I19" s="75">
        <v>0.47660000000000002</v>
      </c>
      <c r="J19" s="75">
        <v>0.48070000000000002</v>
      </c>
      <c r="K19" s="51">
        <v>191666988.24000001</v>
      </c>
      <c r="L19" s="52">
        <f t="shared" si="1"/>
        <v>2.159707894368635E-3</v>
      </c>
      <c r="M19" s="51">
        <v>2.06</v>
      </c>
      <c r="N19" s="51">
        <v>2.14</v>
      </c>
      <c r="O19" s="53">
        <v>26</v>
      </c>
      <c r="P19" s="75">
        <v>2.58E-2</v>
      </c>
      <c r="Q19" s="75">
        <v>-2.3999999999999998E-3</v>
      </c>
      <c r="R19" s="80">
        <f t="shared" si="2"/>
        <v>-2.6510444572299115E-3</v>
      </c>
      <c r="S19" s="80">
        <f t="shared" si="3"/>
        <v>0</v>
      </c>
      <c r="T19" s="80">
        <f t="shared" si="4"/>
        <v>0</v>
      </c>
      <c r="U19" s="81">
        <f t="shared" si="5"/>
        <v>-0.45080000000000003</v>
      </c>
      <c r="V19" s="82">
        <f t="shared" si="6"/>
        <v>-0.48310000000000003</v>
      </c>
    </row>
    <row r="20" spans="1:22">
      <c r="A20" s="189">
        <v>15</v>
      </c>
      <c r="B20" s="170" t="s">
        <v>47</v>
      </c>
      <c r="C20" s="166" t="s">
        <v>48</v>
      </c>
      <c r="D20" s="159">
        <v>7498601508.1300001</v>
      </c>
      <c r="E20" s="52">
        <f t="shared" si="0"/>
        <v>9.1856187165857112E-2</v>
      </c>
      <c r="F20" s="51">
        <v>50.22</v>
      </c>
      <c r="G20" s="51">
        <v>50.51</v>
      </c>
      <c r="H20" s="53">
        <v>8944</v>
      </c>
      <c r="I20" s="75">
        <v>-5.4000000000000003E-3</v>
      </c>
      <c r="J20" s="75">
        <v>0.63890000000000002</v>
      </c>
      <c r="K20" s="159">
        <v>8284203984.0200005</v>
      </c>
      <c r="L20" s="52">
        <f t="shared" si="1"/>
        <v>9.3346595087334033E-2</v>
      </c>
      <c r="M20" s="51">
        <v>51.07</v>
      </c>
      <c r="N20" s="51">
        <v>51.56</v>
      </c>
      <c r="O20" s="53">
        <v>14246</v>
      </c>
      <c r="P20" s="75">
        <v>5.6599999999999998E-2</v>
      </c>
      <c r="Q20" s="75">
        <v>7.6100000000000001E-2</v>
      </c>
      <c r="R20" s="80">
        <f t="shared" si="2"/>
        <v>0.10476653213779241</v>
      </c>
      <c r="S20" s="80">
        <f t="shared" si="3"/>
        <v>2.078796277964768E-2</v>
      </c>
      <c r="T20" s="80">
        <f t="shared" si="4"/>
        <v>0.59279964221824688</v>
      </c>
      <c r="U20" s="81">
        <f t="shared" si="5"/>
        <v>6.2E-2</v>
      </c>
      <c r="V20" s="82">
        <f t="shared" si="6"/>
        <v>-0.56279999999999997</v>
      </c>
    </row>
    <row r="21" spans="1:22" ht="12.75" customHeight="1">
      <c r="A21" s="186">
        <v>16</v>
      </c>
      <c r="B21" s="183" t="s">
        <v>49</v>
      </c>
      <c r="C21" s="166" t="s">
        <v>50</v>
      </c>
      <c r="D21" s="51">
        <v>1679246768.96</v>
      </c>
      <c r="E21" s="52">
        <f t="shared" si="0"/>
        <v>2.0570396405251466E-2</v>
      </c>
      <c r="F21" s="51">
        <v>12766.58</v>
      </c>
      <c r="G21" s="51">
        <v>12931.54</v>
      </c>
      <c r="H21" s="53">
        <v>34</v>
      </c>
      <c r="I21" s="75">
        <v>2.6800000000000001E-2</v>
      </c>
      <c r="J21" s="75">
        <v>5.4999999999999997E-3</v>
      </c>
      <c r="K21" s="51">
        <v>1831726637.0699999</v>
      </c>
      <c r="L21" s="52">
        <f t="shared" si="1"/>
        <v>2.0639936562533167E-2</v>
      </c>
      <c r="M21" s="51">
        <v>13333.6</v>
      </c>
      <c r="N21" s="51">
        <v>13501.23</v>
      </c>
      <c r="O21" s="53">
        <v>35</v>
      </c>
      <c r="P21" s="75">
        <v>4.41E-2</v>
      </c>
      <c r="Q21" s="75">
        <v>4.9799999999999997E-2</v>
      </c>
      <c r="R21" s="80">
        <f t="shared" si="2"/>
        <v>9.0802537738056521E-2</v>
      </c>
      <c r="S21" s="80">
        <f t="shared" si="3"/>
        <v>4.4054304437058434E-2</v>
      </c>
      <c r="T21" s="80">
        <f t="shared" si="4"/>
        <v>2.9411764705882353E-2</v>
      </c>
      <c r="U21" s="81">
        <f t="shared" si="5"/>
        <v>1.7299999999999999E-2</v>
      </c>
      <c r="V21" s="82">
        <f t="shared" si="6"/>
        <v>4.4299999999999999E-2</v>
      </c>
    </row>
    <row r="22" spans="1:22">
      <c r="A22" s="186">
        <v>17</v>
      </c>
      <c r="B22" s="183" t="s">
        <v>51</v>
      </c>
      <c r="C22" s="166" t="s">
        <v>50</v>
      </c>
      <c r="D22" s="51">
        <v>25355726400.57</v>
      </c>
      <c r="E22" s="52">
        <f t="shared" si="0"/>
        <v>0.31060196323965589</v>
      </c>
      <c r="F22" s="51">
        <v>42765.64</v>
      </c>
      <c r="G22" s="51">
        <v>43352</v>
      </c>
      <c r="H22" s="53">
        <v>20428</v>
      </c>
      <c r="I22" s="75">
        <v>2.18E-2</v>
      </c>
      <c r="J22" s="75">
        <v>1.6999999999999999E-3</v>
      </c>
      <c r="K22" s="51">
        <v>27378805039.48</v>
      </c>
      <c r="L22" s="52">
        <f t="shared" si="1"/>
        <v>0.30850498526174747</v>
      </c>
      <c r="M22" s="51">
        <v>44564.67</v>
      </c>
      <c r="N22" s="51">
        <v>45161.08</v>
      </c>
      <c r="O22" s="53">
        <v>20706</v>
      </c>
      <c r="P22" s="75">
        <v>4.1700000000000001E-2</v>
      </c>
      <c r="Q22" s="75">
        <v>4.3499999999999997E-2</v>
      </c>
      <c r="R22" s="80">
        <f t="shared" si="2"/>
        <v>7.9787839912348987E-2</v>
      </c>
      <c r="S22" s="80">
        <f t="shared" si="3"/>
        <v>4.1730023989666028E-2</v>
      </c>
      <c r="T22" s="80">
        <f t="shared" si="4"/>
        <v>1.3608772273350304E-2</v>
      </c>
      <c r="U22" s="81">
        <f t="shared" si="5"/>
        <v>1.9900000000000001E-2</v>
      </c>
      <c r="V22" s="82">
        <f t="shared" si="6"/>
        <v>4.1799999999999997E-2</v>
      </c>
    </row>
    <row r="23" spans="1:22">
      <c r="A23" s="184">
        <v>18</v>
      </c>
      <c r="B23" s="185" t="s">
        <v>52</v>
      </c>
      <c r="C23" s="166" t="s">
        <v>53</v>
      </c>
      <c r="D23" s="51">
        <v>6478072525.6099997</v>
      </c>
      <c r="E23" s="52">
        <f t="shared" si="0"/>
        <v>7.9354935949226421E-2</v>
      </c>
      <c r="F23" s="51">
        <v>1.9234</v>
      </c>
      <c r="G23" s="59">
        <v>1.9435</v>
      </c>
      <c r="H23" s="53">
        <v>6797</v>
      </c>
      <c r="I23" s="75">
        <v>6.8999999999999999E-3</v>
      </c>
      <c r="J23" s="75">
        <v>5.9999999999999995E-4</v>
      </c>
      <c r="K23" s="51">
        <v>7000446858.8199997</v>
      </c>
      <c r="L23" s="52">
        <f t="shared" si="1"/>
        <v>7.8881191194856051E-2</v>
      </c>
      <c r="M23" s="51">
        <v>2.0230999999999999</v>
      </c>
      <c r="N23" s="59">
        <v>2.0438999999999998</v>
      </c>
      <c r="O23" s="53">
        <v>6851</v>
      </c>
      <c r="P23" s="75">
        <v>5.1799999999999999E-2</v>
      </c>
      <c r="Q23" s="75">
        <v>5.2400000000000002E-2</v>
      </c>
      <c r="R23" s="80">
        <f t="shared" ref="R23:R24" si="12">((K23-D23)/D23)</f>
        <v>8.0637308573634922E-2</v>
      </c>
      <c r="S23" s="80">
        <f t="shared" ref="S23:S24" si="13">((N23-G23)/G23)</f>
        <v>5.1659377411885685E-2</v>
      </c>
      <c r="T23" s="80">
        <f t="shared" ref="T23:T24" si="14">((O23-H23)/H23)</f>
        <v>7.9446814771222604E-3</v>
      </c>
      <c r="U23" s="81">
        <f t="shared" ref="U23:U24" si="15">P23-I23</f>
        <v>4.4899999999999995E-2</v>
      </c>
      <c r="V23" s="82">
        <f t="shared" ref="V23:V24" si="16">Q23-J23</f>
        <v>5.1799999999999999E-2</v>
      </c>
    </row>
    <row r="24" spans="1:22">
      <c r="A24" s="190">
        <v>19</v>
      </c>
      <c r="B24" s="170" t="s">
        <v>329</v>
      </c>
      <c r="C24" s="166" t="s">
        <v>125</v>
      </c>
      <c r="D24" s="51">
        <v>99729407.930000007</v>
      </c>
      <c r="E24" s="52">
        <f t="shared" si="0"/>
        <v>1.2216628861829871E-3</v>
      </c>
      <c r="F24" s="51">
        <v>1.02</v>
      </c>
      <c r="G24" s="59">
        <v>1.04</v>
      </c>
      <c r="H24" s="53">
        <v>82</v>
      </c>
      <c r="I24" s="75">
        <v>1.9099999999999999E-2</v>
      </c>
      <c r="J24" s="75">
        <v>8.5000000000000006E-3</v>
      </c>
      <c r="K24" s="51">
        <v>134905191.22999999</v>
      </c>
      <c r="L24" s="52">
        <f t="shared" si="1"/>
        <v>1.5201147008472519E-3</v>
      </c>
      <c r="M24" s="51">
        <v>1.08</v>
      </c>
      <c r="N24" s="59">
        <v>1.1000000000000001</v>
      </c>
      <c r="O24" s="53">
        <v>117</v>
      </c>
      <c r="P24" s="75">
        <v>5.4899999999999997E-2</v>
      </c>
      <c r="Q24" s="75">
        <v>6.3600000000000004E-2</v>
      </c>
      <c r="R24" s="80">
        <f t="shared" si="12"/>
        <v>0.35271224436316556</v>
      </c>
      <c r="S24" s="80">
        <f t="shared" si="13"/>
        <v>5.7692307692307744E-2</v>
      </c>
      <c r="T24" s="80">
        <f t="shared" si="14"/>
        <v>0.42682926829268292</v>
      </c>
      <c r="U24" s="81">
        <f t="shared" si="15"/>
        <v>3.5799999999999998E-2</v>
      </c>
      <c r="V24" s="82">
        <f t="shared" si="16"/>
        <v>5.5100000000000003E-2</v>
      </c>
    </row>
    <row r="25" spans="1:22">
      <c r="A25" s="189">
        <v>20</v>
      </c>
      <c r="B25" s="166" t="s">
        <v>54</v>
      </c>
      <c r="C25" s="166" t="s">
        <v>55</v>
      </c>
      <c r="D25" s="51">
        <v>9541961799.5799999</v>
      </c>
      <c r="E25" s="52">
        <f>(D25/$D$26)</f>
        <v>0.11688689258142186</v>
      </c>
      <c r="F25" s="51">
        <v>212.56</v>
      </c>
      <c r="G25" s="59">
        <v>216.26</v>
      </c>
      <c r="H25" s="53">
        <v>78</v>
      </c>
      <c r="I25" s="75">
        <v>3.5999999999999999E-3</v>
      </c>
      <c r="J25" s="75">
        <v>0.747</v>
      </c>
      <c r="K25" s="51">
        <v>10101162925.93</v>
      </c>
      <c r="L25" s="52">
        <f t="shared" si="1"/>
        <v>0.11382012893173847</v>
      </c>
      <c r="M25" s="51">
        <v>225.36</v>
      </c>
      <c r="N25" s="59">
        <v>229.3</v>
      </c>
      <c r="O25" s="53">
        <v>78</v>
      </c>
      <c r="P25" s="75">
        <v>5.96E-2</v>
      </c>
      <c r="Q25" s="75">
        <v>6.7299999999999999E-2</v>
      </c>
      <c r="R25" s="80">
        <f t="shared" si="2"/>
        <v>5.8604418891575763E-2</v>
      </c>
      <c r="S25" s="80">
        <f t="shared" si="3"/>
        <v>6.0297789697586333E-2</v>
      </c>
      <c r="T25" s="80">
        <f t="shared" si="4"/>
        <v>0</v>
      </c>
      <c r="U25" s="81">
        <f t="shared" si="5"/>
        <v>5.6000000000000001E-2</v>
      </c>
      <c r="V25" s="82">
        <f t="shared" si="6"/>
        <v>-0.67969999999999997</v>
      </c>
    </row>
    <row r="26" spans="1:22">
      <c r="A26" s="60"/>
      <c r="B26" s="61"/>
      <c r="C26" s="62" t="s">
        <v>56</v>
      </c>
      <c r="D26" s="63">
        <f>SUM(D6:D25)</f>
        <v>81634147241.387192</v>
      </c>
      <c r="E26" s="64">
        <f>(D26/$D$231)</f>
        <v>1.0469430179138744E-2</v>
      </c>
      <c r="F26" s="65"/>
      <c r="G26" s="66"/>
      <c r="H26" s="67">
        <f>SUM(H6:H25)</f>
        <v>63294</v>
      </c>
      <c r="I26" s="77"/>
      <c r="J26" s="53">
        <v>0</v>
      </c>
      <c r="K26" s="63">
        <f>SUM(K6:K25)</f>
        <v>88746718359.350891</v>
      </c>
      <c r="L26" s="64">
        <f>(K26/$K$231)</f>
        <v>1.1201697188315285E-2</v>
      </c>
      <c r="M26" s="65"/>
      <c r="N26" s="66"/>
      <c r="O26" s="67">
        <f>SUM(O6:O25)</f>
        <v>69437</v>
      </c>
      <c r="P26" s="77"/>
      <c r="Q26" s="67"/>
      <c r="R26" s="80">
        <f t="shared" si="2"/>
        <v>8.7127401440628277E-2</v>
      </c>
      <c r="S26" s="80" t="e">
        <f t="shared" si="3"/>
        <v>#DIV/0!</v>
      </c>
      <c r="T26" s="80">
        <f t="shared" si="4"/>
        <v>9.7055013113407279E-2</v>
      </c>
      <c r="U26" s="81">
        <f t="shared" si="5"/>
        <v>0</v>
      </c>
      <c r="V26" s="82">
        <f t="shared" si="6"/>
        <v>0</v>
      </c>
    </row>
    <row r="27" spans="1:22" ht="4.5" customHeight="1">
      <c r="A27" s="60"/>
      <c r="B27" s="197"/>
      <c r="C27" s="197"/>
      <c r="D27" s="197"/>
      <c r="E27" s="197"/>
      <c r="F27" s="197"/>
      <c r="G27" s="197"/>
      <c r="H27" s="197"/>
      <c r="I27" s="197"/>
      <c r="J27" s="197"/>
      <c r="K27" s="197"/>
      <c r="L27" s="197"/>
      <c r="M27" s="197"/>
      <c r="N27" s="197"/>
      <c r="O27" s="197"/>
      <c r="P27" s="197"/>
      <c r="Q27" s="197"/>
      <c r="R27" s="197"/>
      <c r="S27" s="197"/>
      <c r="T27" s="197"/>
      <c r="U27" s="197"/>
      <c r="V27" s="197"/>
    </row>
    <row r="28" spans="1:22" ht="15" customHeight="1">
      <c r="A28" s="201" t="s">
        <v>57</v>
      </c>
      <c r="B28" s="201"/>
      <c r="C28" s="201"/>
      <c r="D28" s="201"/>
      <c r="E28" s="201"/>
      <c r="F28" s="201"/>
      <c r="G28" s="201"/>
      <c r="H28" s="201"/>
      <c r="I28" s="201"/>
      <c r="J28" s="201"/>
      <c r="K28" s="201"/>
      <c r="L28" s="201"/>
      <c r="M28" s="201"/>
      <c r="N28" s="201"/>
      <c r="O28" s="201"/>
      <c r="P28" s="201"/>
      <c r="Q28" s="201"/>
      <c r="R28" s="201"/>
      <c r="S28" s="201"/>
      <c r="T28" s="201"/>
      <c r="U28" s="201"/>
      <c r="V28" s="201"/>
    </row>
    <row r="29" spans="1:22">
      <c r="A29" s="181">
        <v>21</v>
      </c>
      <c r="B29" s="170" t="s">
        <v>58</v>
      </c>
      <c r="C29" s="166" t="s">
        <v>20</v>
      </c>
      <c r="D29" s="69">
        <v>5589965264.8800001</v>
      </c>
      <c r="E29" s="52">
        <f t="shared" ref="E29:E34" si="17">(D29/$K$72)</f>
        <v>1.1254761270655877E-3</v>
      </c>
      <c r="F29" s="59">
        <v>100</v>
      </c>
      <c r="G29" s="59">
        <v>100</v>
      </c>
      <c r="H29" s="53">
        <v>893</v>
      </c>
      <c r="I29" s="75">
        <v>0.15090000000000001</v>
      </c>
      <c r="J29" s="75">
        <v>0.15090000000000001</v>
      </c>
      <c r="K29" s="69">
        <v>5801183009.1599998</v>
      </c>
      <c r="L29" s="52">
        <f t="shared" ref="L29:L34" si="18">(K29/$K$72)</f>
        <v>1.1680024250898897E-3</v>
      </c>
      <c r="M29" s="59">
        <v>100</v>
      </c>
      <c r="N29" s="59">
        <v>100</v>
      </c>
      <c r="O29" s="53">
        <v>893</v>
      </c>
      <c r="P29" s="75">
        <v>0.15429999999999999</v>
      </c>
      <c r="Q29" s="75">
        <v>0.15429999999999999</v>
      </c>
      <c r="R29" s="80">
        <f>((K29-D29)/D29)</f>
        <v>3.7785162209685745E-2</v>
      </c>
      <c r="S29" s="80">
        <f>((N29-G29)/G29)</f>
        <v>0</v>
      </c>
      <c r="T29" s="80">
        <f>((O29-H29)/H29)</f>
        <v>0</v>
      </c>
      <c r="U29" s="80">
        <f>P29-I29</f>
        <v>3.3999999999999864E-3</v>
      </c>
      <c r="V29" s="127">
        <f>Q29-J29</f>
        <v>3.3999999999999864E-3</v>
      </c>
    </row>
    <row r="30" spans="1:22">
      <c r="A30" s="181">
        <v>22</v>
      </c>
      <c r="B30" s="170" t="s">
        <v>59</v>
      </c>
      <c r="C30" s="166" t="s">
        <v>60</v>
      </c>
      <c r="D30" s="69">
        <v>33656959762.849998</v>
      </c>
      <c r="E30" s="52">
        <f t="shared" si="17"/>
        <v>6.7764472456892646E-3</v>
      </c>
      <c r="F30" s="59">
        <v>100</v>
      </c>
      <c r="G30" s="59">
        <v>100</v>
      </c>
      <c r="H30" s="53">
        <v>3905</v>
      </c>
      <c r="I30" s="75">
        <v>0.179865</v>
      </c>
      <c r="J30" s="75">
        <v>0.1799</v>
      </c>
      <c r="K30" s="69">
        <v>34012720766.740002</v>
      </c>
      <c r="L30" s="52">
        <f t="shared" si="18"/>
        <v>6.8480756902047748E-3</v>
      </c>
      <c r="M30" s="59">
        <v>100</v>
      </c>
      <c r="N30" s="59">
        <v>100</v>
      </c>
      <c r="O30" s="53">
        <v>3956</v>
      </c>
      <c r="P30" s="75">
        <v>0.17988899999999999</v>
      </c>
      <c r="Q30" s="75">
        <v>0.17988899999999999</v>
      </c>
      <c r="R30" s="80">
        <f t="shared" ref="R30:R72" si="19">((K30-D30)/D30)</f>
        <v>1.0570206174197776E-2</v>
      </c>
      <c r="S30" s="80">
        <f t="shared" ref="S30:S72" si="20">((N30-G30)/G30)</f>
        <v>0</v>
      </c>
      <c r="T30" s="80">
        <f t="shared" ref="T30:T72" si="21">((O30-H30)/H30)</f>
        <v>1.3060179257362355E-2</v>
      </c>
      <c r="U30" s="81">
        <f t="shared" ref="U30:U72" si="22">P30-I30</f>
        <v>2.3999999999996247E-5</v>
      </c>
      <c r="V30" s="82">
        <f t="shared" ref="V30:V72" si="23">Q30-J30</f>
        <v>-1.1000000000011001E-5</v>
      </c>
    </row>
    <row r="31" spans="1:22">
      <c r="A31" s="182">
        <v>23</v>
      </c>
      <c r="B31" s="183" t="s">
        <v>61</v>
      </c>
      <c r="C31" s="166" t="s">
        <v>22</v>
      </c>
      <c r="D31" s="69">
        <v>2915252438.3600001</v>
      </c>
      <c r="E31" s="52">
        <f t="shared" si="17"/>
        <v>5.8695302533590219E-4</v>
      </c>
      <c r="F31" s="59">
        <v>100</v>
      </c>
      <c r="G31" s="59">
        <v>100</v>
      </c>
      <c r="H31" s="53">
        <v>2320</v>
      </c>
      <c r="I31" s="75">
        <v>0.1754</v>
      </c>
      <c r="J31" s="75">
        <v>0.1754</v>
      </c>
      <c r="K31" s="69">
        <v>2989807831.8899999</v>
      </c>
      <c r="L31" s="52">
        <f t="shared" si="18"/>
        <v>6.0196390851422474E-4</v>
      </c>
      <c r="M31" s="59">
        <v>100</v>
      </c>
      <c r="N31" s="59">
        <v>100</v>
      </c>
      <c r="O31" s="53">
        <v>2338</v>
      </c>
      <c r="P31" s="75">
        <v>0.16259999999999999</v>
      </c>
      <c r="Q31" s="75">
        <v>0.16259999999999999</v>
      </c>
      <c r="R31" s="80">
        <f t="shared" si="19"/>
        <v>2.5574249608360331E-2</v>
      </c>
      <c r="S31" s="80">
        <f t="shared" si="20"/>
        <v>0</v>
      </c>
      <c r="T31" s="80">
        <f t="shared" si="21"/>
        <v>7.7586206896551723E-3</v>
      </c>
      <c r="U31" s="81">
        <f t="shared" si="22"/>
        <v>-1.2800000000000006E-2</v>
      </c>
      <c r="V31" s="82">
        <f t="shared" si="23"/>
        <v>-1.2800000000000006E-2</v>
      </c>
    </row>
    <row r="32" spans="1:22">
      <c r="A32" s="181">
        <v>24</v>
      </c>
      <c r="B32" s="170" t="s">
        <v>62</v>
      </c>
      <c r="C32" s="166" t="s">
        <v>24</v>
      </c>
      <c r="D32" s="69">
        <v>335109098524.84003</v>
      </c>
      <c r="E32" s="52">
        <f t="shared" si="17"/>
        <v>6.7470417521507411E-2</v>
      </c>
      <c r="F32" s="59">
        <v>1</v>
      </c>
      <c r="G32" s="59">
        <v>1</v>
      </c>
      <c r="H32" s="53">
        <v>78282</v>
      </c>
      <c r="I32" s="75">
        <v>0.15559999999999999</v>
      </c>
      <c r="J32" s="75">
        <v>0.15559999999999999</v>
      </c>
      <c r="K32" s="69">
        <v>354678512653.62</v>
      </c>
      <c r="L32" s="52">
        <f t="shared" si="18"/>
        <v>7.1410497178348478E-2</v>
      </c>
      <c r="M32" s="59">
        <v>1</v>
      </c>
      <c r="N32" s="59">
        <v>1</v>
      </c>
      <c r="O32" s="53">
        <v>78582</v>
      </c>
      <c r="P32" s="75">
        <v>0.17749999999999999</v>
      </c>
      <c r="Q32" s="75">
        <v>0.17749999999999999</v>
      </c>
      <c r="R32" s="80">
        <f t="shared" si="19"/>
        <v>5.8397143541984081E-2</v>
      </c>
      <c r="S32" s="80">
        <f t="shared" si="20"/>
        <v>0</v>
      </c>
      <c r="T32" s="80">
        <f t="shared" si="21"/>
        <v>3.8322986127079023E-3</v>
      </c>
      <c r="U32" s="81">
        <f t="shared" si="22"/>
        <v>2.1900000000000003E-2</v>
      </c>
      <c r="V32" s="82">
        <f t="shared" si="23"/>
        <v>2.1900000000000003E-2</v>
      </c>
    </row>
    <row r="33" spans="1:22">
      <c r="A33" s="181">
        <v>25</v>
      </c>
      <c r="B33" s="170" t="s">
        <v>63</v>
      </c>
      <c r="C33" s="166" t="s">
        <v>64</v>
      </c>
      <c r="D33" s="69">
        <v>1816869971.3299999</v>
      </c>
      <c r="E33" s="52">
        <f t="shared" si="17"/>
        <v>3.658061690582169E-4</v>
      </c>
      <c r="F33" s="59">
        <v>1</v>
      </c>
      <c r="G33" s="59">
        <v>1</v>
      </c>
      <c r="H33" s="53">
        <v>300</v>
      </c>
      <c r="I33" s="75">
        <v>0.16370000000000001</v>
      </c>
      <c r="J33" s="75">
        <v>0.16370000000000001</v>
      </c>
      <c r="K33" s="69">
        <v>1879661505.26</v>
      </c>
      <c r="L33" s="52">
        <f t="shared" si="18"/>
        <v>3.7844853248470252E-4</v>
      </c>
      <c r="M33" s="59">
        <v>1</v>
      </c>
      <c r="N33" s="59">
        <v>1</v>
      </c>
      <c r="O33" s="53">
        <v>300</v>
      </c>
      <c r="P33" s="75">
        <v>0.16200000000000001</v>
      </c>
      <c r="Q33" s="75">
        <v>0.16200000000000001</v>
      </c>
      <c r="R33" s="80">
        <f t="shared" si="19"/>
        <v>3.4560279448085596E-2</v>
      </c>
      <c r="S33" s="80">
        <f t="shared" si="20"/>
        <v>0</v>
      </c>
      <c r="T33" s="80">
        <f t="shared" si="21"/>
        <v>0</v>
      </c>
      <c r="U33" s="81">
        <f t="shared" si="22"/>
        <v>-1.7000000000000071E-3</v>
      </c>
      <c r="V33" s="82">
        <f t="shared" si="23"/>
        <v>-1.7000000000000071E-3</v>
      </c>
    </row>
    <row r="34" spans="1:22">
      <c r="A34" s="181">
        <v>26</v>
      </c>
      <c r="B34" s="170" t="s">
        <v>65</v>
      </c>
      <c r="C34" s="166" t="s">
        <v>26</v>
      </c>
      <c r="D34" s="69">
        <v>166681565015.19</v>
      </c>
      <c r="E34" s="52">
        <f t="shared" si="17"/>
        <v>3.355944328046806E-2</v>
      </c>
      <c r="F34" s="59">
        <v>1</v>
      </c>
      <c r="G34" s="59">
        <v>1</v>
      </c>
      <c r="H34" s="53">
        <v>37755</v>
      </c>
      <c r="I34" s="75">
        <v>0.14960000000000001</v>
      </c>
      <c r="J34" s="75">
        <v>0.14960000000000001</v>
      </c>
      <c r="K34" s="69">
        <v>164922215921.88</v>
      </c>
      <c r="L34" s="52">
        <f t="shared" si="18"/>
        <v>3.3205218288027541E-2</v>
      </c>
      <c r="M34" s="59">
        <v>1</v>
      </c>
      <c r="N34" s="59">
        <v>1</v>
      </c>
      <c r="O34" s="53">
        <v>37908</v>
      </c>
      <c r="P34" s="75">
        <v>0.15640000000000001</v>
      </c>
      <c r="Q34" s="75">
        <v>0.15640000000000001</v>
      </c>
      <c r="R34" s="80">
        <f t="shared" si="19"/>
        <v>-1.0555151033947064E-2</v>
      </c>
      <c r="S34" s="80">
        <f t="shared" si="20"/>
        <v>0</v>
      </c>
      <c r="T34" s="80">
        <f t="shared" si="21"/>
        <v>4.0524433849821219E-3</v>
      </c>
      <c r="U34" s="81">
        <f t="shared" si="22"/>
        <v>6.8000000000000005E-3</v>
      </c>
      <c r="V34" s="82">
        <f t="shared" si="23"/>
        <v>6.8000000000000005E-3</v>
      </c>
    </row>
    <row r="35" spans="1:22">
      <c r="A35" s="181">
        <v>27</v>
      </c>
      <c r="B35" s="170" t="s">
        <v>66</v>
      </c>
      <c r="C35" s="166" t="s">
        <v>28</v>
      </c>
      <c r="D35" s="51">
        <v>16255792963.379999</v>
      </c>
      <c r="E35" s="52">
        <f t="shared" ref="E35" si="24">(D35/$D$26)</f>
        <v>0.19912981898754464</v>
      </c>
      <c r="F35" s="51">
        <v>1</v>
      </c>
      <c r="G35" s="51">
        <v>1</v>
      </c>
      <c r="H35" s="53">
        <v>1397</v>
      </c>
      <c r="I35" s="75">
        <v>0.1774</v>
      </c>
      <c r="J35" s="75">
        <v>0.1774</v>
      </c>
      <c r="K35" s="51">
        <v>17492891649.360001</v>
      </c>
      <c r="L35" s="52">
        <f t="shared" ref="L35" si="25">(K35/$K$26)</f>
        <v>0.19711029289588197</v>
      </c>
      <c r="M35" s="51">
        <v>1</v>
      </c>
      <c r="N35" s="51">
        <v>1</v>
      </c>
      <c r="O35" s="53">
        <v>1459</v>
      </c>
      <c r="P35" s="75">
        <v>0.1777</v>
      </c>
      <c r="Q35" s="75">
        <v>0.1777</v>
      </c>
      <c r="R35" s="80">
        <f t="shared" si="19"/>
        <v>7.6102020293126113E-2</v>
      </c>
      <c r="S35" s="80">
        <f t="shared" si="20"/>
        <v>0</v>
      </c>
      <c r="T35" s="80">
        <f t="shared" si="21"/>
        <v>4.4380816034359338E-2</v>
      </c>
      <c r="U35" s="81">
        <f t="shared" si="22"/>
        <v>2.9999999999999472E-4</v>
      </c>
      <c r="V35" s="82">
        <f t="shared" si="23"/>
        <v>2.9999999999999472E-4</v>
      </c>
    </row>
    <row r="36" spans="1:22" ht="15" customHeight="1">
      <c r="A36" s="181">
        <v>28</v>
      </c>
      <c r="B36" s="170" t="s">
        <v>67</v>
      </c>
      <c r="C36" s="166" t="s">
        <v>48</v>
      </c>
      <c r="D36" s="69">
        <v>35994247673.669998</v>
      </c>
      <c r="E36" s="52">
        <f t="shared" ref="E36:E50" si="26">(D36/$K$72)</f>
        <v>7.2470336663659554E-3</v>
      </c>
      <c r="F36" s="59">
        <v>100</v>
      </c>
      <c r="G36" s="59">
        <v>100</v>
      </c>
      <c r="H36" s="53">
        <v>2083</v>
      </c>
      <c r="I36" s="75">
        <v>0.18820000000000001</v>
      </c>
      <c r="J36" s="75">
        <v>0.18820000000000001</v>
      </c>
      <c r="K36" s="69">
        <v>36933098312</v>
      </c>
      <c r="L36" s="52">
        <f t="shared" ref="L36:L50" si="27">(K36/$K$72)</f>
        <v>7.4360605977065366E-3</v>
      </c>
      <c r="M36" s="59">
        <v>100</v>
      </c>
      <c r="N36" s="59">
        <v>100</v>
      </c>
      <c r="O36" s="53">
        <v>7311</v>
      </c>
      <c r="P36" s="75">
        <v>0.1762</v>
      </c>
      <c r="Q36" s="75">
        <v>0.1762</v>
      </c>
      <c r="R36" s="80">
        <f t="shared" si="19"/>
        <v>2.6083352174541392E-2</v>
      </c>
      <c r="S36" s="80">
        <f t="shared" si="20"/>
        <v>0</v>
      </c>
      <c r="T36" s="80">
        <f t="shared" si="21"/>
        <v>2.5098415746519445</v>
      </c>
      <c r="U36" s="81">
        <f t="shared" si="22"/>
        <v>-1.2000000000000011E-2</v>
      </c>
      <c r="V36" s="82">
        <f t="shared" si="23"/>
        <v>-1.2000000000000011E-2</v>
      </c>
    </row>
    <row r="37" spans="1:22" ht="15" customHeight="1">
      <c r="A37" s="181">
        <v>29</v>
      </c>
      <c r="B37" s="170" t="s">
        <v>68</v>
      </c>
      <c r="C37" s="166" t="s">
        <v>69</v>
      </c>
      <c r="D37" s="69">
        <v>2079232532.4300001</v>
      </c>
      <c r="E37" s="52">
        <f t="shared" si="26"/>
        <v>4.1862989606936775E-4</v>
      </c>
      <c r="F37" s="59">
        <v>1</v>
      </c>
      <c r="G37" s="59">
        <v>1</v>
      </c>
      <c r="H37" s="53">
        <v>590</v>
      </c>
      <c r="I37" s="75">
        <v>0.16439999999999999</v>
      </c>
      <c r="J37" s="75">
        <v>0.16439999999999999</v>
      </c>
      <c r="K37" s="69">
        <v>2355143382.9299998</v>
      </c>
      <c r="L37" s="52">
        <f t="shared" si="27"/>
        <v>4.7418141754072314E-4</v>
      </c>
      <c r="M37" s="59">
        <v>1</v>
      </c>
      <c r="N37" s="59">
        <v>1</v>
      </c>
      <c r="O37" s="53">
        <v>600</v>
      </c>
      <c r="P37" s="75">
        <v>0.1633</v>
      </c>
      <c r="Q37" s="75">
        <v>0.1633</v>
      </c>
      <c r="R37" s="80">
        <f t="shared" si="19"/>
        <v>0.13269840972406421</v>
      </c>
      <c r="S37" s="80">
        <f t="shared" si="20"/>
        <v>0</v>
      </c>
      <c r="T37" s="80">
        <f t="shared" si="21"/>
        <v>1.6949152542372881E-2</v>
      </c>
      <c r="U37" s="81">
        <f t="shared" si="22"/>
        <v>-1.0999999999999899E-3</v>
      </c>
      <c r="V37" s="82">
        <f t="shared" si="23"/>
        <v>-1.0999999999999899E-3</v>
      </c>
    </row>
    <row r="38" spans="1:22">
      <c r="A38" s="181">
        <v>30</v>
      </c>
      <c r="B38" s="170" t="s">
        <v>70</v>
      </c>
      <c r="C38" s="166" t="s">
        <v>71</v>
      </c>
      <c r="D38" s="69">
        <v>90166846246.300003</v>
      </c>
      <c r="E38" s="52">
        <f t="shared" si="26"/>
        <v>1.8154072180121595E-2</v>
      </c>
      <c r="F38" s="59">
        <v>100</v>
      </c>
      <c r="G38" s="59">
        <v>100</v>
      </c>
      <c r="H38" s="53">
        <v>5540</v>
      </c>
      <c r="I38" s="75">
        <v>0.16200000000000001</v>
      </c>
      <c r="J38" s="75">
        <v>0.16200000000000001</v>
      </c>
      <c r="K38" s="69">
        <v>89855483297.919998</v>
      </c>
      <c r="L38" s="52">
        <f t="shared" si="27"/>
        <v>1.8091382780697933E-2</v>
      </c>
      <c r="M38" s="59">
        <v>100</v>
      </c>
      <c r="N38" s="59">
        <v>100</v>
      </c>
      <c r="O38" s="53">
        <v>5594</v>
      </c>
      <c r="P38" s="75">
        <v>0.16020000000000001</v>
      </c>
      <c r="Q38" s="75">
        <v>0.16020000000000001</v>
      </c>
      <c r="R38" s="80">
        <f t="shared" si="19"/>
        <v>-3.4531866350241973E-3</v>
      </c>
      <c r="S38" s="80">
        <f t="shared" si="20"/>
        <v>0</v>
      </c>
      <c r="T38" s="80">
        <f t="shared" si="21"/>
        <v>9.7472924187725629E-3</v>
      </c>
      <c r="U38" s="81">
        <f t="shared" si="22"/>
        <v>-1.799999999999996E-3</v>
      </c>
      <c r="V38" s="82">
        <f t="shared" si="23"/>
        <v>-1.799999999999996E-3</v>
      </c>
    </row>
    <row r="39" spans="1:22">
      <c r="A39" s="182">
        <v>31</v>
      </c>
      <c r="B39" s="183" t="s">
        <v>72</v>
      </c>
      <c r="C39" s="166" t="s">
        <v>73</v>
      </c>
      <c r="D39" s="69">
        <v>37670303240.139999</v>
      </c>
      <c r="E39" s="52">
        <f t="shared" si="26"/>
        <v>7.5844884515591281E-3</v>
      </c>
      <c r="F39" s="59">
        <v>100</v>
      </c>
      <c r="G39" s="59">
        <v>100</v>
      </c>
      <c r="H39" s="53">
        <v>5528</v>
      </c>
      <c r="I39" s="75">
        <v>0.1656</v>
      </c>
      <c r="J39" s="75">
        <v>0.1656</v>
      </c>
      <c r="K39" s="69">
        <v>37508714081.839996</v>
      </c>
      <c r="L39" s="52">
        <f t="shared" si="27"/>
        <v>7.5519543066330632E-3</v>
      </c>
      <c r="M39" s="59">
        <v>100</v>
      </c>
      <c r="N39" s="59">
        <v>100</v>
      </c>
      <c r="O39" s="53">
        <v>5553</v>
      </c>
      <c r="P39" s="75">
        <v>0.1648</v>
      </c>
      <c r="Q39" s="75">
        <v>0.1648</v>
      </c>
      <c r="R39" s="80">
        <f t="shared" si="19"/>
        <v>-4.2895635129323829E-3</v>
      </c>
      <c r="S39" s="80">
        <f t="shared" si="20"/>
        <v>0</v>
      </c>
      <c r="T39" s="80">
        <f t="shared" si="21"/>
        <v>4.5224312590448623E-3</v>
      </c>
      <c r="U39" s="81">
        <f t="shared" si="22"/>
        <v>-7.9999999999999516E-4</v>
      </c>
      <c r="V39" s="82">
        <f t="shared" si="23"/>
        <v>-7.9999999999999516E-4</v>
      </c>
    </row>
    <row r="40" spans="1:22">
      <c r="A40" s="181">
        <v>32</v>
      </c>
      <c r="B40" s="170" t="s">
        <v>74</v>
      </c>
      <c r="C40" s="166" t="s">
        <v>75</v>
      </c>
      <c r="D40" s="69">
        <v>75059091845.479996</v>
      </c>
      <c r="E40" s="52">
        <f t="shared" si="26"/>
        <v>1.5112297123213794E-2</v>
      </c>
      <c r="F40" s="59">
        <v>1</v>
      </c>
      <c r="G40" s="59">
        <v>1</v>
      </c>
      <c r="H40" s="53">
        <v>13642</v>
      </c>
      <c r="I40" s="75">
        <v>0.16189999999999999</v>
      </c>
      <c r="J40" s="75">
        <v>0.16189999999999999</v>
      </c>
      <c r="K40" s="69">
        <v>77973346263.360001</v>
      </c>
      <c r="L40" s="52">
        <f t="shared" si="27"/>
        <v>1.5699049208441604E-2</v>
      </c>
      <c r="M40" s="59">
        <v>1</v>
      </c>
      <c r="N40" s="59">
        <v>1</v>
      </c>
      <c r="O40" s="53">
        <v>13863</v>
      </c>
      <c r="P40" s="75">
        <v>0.1646</v>
      </c>
      <c r="Q40" s="75">
        <v>0.1646</v>
      </c>
      <c r="R40" s="80">
        <f t="shared" si="19"/>
        <v>3.8826134798958391E-2</v>
      </c>
      <c r="S40" s="80">
        <f t="shared" si="20"/>
        <v>0</v>
      </c>
      <c r="T40" s="80">
        <f t="shared" si="21"/>
        <v>1.6199970678786101E-2</v>
      </c>
      <c r="U40" s="81">
        <f t="shared" si="22"/>
        <v>2.7000000000000079E-3</v>
      </c>
      <c r="V40" s="82">
        <f t="shared" si="23"/>
        <v>2.7000000000000079E-3</v>
      </c>
    </row>
    <row r="41" spans="1:22">
      <c r="A41" s="181">
        <v>33</v>
      </c>
      <c r="B41" s="170" t="s">
        <v>76</v>
      </c>
      <c r="C41" s="166" t="s">
        <v>77</v>
      </c>
      <c r="D41" s="69">
        <v>830439324.23000002</v>
      </c>
      <c r="E41" s="52">
        <v>0</v>
      </c>
      <c r="F41" s="59">
        <v>1000</v>
      </c>
      <c r="G41" s="59">
        <v>1000</v>
      </c>
      <c r="H41" s="53">
        <v>53</v>
      </c>
      <c r="I41" s="75">
        <v>0.191</v>
      </c>
      <c r="J41" s="75">
        <v>0.191</v>
      </c>
      <c r="K41" s="69">
        <v>827254579.17999995</v>
      </c>
      <c r="L41" s="52">
        <f t="shared" si="27"/>
        <v>1.6655833010668374E-4</v>
      </c>
      <c r="M41" s="59">
        <v>1000</v>
      </c>
      <c r="N41" s="59">
        <v>1000</v>
      </c>
      <c r="O41" s="53">
        <v>53</v>
      </c>
      <c r="P41" s="75">
        <v>0.20169999999999999</v>
      </c>
      <c r="Q41" s="75">
        <v>0.20169999999999999</v>
      </c>
      <c r="R41" s="80">
        <f t="shared" si="19"/>
        <v>-3.8350123327228402E-3</v>
      </c>
      <c r="S41" s="80">
        <f t="shared" si="20"/>
        <v>0</v>
      </c>
      <c r="T41" s="80">
        <f t="shared" si="21"/>
        <v>0</v>
      </c>
      <c r="U41" s="81">
        <f t="shared" si="22"/>
        <v>1.0699999999999987E-2</v>
      </c>
      <c r="V41" s="82">
        <f t="shared" si="23"/>
        <v>1.0699999999999987E-2</v>
      </c>
    </row>
    <row r="42" spans="1:22">
      <c r="A42" s="181">
        <v>34</v>
      </c>
      <c r="B42" s="170" t="s">
        <v>78</v>
      </c>
      <c r="C42" s="166" t="s">
        <v>79</v>
      </c>
      <c r="D42" s="69">
        <v>86702467845.309998</v>
      </c>
      <c r="E42" s="52">
        <f t="shared" si="26"/>
        <v>1.7456558868199502E-2</v>
      </c>
      <c r="F42" s="70">
        <v>100</v>
      </c>
      <c r="G42" s="70">
        <v>100</v>
      </c>
      <c r="H42" s="53">
        <v>4546</v>
      </c>
      <c r="I42" s="75">
        <v>0.1623</v>
      </c>
      <c r="J42" s="75">
        <v>0.1623</v>
      </c>
      <c r="K42" s="69">
        <v>86142436878.339996</v>
      </c>
      <c r="L42" s="52">
        <f t="shared" si="27"/>
        <v>1.7343802982630375E-2</v>
      </c>
      <c r="M42" s="70">
        <v>100</v>
      </c>
      <c r="N42" s="70">
        <v>100</v>
      </c>
      <c r="O42" s="53">
        <v>4546</v>
      </c>
      <c r="P42" s="75">
        <v>0.15459999999999999</v>
      </c>
      <c r="Q42" s="75">
        <v>0.15459999999999999</v>
      </c>
      <c r="R42" s="80">
        <f t="shared" si="19"/>
        <v>-6.459227527054699E-3</v>
      </c>
      <c r="S42" s="80">
        <f t="shared" si="20"/>
        <v>0</v>
      </c>
      <c r="T42" s="80">
        <f t="shared" si="21"/>
        <v>0</v>
      </c>
      <c r="U42" s="81">
        <f t="shared" si="22"/>
        <v>-7.7000000000000124E-3</v>
      </c>
      <c r="V42" s="82">
        <f t="shared" si="23"/>
        <v>-7.7000000000000124E-3</v>
      </c>
    </row>
    <row r="43" spans="1:22">
      <c r="A43" s="181">
        <v>35</v>
      </c>
      <c r="B43" s="170" t="s">
        <v>80</v>
      </c>
      <c r="C43" s="166" t="s">
        <v>79</v>
      </c>
      <c r="D43" s="69">
        <v>11473777179.200001</v>
      </c>
      <c r="E43" s="52">
        <f t="shared" si="26"/>
        <v>2.3101149453630377E-3</v>
      </c>
      <c r="F43" s="70">
        <v>1000000</v>
      </c>
      <c r="G43" s="70">
        <v>1000000</v>
      </c>
      <c r="H43" s="53">
        <v>45</v>
      </c>
      <c r="I43" s="75">
        <v>0.16619999999999999</v>
      </c>
      <c r="J43" s="75">
        <v>0.16619999999999999</v>
      </c>
      <c r="K43" s="69">
        <v>9950053287.0599995</v>
      </c>
      <c r="L43" s="52">
        <f t="shared" si="27"/>
        <v>2.0033304156599095E-3</v>
      </c>
      <c r="M43" s="70">
        <v>1000000</v>
      </c>
      <c r="N43" s="70">
        <v>1000000</v>
      </c>
      <c r="O43" s="53">
        <v>45</v>
      </c>
      <c r="P43" s="75">
        <v>0.15359999999999999</v>
      </c>
      <c r="Q43" s="75">
        <v>0.15359999999999999</v>
      </c>
      <c r="R43" s="80">
        <f t="shared" si="19"/>
        <v>-0.13280054757401535</v>
      </c>
      <c r="S43" s="80">
        <f t="shared" si="20"/>
        <v>0</v>
      </c>
      <c r="T43" s="80">
        <f t="shared" si="21"/>
        <v>0</v>
      </c>
      <c r="U43" s="81">
        <f t="shared" si="22"/>
        <v>-1.26E-2</v>
      </c>
      <c r="V43" s="82">
        <f t="shared" si="23"/>
        <v>-1.26E-2</v>
      </c>
    </row>
    <row r="44" spans="1:22">
      <c r="A44" s="181">
        <v>36</v>
      </c>
      <c r="B44" s="170" t="s">
        <v>81</v>
      </c>
      <c r="C44" s="166" t="s">
        <v>82</v>
      </c>
      <c r="D44" s="69">
        <v>7226331658</v>
      </c>
      <c r="E44" s="52">
        <f t="shared" si="26"/>
        <v>1.4549399472005269E-3</v>
      </c>
      <c r="F44" s="59">
        <v>1</v>
      </c>
      <c r="G44" s="59">
        <v>1</v>
      </c>
      <c r="H44" s="53">
        <v>1052</v>
      </c>
      <c r="I44" s="75">
        <v>0.1958</v>
      </c>
      <c r="J44" s="75">
        <v>0.1958</v>
      </c>
      <c r="K44" s="69">
        <v>7248254866.54</v>
      </c>
      <c r="L44" s="52">
        <f t="shared" si="27"/>
        <v>1.4593539366747495E-3</v>
      </c>
      <c r="M44" s="59">
        <v>1</v>
      </c>
      <c r="N44" s="59">
        <v>1</v>
      </c>
      <c r="O44" s="53">
        <v>1061</v>
      </c>
      <c r="P44" s="75">
        <v>0.186</v>
      </c>
      <c r="Q44" s="75">
        <v>0.186</v>
      </c>
      <c r="R44" s="80">
        <f t="shared" si="19"/>
        <v>3.0337949567716838E-3</v>
      </c>
      <c r="S44" s="80">
        <f t="shared" si="20"/>
        <v>0</v>
      </c>
      <c r="T44" s="80">
        <f t="shared" si="21"/>
        <v>8.555133079847909E-3</v>
      </c>
      <c r="U44" s="81">
        <f t="shared" si="22"/>
        <v>-9.8000000000000032E-3</v>
      </c>
      <c r="V44" s="82">
        <f t="shared" si="23"/>
        <v>-9.8000000000000032E-3</v>
      </c>
    </row>
    <row r="45" spans="1:22">
      <c r="A45" s="182">
        <v>37</v>
      </c>
      <c r="B45" s="183" t="s">
        <v>83</v>
      </c>
      <c r="C45" s="166" t="s">
        <v>84</v>
      </c>
      <c r="D45" s="69">
        <v>720470035465.21997</v>
      </c>
      <c r="E45" s="52">
        <f t="shared" si="26"/>
        <v>0.14505847295271329</v>
      </c>
      <c r="F45" s="59">
        <v>100</v>
      </c>
      <c r="G45" s="59">
        <v>100</v>
      </c>
      <c r="H45" s="53">
        <v>33128</v>
      </c>
      <c r="I45" s="75">
        <v>0.16500000000000001</v>
      </c>
      <c r="J45" s="75">
        <v>0.16500000000000001</v>
      </c>
      <c r="K45" s="69">
        <v>724322891325.20996</v>
      </c>
      <c r="L45" s="52">
        <f t="shared" si="27"/>
        <v>0.14583420179644818</v>
      </c>
      <c r="M45" s="59">
        <v>100</v>
      </c>
      <c r="N45" s="59">
        <v>100</v>
      </c>
      <c r="O45" s="53">
        <v>33137</v>
      </c>
      <c r="P45" s="75">
        <v>0.16209999999999999</v>
      </c>
      <c r="Q45" s="75">
        <v>0.16209999999999999</v>
      </c>
      <c r="R45" s="80">
        <f t="shared" si="19"/>
        <v>5.3476975728798141E-3</v>
      </c>
      <c r="S45" s="80">
        <f t="shared" si="20"/>
        <v>0</v>
      </c>
      <c r="T45" s="80">
        <f t="shared" si="21"/>
        <v>2.7167350881429609E-4</v>
      </c>
      <c r="U45" s="81">
        <f t="shared" si="22"/>
        <v>-2.9000000000000137E-3</v>
      </c>
      <c r="V45" s="82">
        <f t="shared" si="23"/>
        <v>-2.9000000000000137E-3</v>
      </c>
    </row>
    <row r="46" spans="1:22">
      <c r="A46" s="181">
        <v>38</v>
      </c>
      <c r="B46" s="170" t="s">
        <v>85</v>
      </c>
      <c r="C46" s="166" t="s">
        <v>86</v>
      </c>
      <c r="D46" s="69">
        <v>4463644811.0200005</v>
      </c>
      <c r="E46" s="52">
        <f t="shared" si="26"/>
        <v>8.9870427390053578E-4</v>
      </c>
      <c r="F46" s="59">
        <v>1</v>
      </c>
      <c r="G46" s="59">
        <v>1</v>
      </c>
      <c r="H46" s="71">
        <v>1805</v>
      </c>
      <c r="I46" s="78">
        <v>0.1799</v>
      </c>
      <c r="J46" s="78">
        <v>0.1799</v>
      </c>
      <c r="K46" s="69">
        <v>4861799994.1000004</v>
      </c>
      <c r="L46" s="52">
        <f t="shared" si="27"/>
        <v>9.7886830573081017E-4</v>
      </c>
      <c r="M46" s="59">
        <v>1</v>
      </c>
      <c r="N46" s="59">
        <v>1</v>
      </c>
      <c r="O46" s="71">
        <v>1835</v>
      </c>
      <c r="P46" s="78">
        <v>0.17299999999999999</v>
      </c>
      <c r="Q46" s="78">
        <v>0.17299999999999999</v>
      </c>
      <c r="R46" s="80">
        <f t="shared" si="19"/>
        <v>8.9199566707687097E-2</v>
      </c>
      <c r="S46" s="80">
        <f t="shared" si="20"/>
        <v>0</v>
      </c>
      <c r="T46" s="80">
        <f t="shared" si="21"/>
        <v>1.662049861495845E-2</v>
      </c>
      <c r="U46" s="81">
        <f t="shared" si="22"/>
        <v>-6.9000000000000172E-3</v>
      </c>
      <c r="V46" s="82">
        <f t="shared" si="23"/>
        <v>-6.9000000000000172E-3</v>
      </c>
    </row>
    <row r="47" spans="1:22">
      <c r="A47" s="181">
        <v>39</v>
      </c>
      <c r="B47" s="170" t="s">
        <v>87</v>
      </c>
      <c r="C47" s="166" t="s">
        <v>88</v>
      </c>
      <c r="D47" s="69">
        <v>3800474041.5599999</v>
      </c>
      <c r="E47" s="52">
        <f t="shared" si="26"/>
        <v>7.651823584989793E-4</v>
      </c>
      <c r="F47" s="59">
        <v>1</v>
      </c>
      <c r="G47" s="59">
        <v>1</v>
      </c>
      <c r="H47" s="71">
        <v>578</v>
      </c>
      <c r="I47" s="78">
        <v>0.1661</v>
      </c>
      <c r="J47" s="78">
        <v>0.1661</v>
      </c>
      <c r="K47" s="69">
        <v>3812429108.5599999</v>
      </c>
      <c r="L47" s="52">
        <f t="shared" si="27"/>
        <v>7.6758937569289709E-4</v>
      </c>
      <c r="M47" s="59">
        <v>1</v>
      </c>
      <c r="N47" s="59">
        <v>1</v>
      </c>
      <c r="O47" s="71">
        <v>581</v>
      </c>
      <c r="P47" s="78">
        <v>0.16839999999999999</v>
      </c>
      <c r="Q47" s="78">
        <v>0.16839999999999999</v>
      </c>
      <c r="R47" s="80">
        <f t="shared" si="19"/>
        <v>3.1456778468332185E-3</v>
      </c>
      <c r="S47" s="80">
        <f t="shared" si="20"/>
        <v>0</v>
      </c>
      <c r="T47" s="80">
        <f t="shared" si="21"/>
        <v>5.1903114186851208E-3</v>
      </c>
      <c r="U47" s="81">
        <f t="shared" si="22"/>
        <v>2.2999999999999965E-3</v>
      </c>
      <c r="V47" s="82">
        <f t="shared" si="23"/>
        <v>2.2999999999999965E-3</v>
      </c>
    </row>
    <row r="48" spans="1:22">
      <c r="A48" s="181">
        <v>40</v>
      </c>
      <c r="B48" s="170" t="s">
        <v>89</v>
      </c>
      <c r="C48" s="166" t="s">
        <v>90</v>
      </c>
      <c r="D48" s="69">
        <v>7254952.04</v>
      </c>
      <c r="E48" s="52">
        <f t="shared" si="26"/>
        <v>1.4607023366183775E-6</v>
      </c>
      <c r="F48" s="59">
        <v>1</v>
      </c>
      <c r="G48" s="59">
        <v>1</v>
      </c>
      <c r="H48" s="71">
        <v>21</v>
      </c>
      <c r="I48" s="78">
        <v>0.02</v>
      </c>
      <c r="J48" s="78">
        <v>0.02</v>
      </c>
      <c r="K48" s="69">
        <v>7292094.1699999999</v>
      </c>
      <c r="L48" s="52">
        <f t="shared" si="27"/>
        <v>1.4681804833764619E-6</v>
      </c>
      <c r="M48" s="59">
        <v>1</v>
      </c>
      <c r="N48" s="59">
        <v>1</v>
      </c>
      <c r="O48" s="71">
        <v>23</v>
      </c>
      <c r="P48" s="78">
        <v>0.02</v>
      </c>
      <c r="Q48" s="78">
        <v>0.02</v>
      </c>
      <c r="R48" s="80">
        <f t="shared" si="19"/>
        <v>5.1195555525684619E-3</v>
      </c>
      <c r="S48" s="80">
        <f t="shared" si="20"/>
        <v>0</v>
      </c>
      <c r="T48" s="80">
        <f t="shared" si="21"/>
        <v>9.5238095238095233E-2</v>
      </c>
      <c r="U48" s="81">
        <f t="shared" si="22"/>
        <v>0</v>
      </c>
      <c r="V48" s="82">
        <f t="shared" si="23"/>
        <v>0</v>
      </c>
    </row>
    <row r="49" spans="1:22">
      <c r="A49" s="181">
        <v>41</v>
      </c>
      <c r="B49" s="170" t="s">
        <v>91</v>
      </c>
      <c r="C49" s="166" t="s">
        <v>92</v>
      </c>
      <c r="D49" s="69">
        <v>2025671145.22</v>
      </c>
      <c r="E49" s="52">
        <f t="shared" si="26"/>
        <v>4.0784591803356415E-4</v>
      </c>
      <c r="F49" s="59">
        <v>10</v>
      </c>
      <c r="G49" s="59">
        <v>10</v>
      </c>
      <c r="H49" s="53">
        <v>534</v>
      </c>
      <c r="I49" s="75">
        <v>0.17269999999999999</v>
      </c>
      <c r="J49" s="75">
        <v>0.17269999999999999</v>
      </c>
      <c r="K49" s="69">
        <v>2031542977.9200001</v>
      </c>
      <c r="L49" s="52">
        <f t="shared" si="27"/>
        <v>4.0902814497287857E-4</v>
      </c>
      <c r="M49" s="59">
        <v>10</v>
      </c>
      <c r="N49" s="59">
        <v>10</v>
      </c>
      <c r="O49" s="53">
        <v>540</v>
      </c>
      <c r="P49" s="75">
        <v>0.16500000000000001</v>
      </c>
      <c r="Q49" s="75">
        <v>0.16500000000000001</v>
      </c>
      <c r="R49" s="80">
        <f t="shared" si="19"/>
        <v>2.8987097505218853E-3</v>
      </c>
      <c r="S49" s="80">
        <f t="shared" si="20"/>
        <v>0</v>
      </c>
      <c r="T49" s="80">
        <f t="shared" si="21"/>
        <v>1.1235955056179775E-2</v>
      </c>
      <c r="U49" s="81">
        <f t="shared" si="22"/>
        <v>-7.6999999999999846E-3</v>
      </c>
      <c r="V49" s="82">
        <f t="shared" si="23"/>
        <v>-7.6999999999999846E-3</v>
      </c>
    </row>
    <row r="50" spans="1:22">
      <c r="A50" s="181">
        <v>42</v>
      </c>
      <c r="B50" s="170" t="s">
        <v>93</v>
      </c>
      <c r="C50" s="166" t="s">
        <v>94</v>
      </c>
      <c r="D50" s="69">
        <v>10119348380.639999</v>
      </c>
      <c r="E50" s="52">
        <f t="shared" si="26"/>
        <v>2.0374160632847193E-3</v>
      </c>
      <c r="F50" s="59">
        <v>100</v>
      </c>
      <c r="G50" s="59">
        <v>100</v>
      </c>
      <c r="H50" s="53">
        <v>1924</v>
      </c>
      <c r="I50" s="75">
        <v>0.18590000000000001</v>
      </c>
      <c r="J50" s="75">
        <v>0.18590000000000001</v>
      </c>
      <c r="K50" s="69">
        <v>10158287341.690001</v>
      </c>
      <c r="L50" s="52">
        <f t="shared" si="27"/>
        <v>2.0452559816022536E-3</v>
      </c>
      <c r="M50" s="59">
        <v>100</v>
      </c>
      <c r="N50" s="59">
        <v>100</v>
      </c>
      <c r="O50" s="53">
        <v>1927</v>
      </c>
      <c r="P50" s="75">
        <v>0.1704</v>
      </c>
      <c r="Q50" s="75">
        <v>0.1704</v>
      </c>
      <c r="R50" s="80">
        <f t="shared" si="19"/>
        <v>3.8479711919492633E-3</v>
      </c>
      <c r="S50" s="80">
        <f t="shared" si="20"/>
        <v>0</v>
      </c>
      <c r="T50" s="80">
        <f t="shared" si="21"/>
        <v>1.5592515592515593E-3</v>
      </c>
      <c r="U50" s="81">
        <f t="shared" si="22"/>
        <v>-1.5500000000000014E-2</v>
      </c>
      <c r="V50" s="82">
        <f t="shared" si="23"/>
        <v>-1.5500000000000014E-2</v>
      </c>
    </row>
    <row r="51" spans="1:22">
      <c r="A51" s="181">
        <v>43</v>
      </c>
      <c r="B51" s="170" t="s">
        <v>95</v>
      </c>
      <c r="C51" s="170" t="s">
        <v>96</v>
      </c>
      <c r="D51" s="72">
        <v>124878594.63</v>
      </c>
      <c r="E51" s="52">
        <f>(D51/$D$197)</f>
        <v>1.484912057865461E-3</v>
      </c>
      <c r="F51" s="51">
        <v>1</v>
      </c>
      <c r="G51" s="51">
        <v>1</v>
      </c>
      <c r="H51" s="53">
        <v>119</v>
      </c>
      <c r="I51" s="75">
        <v>0.15909999999999999</v>
      </c>
      <c r="J51" s="75">
        <v>0.15909999999999999</v>
      </c>
      <c r="K51" s="72">
        <v>132304630.45451701</v>
      </c>
      <c r="L51" s="79">
        <f>(K51/$K$197)</f>
        <v>1.5031658945947916E-3</v>
      </c>
      <c r="M51" s="51">
        <v>1</v>
      </c>
      <c r="N51" s="51">
        <v>1</v>
      </c>
      <c r="O51" s="53">
        <v>121</v>
      </c>
      <c r="P51" s="75">
        <v>1.1999999999999999E-3</v>
      </c>
      <c r="Q51" s="75">
        <v>0.1507</v>
      </c>
      <c r="R51" s="81">
        <f t="shared" si="19"/>
        <v>5.9466042571342574E-2</v>
      </c>
      <c r="S51" s="81">
        <f t="shared" si="20"/>
        <v>0</v>
      </c>
      <c r="T51" s="81">
        <f t="shared" si="21"/>
        <v>1.680672268907563E-2</v>
      </c>
      <c r="U51" s="81">
        <f t="shared" si="22"/>
        <v>-0.15789999999999998</v>
      </c>
      <c r="V51" s="82">
        <f t="shared" si="23"/>
        <v>-8.3999999999999908E-3</v>
      </c>
    </row>
    <row r="52" spans="1:22">
      <c r="A52" s="181">
        <v>44</v>
      </c>
      <c r="B52" s="170" t="s">
        <v>97</v>
      </c>
      <c r="C52" s="166" t="s">
        <v>38</v>
      </c>
      <c r="D52" s="69">
        <v>941153353.60000002</v>
      </c>
      <c r="E52" s="52">
        <f t="shared" ref="E52" si="28">(D52/$K$72)</f>
        <v>1.8949055695201291E-4</v>
      </c>
      <c r="F52" s="59">
        <v>100</v>
      </c>
      <c r="G52" s="59">
        <v>100</v>
      </c>
      <c r="H52" s="53">
        <v>5499</v>
      </c>
      <c r="I52" s="75">
        <v>0.13880000000000001</v>
      </c>
      <c r="J52" s="75">
        <v>0.13880000000000001</v>
      </c>
      <c r="K52" s="69">
        <v>1022058079.6799999</v>
      </c>
      <c r="L52" s="52">
        <f t="shared" ref="L52" si="29">(K52/$K$72)</f>
        <v>2.0577980625055488E-4</v>
      </c>
      <c r="M52" s="59">
        <v>100</v>
      </c>
      <c r="N52" s="59">
        <v>100</v>
      </c>
      <c r="O52" s="53">
        <v>5685</v>
      </c>
      <c r="P52" s="75">
        <v>0.1371</v>
      </c>
      <c r="Q52" s="75">
        <v>0.1371</v>
      </c>
      <c r="R52" s="80">
        <f t="shared" ref="R52" si="30">((K52-D52)/D52)</f>
        <v>8.5963382875417424E-2</v>
      </c>
      <c r="S52" s="80">
        <f t="shared" ref="S52" si="31">((N52-G52)/G52)</f>
        <v>0</v>
      </c>
      <c r="T52" s="80">
        <f t="shared" ref="T52" si="32">((O52-H52)/H52)</f>
        <v>3.3824331696672122E-2</v>
      </c>
      <c r="U52" s="81">
        <f t="shared" ref="U52" si="33">P52-I52</f>
        <v>-1.7000000000000071E-3</v>
      </c>
      <c r="V52" s="82">
        <f t="shared" ref="V52" si="34">Q52-J52</f>
        <v>-1.7000000000000071E-3</v>
      </c>
    </row>
    <row r="53" spans="1:22">
      <c r="A53" s="181">
        <v>45</v>
      </c>
      <c r="B53" s="170" t="s">
        <v>98</v>
      </c>
      <c r="C53" s="166" t="s">
        <v>38</v>
      </c>
      <c r="D53" s="69">
        <v>264865722747.38</v>
      </c>
      <c r="E53" s="52">
        <f t="shared" ref="E53:E71" si="35">(D53/$K$72)</f>
        <v>5.3327710228007703E-2</v>
      </c>
      <c r="F53" s="59">
        <v>100</v>
      </c>
      <c r="G53" s="59">
        <v>100</v>
      </c>
      <c r="H53" s="53">
        <v>27323</v>
      </c>
      <c r="I53" s="75">
        <v>0.17580000000000001</v>
      </c>
      <c r="J53" s="75">
        <v>0.17580000000000001</v>
      </c>
      <c r="K53" s="69">
        <v>286575293815.65002</v>
      </c>
      <c r="L53" s="52">
        <f t="shared" ref="L53:L71" si="36">(K53/$K$72)</f>
        <v>5.769868621951884E-2</v>
      </c>
      <c r="M53" s="59">
        <v>100</v>
      </c>
      <c r="N53" s="59">
        <v>100</v>
      </c>
      <c r="O53" s="53">
        <v>28525</v>
      </c>
      <c r="P53" s="75">
        <v>0.17760000000000001</v>
      </c>
      <c r="Q53" s="75">
        <v>0.17760000000000001</v>
      </c>
      <c r="R53" s="80">
        <f t="shared" si="19"/>
        <v>8.1964441616236908E-2</v>
      </c>
      <c r="S53" s="80">
        <f t="shared" si="20"/>
        <v>0</v>
      </c>
      <c r="T53" s="80">
        <f t="shared" si="21"/>
        <v>4.3992240969146876E-2</v>
      </c>
      <c r="U53" s="81">
        <f t="shared" si="22"/>
        <v>1.799999999999996E-3</v>
      </c>
      <c r="V53" s="82">
        <f t="shared" si="23"/>
        <v>1.799999999999996E-3</v>
      </c>
    </row>
    <row r="54" spans="1:22">
      <c r="A54" s="181">
        <v>46</v>
      </c>
      <c r="B54" s="170" t="s">
        <v>99</v>
      </c>
      <c r="C54" s="166" t="s">
        <v>42</v>
      </c>
      <c r="D54" s="69">
        <v>49400893990.550003</v>
      </c>
      <c r="E54" s="52">
        <f t="shared" si="35"/>
        <v>9.9463098977334054E-3</v>
      </c>
      <c r="F54" s="59">
        <v>1</v>
      </c>
      <c r="G54" s="59">
        <v>1</v>
      </c>
      <c r="H54" s="53">
        <v>2922</v>
      </c>
      <c r="I54" s="75">
        <v>0.17399999999999999</v>
      </c>
      <c r="J54" s="75">
        <v>0.17399999999999999</v>
      </c>
      <c r="K54" s="69">
        <v>52238669606</v>
      </c>
      <c r="L54" s="52">
        <f t="shared" si="36"/>
        <v>1.0517663843208482E-2</v>
      </c>
      <c r="M54" s="59">
        <v>1</v>
      </c>
      <c r="N54" s="59">
        <v>1</v>
      </c>
      <c r="O54" s="53">
        <v>2962</v>
      </c>
      <c r="P54" s="75">
        <v>0.17199999999999999</v>
      </c>
      <c r="Q54" s="75">
        <v>0.17199999999999999</v>
      </c>
      <c r="R54" s="80">
        <f t="shared" si="19"/>
        <v>5.7443810955988786E-2</v>
      </c>
      <c r="S54" s="80">
        <f t="shared" si="20"/>
        <v>0</v>
      </c>
      <c r="T54" s="80">
        <f t="shared" si="21"/>
        <v>1.3689253935660506E-2</v>
      </c>
      <c r="U54" s="81">
        <f t="shared" si="22"/>
        <v>-2.0000000000000018E-3</v>
      </c>
      <c r="V54" s="82">
        <f t="shared" si="23"/>
        <v>-2.0000000000000018E-3</v>
      </c>
    </row>
    <row r="55" spans="1:22">
      <c r="A55" s="181">
        <v>47</v>
      </c>
      <c r="B55" s="170" t="s">
        <v>100</v>
      </c>
      <c r="C55" s="166" t="s">
        <v>101</v>
      </c>
      <c r="D55" s="69">
        <v>4947215400.5640001</v>
      </c>
      <c r="E55" s="52">
        <f t="shared" si="35"/>
        <v>9.9606572938258295E-4</v>
      </c>
      <c r="F55" s="59">
        <v>100</v>
      </c>
      <c r="G55" s="59">
        <v>100</v>
      </c>
      <c r="H55" s="53">
        <v>936</v>
      </c>
      <c r="I55" s="75">
        <v>0.18579999999999999</v>
      </c>
      <c r="J55" s="75">
        <v>0.18579999999999999</v>
      </c>
      <c r="K55" s="69">
        <v>5069176481.4180002</v>
      </c>
      <c r="L55" s="52">
        <f t="shared" si="36"/>
        <v>1.0206212102179795E-3</v>
      </c>
      <c r="M55" s="59">
        <v>100</v>
      </c>
      <c r="N55" s="59">
        <v>100</v>
      </c>
      <c r="O55" s="53">
        <v>932</v>
      </c>
      <c r="P55" s="75">
        <v>0.16500000000000001</v>
      </c>
      <c r="Q55" s="75">
        <v>0.16500000000000001</v>
      </c>
      <c r="R55" s="80">
        <f t="shared" si="19"/>
        <v>2.4652470325043072E-2</v>
      </c>
      <c r="S55" s="80">
        <f t="shared" si="20"/>
        <v>0</v>
      </c>
      <c r="T55" s="80">
        <f t="shared" si="21"/>
        <v>-4.2735042735042739E-3</v>
      </c>
      <c r="U55" s="81">
        <f t="shared" si="22"/>
        <v>-2.0799999999999985E-2</v>
      </c>
      <c r="V55" s="82">
        <f t="shared" si="23"/>
        <v>-2.0799999999999985E-2</v>
      </c>
    </row>
    <row r="56" spans="1:22">
      <c r="A56" s="181">
        <v>48</v>
      </c>
      <c r="B56" s="170" t="s">
        <v>102</v>
      </c>
      <c r="C56" s="166" t="s">
        <v>44</v>
      </c>
      <c r="D56" s="73">
        <v>85628893505.839996</v>
      </c>
      <c r="E56" s="52">
        <f t="shared" si="35"/>
        <v>1.7240406847131507E-2</v>
      </c>
      <c r="F56" s="59">
        <v>10</v>
      </c>
      <c r="G56" s="59">
        <v>10</v>
      </c>
      <c r="H56" s="53">
        <v>7922</v>
      </c>
      <c r="I56" s="75">
        <v>0.18970000000000001</v>
      </c>
      <c r="J56" s="75">
        <v>0.18970000000000001</v>
      </c>
      <c r="K56" s="73">
        <v>79242175836.570007</v>
      </c>
      <c r="L56" s="52">
        <f t="shared" si="36"/>
        <v>1.5954513657019592E-2</v>
      </c>
      <c r="M56" s="59">
        <v>10</v>
      </c>
      <c r="N56" s="59">
        <v>10</v>
      </c>
      <c r="O56" s="53">
        <v>7063</v>
      </c>
      <c r="P56" s="75">
        <v>0.18010000000000001</v>
      </c>
      <c r="Q56" s="75">
        <v>0.18010000000000001</v>
      </c>
      <c r="R56" s="80">
        <f t="shared" si="19"/>
        <v>-7.4586011891353082E-2</v>
      </c>
      <c r="S56" s="80">
        <f t="shared" si="20"/>
        <v>0</v>
      </c>
      <c r="T56" s="80">
        <f t="shared" si="21"/>
        <v>-0.10843221408735168</v>
      </c>
      <c r="U56" s="81">
        <f t="shared" si="22"/>
        <v>-9.5999999999999974E-3</v>
      </c>
      <c r="V56" s="82">
        <f t="shared" si="23"/>
        <v>-9.5999999999999974E-3</v>
      </c>
    </row>
    <row r="57" spans="1:22">
      <c r="A57" s="181">
        <v>49</v>
      </c>
      <c r="B57" s="170" t="s">
        <v>103</v>
      </c>
      <c r="C57" s="166" t="s">
        <v>104</v>
      </c>
      <c r="D57" s="69">
        <v>34424799679</v>
      </c>
      <c r="E57" s="52">
        <f t="shared" si="35"/>
        <v>6.9310431070382207E-3</v>
      </c>
      <c r="F57" s="59">
        <v>100</v>
      </c>
      <c r="G57" s="59">
        <v>100</v>
      </c>
      <c r="H57" s="53">
        <v>5464</v>
      </c>
      <c r="I57" s="75">
        <v>0.17730000000000001</v>
      </c>
      <c r="J57" s="75">
        <v>0.17730000000000001</v>
      </c>
      <c r="K57" s="69">
        <v>35133369430</v>
      </c>
      <c r="L57" s="52">
        <f t="shared" si="36"/>
        <v>7.0737055926392697E-3</v>
      </c>
      <c r="M57" s="59">
        <v>100</v>
      </c>
      <c r="N57" s="59">
        <v>100</v>
      </c>
      <c r="O57" s="53">
        <v>5531</v>
      </c>
      <c r="P57" s="75">
        <v>0.18010000000000001</v>
      </c>
      <c r="Q57" s="75">
        <v>0.18010000000000001</v>
      </c>
      <c r="R57" s="80">
        <f t="shared" si="19"/>
        <v>2.0583119077153135E-2</v>
      </c>
      <c r="S57" s="80">
        <f t="shared" si="20"/>
        <v>0</v>
      </c>
      <c r="T57" s="80">
        <f t="shared" si="21"/>
        <v>1.2262079062957541E-2</v>
      </c>
      <c r="U57" s="81">
        <f t="shared" si="22"/>
        <v>2.7999999999999969E-3</v>
      </c>
      <c r="V57" s="82">
        <f t="shared" si="23"/>
        <v>2.7999999999999969E-3</v>
      </c>
    </row>
    <row r="58" spans="1:22">
      <c r="A58" s="181">
        <v>50</v>
      </c>
      <c r="B58" s="170" t="s">
        <v>105</v>
      </c>
      <c r="C58" s="166" t="s">
        <v>106</v>
      </c>
      <c r="D58" s="69">
        <v>177600646.80000001</v>
      </c>
      <c r="E58" s="52">
        <f t="shared" si="35"/>
        <v>3.5757876597306248E-5</v>
      </c>
      <c r="F58" s="59">
        <v>1</v>
      </c>
      <c r="G58" s="59">
        <v>1</v>
      </c>
      <c r="H58" s="53">
        <v>94</v>
      </c>
      <c r="I58" s="75">
        <v>0.11650000000000001</v>
      </c>
      <c r="J58" s="75">
        <v>0.11650000000000001</v>
      </c>
      <c r="K58" s="69">
        <v>177500281.81</v>
      </c>
      <c r="L58" s="52">
        <f t="shared" si="36"/>
        <v>3.5737669244507855E-5</v>
      </c>
      <c r="M58" s="59">
        <v>1</v>
      </c>
      <c r="N58" s="59">
        <v>1</v>
      </c>
      <c r="O58" s="53">
        <v>93</v>
      </c>
      <c r="P58" s="75">
        <v>0.1166</v>
      </c>
      <c r="Q58" s="75">
        <v>0.1166</v>
      </c>
      <c r="R58" s="80">
        <f t="shared" si="19"/>
        <v>-5.6511612884514294E-4</v>
      </c>
      <c r="S58" s="80">
        <f t="shared" si="20"/>
        <v>0</v>
      </c>
      <c r="T58" s="80">
        <f t="shared" si="21"/>
        <v>-1.0638297872340425E-2</v>
      </c>
      <c r="U58" s="81">
        <f t="shared" si="22"/>
        <v>9.9999999999988987E-5</v>
      </c>
      <c r="V58" s="82">
        <f t="shared" si="23"/>
        <v>9.9999999999988987E-5</v>
      </c>
    </row>
    <row r="59" spans="1:22">
      <c r="A59" s="181">
        <v>51</v>
      </c>
      <c r="B59" s="170" t="s">
        <v>107</v>
      </c>
      <c r="C59" s="166" t="s">
        <v>46</v>
      </c>
      <c r="D59" s="73">
        <v>2311618043.29</v>
      </c>
      <c r="E59" s="52">
        <f t="shared" si="35"/>
        <v>4.654180838944464E-4</v>
      </c>
      <c r="F59" s="59">
        <v>10</v>
      </c>
      <c r="G59" s="59">
        <v>10</v>
      </c>
      <c r="H59" s="53">
        <v>922</v>
      </c>
      <c r="I59" s="75">
        <v>0.1759</v>
      </c>
      <c r="J59" s="75">
        <v>0.1759</v>
      </c>
      <c r="K59" s="73">
        <v>2403303229.6300001</v>
      </c>
      <c r="L59" s="52">
        <f t="shared" si="36"/>
        <v>4.8387785663749674E-4</v>
      </c>
      <c r="M59" s="59">
        <v>10</v>
      </c>
      <c r="N59" s="59">
        <v>10</v>
      </c>
      <c r="O59" s="53">
        <v>941</v>
      </c>
      <c r="P59" s="75">
        <v>0.15809999999999999</v>
      </c>
      <c r="Q59" s="75">
        <v>0.15809999999999999</v>
      </c>
      <c r="R59" s="80">
        <f t="shared" si="19"/>
        <v>3.9662775001318824E-2</v>
      </c>
      <c r="S59" s="80">
        <f t="shared" si="20"/>
        <v>0</v>
      </c>
      <c r="T59" s="80">
        <f t="shared" si="21"/>
        <v>2.0607375271149676E-2</v>
      </c>
      <c r="U59" s="81">
        <f t="shared" si="22"/>
        <v>-1.780000000000001E-2</v>
      </c>
      <c r="V59" s="82">
        <f t="shared" si="23"/>
        <v>-1.780000000000001E-2</v>
      </c>
    </row>
    <row r="60" spans="1:22">
      <c r="A60" s="181">
        <v>52</v>
      </c>
      <c r="B60" s="170" t="s">
        <v>108</v>
      </c>
      <c r="C60" s="166" t="s">
        <v>109</v>
      </c>
      <c r="D60" s="73">
        <v>1149730454.3599999</v>
      </c>
      <c r="E60" s="52">
        <f t="shared" si="35"/>
        <v>2.314851913431754E-4</v>
      </c>
      <c r="F60" s="59">
        <v>1</v>
      </c>
      <c r="G60" s="59">
        <v>1</v>
      </c>
      <c r="H60" s="53">
        <v>181</v>
      </c>
      <c r="I60" s="75">
        <v>0.215</v>
      </c>
      <c r="J60" s="75">
        <v>0.215</v>
      </c>
      <c r="K60" s="73">
        <v>1268664511</v>
      </c>
      <c r="L60" s="52">
        <f t="shared" si="36"/>
        <v>2.5543121517347916E-4</v>
      </c>
      <c r="M60" s="59">
        <v>1</v>
      </c>
      <c r="N60" s="59">
        <v>1</v>
      </c>
      <c r="O60" s="53">
        <v>193</v>
      </c>
      <c r="P60" s="75">
        <v>0.2087</v>
      </c>
      <c r="Q60" s="75">
        <v>0.2087</v>
      </c>
      <c r="R60" s="80">
        <f t="shared" si="19"/>
        <v>0.10344516507236909</v>
      </c>
      <c r="S60" s="80">
        <f t="shared" si="20"/>
        <v>0</v>
      </c>
      <c r="T60" s="80">
        <f t="shared" si="21"/>
        <v>6.6298342541436461E-2</v>
      </c>
      <c r="U60" s="81">
        <f t="shared" si="22"/>
        <v>-6.3E-3</v>
      </c>
      <c r="V60" s="82">
        <f t="shared" si="23"/>
        <v>-6.3E-3</v>
      </c>
    </row>
    <row r="61" spans="1:22">
      <c r="A61" s="181">
        <v>53</v>
      </c>
      <c r="B61" s="170" t="s">
        <v>110</v>
      </c>
      <c r="C61" s="166" t="s">
        <v>111</v>
      </c>
      <c r="D61" s="73">
        <v>2017876179.6199999</v>
      </c>
      <c r="E61" s="52">
        <f t="shared" si="35"/>
        <v>4.0627649008931268E-4</v>
      </c>
      <c r="F61" s="59">
        <v>1</v>
      </c>
      <c r="G61" s="59">
        <v>1</v>
      </c>
      <c r="H61" s="53">
        <v>1883</v>
      </c>
      <c r="I61" s="75">
        <v>0.15870000000000001</v>
      </c>
      <c r="J61" s="75">
        <v>0.15870000000000001</v>
      </c>
      <c r="K61" s="73">
        <v>2099613408.71</v>
      </c>
      <c r="L61" s="52">
        <f t="shared" si="36"/>
        <v>4.2273335443000027E-4</v>
      </c>
      <c r="M61" s="59">
        <v>1</v>
      </c>
      <c r="N61" s="59">
        <v>1</v>
      </c>
      <c r="O61" s="53">
        <v>1966</v>
      </c>
      <c r="P61" s="75">
        <v>0.15390000000000001</v>
      </c>
      <c r="Q61" s="75">
        <v>0.15390000000000001</v>
      </c>
      <c r="R61" s="80">
        <f t="shared" si="19"/>
        <v>4.05065632448234E-2</v>
      </c>
      <c r="S61" s="80">
        <f t="shared" si="20"/>
        <v>0</v>
      </c>
      <c r="T61" s="80">
        <f t="shared" si="21"/>
        <v>4.4078597981943704E-2</v>
      </c>
      <c r="U61" s="81">
        <f t="shared" si="22"/>
        <v>-4.7999999999999987E-3</v>
      </c>
      <c r="V61" s="82">
        <f t="shared" si="23"/>
        <v>-4.7999999999999987E-3</v>
      </c>
    </row>
    <row r="62" spans="1:22">
      <c r="A62" s="182">
        <v>54</v>
      </c>
      <c r="B62" s="183" t="s">
        <v>112</v>
      </c>
      <c r="C62" s="166" t="s">
        <v>113</v>
      </c>
      <c r="D62" s="73">
        <v>14634255537.213699</v>
      </c>
      <c r="E62" s="52">
        <f t="shared" si="35"/>
        <v>2.9464414292500935E-3</v>
      </c>
      <c r="F62" s="59">
        <v>100</v>
      </c>
      <c r="G62" s="59">
        <v>100</v>
      </c>
      <c r="H62" s="53">
        <v>150</v>
      </c>
      <c r="I62" s="75">
        <v>0.16789999999999999</v>
      </c>
      <c r="J62" s="75">
        <v>0.16789999999999999</v>
      </c>
      <c r="K62" s="73">
        <v>15030650331.2703</v>
      </c>
      <c r="L62" s="52">
        <f t="shared" si="36"/>
        <v>3.0262510267097947E-3</v>
      </c>
      <c r="M62" s="59">
        <v>100</v>
      </c>
      <c r="N62" s="59">
        <v>100</v>
      </c>
      <c r="O62" s="53">
        <v>149</v>
      </c>
      <c r="P62" s="75">
        <v>0.1794</v>
      </c>
      <c r="Q62" s="75">
        <v>0.1794</v>
      </c>
      <c r="R62" s="80">
        <f t="shared" si="19"/>
        <v>2.7086775480214997E-2</v>
      </c>
      <c r="S62" s="80">
        <f t="shared" si="20"/>
        <v>0</v>
      </c>
      <c r="T62" s="80">
        <f t="shared" si="21"/>
        <v>-6.6666666666666671E-3</v>
      </c>
      <c r="U62" s="81">
        <f t="shared" si="22"/>
        <v>1.150000000000001E-2</v>
      </c>
      <c r="V62" s="82">
        <f t="shared" si="23"/>
        <v>1.150000000000001E-2</v>
      </c>
    </row>
    <row r="63" spans="1:22">
      <c r="A63" s="182">
        <v>54</v>
      </c>
      <c r="B63" s="183" t="s">
        <v>336</v>
      </c>
      <c r="C63" s="166" t="s">
        <v>77</v>
      </c>
      <c r="D63" s="73">
        <v>71986209.719999999</v>
      </c>
      <c r="E63" s="52">
        <f t="shared" si="35"/>
        <v>1.4493607147581443E-5</v>
      </c>
      <c r="F63" s="59">
        <v>1000</v>
      </c>
      <c r="G63" s="59">
        <v>1000</v>
      </c>
      <c r="H63" s="53">
        <v>23</v>
      </c>
      <c r="I63" s="75">
        <v>0.24310000000000001</v>
      </c>
      <c r="J63" s="75">
        <v>0.24310000000000001</v>
      </c>
      <c r="K63" s="73">
        <v>72259460.010000005</v>
      </c>
      <c r="L63" s="52">
        <f t="shared" si="36"/>
        <v>1.4548622995361556E-5</v>
      </c>
      <c r="M63" s="59">
        <v>1000</v>
      </c>
      <c r="N63" s="59">
        <v>1000</v>
      </c>
      <c r="O63" s="53">
        <v>23</v>
      </c>
      <c r="P63" s="75">
        <v>0.24310000000000001</v>
      </c>
      <c r="Q63" s="75">
        <v>0.24310000000000001</v>
      </c>
      <c r="R63" s="80">
        <f t="shared" si="19"/>
        <v>3.7958699459639581E-3</v>
      </c>
      <c r="S63" s="80">
        <f t="shared" si="20"/>
        <v>0</v>
      </c>
      <c r="T63" s="80">
        <f t="shared" si="21"/>
        <v>0</v>
      </c>
      <c r="U63" s="81">
        <f t="shared" si="22"/>
        <v>0</v>
      </c>
      <c r="V63" s="82">
        <f t="shared" si="23"/>
        <v>0</v>
      </c>
    </row>
    <row r="64" spans="1:22">
      <c r="A64" s="182">
        <v>56</v>
      </c>
      <c r="B64" s="183" t="s">
        <v>114</v>
      </c>
      <c r="C64" s="166" t="s">
        <v>50</v>
      </c>
      <c r="D64" s="69">
        <v>2369288329953.75</v>
      </c>
      <c r="E64" s="52">
        <f t="shared" si="35"/>
        <v>0.47702934224856658</v>
      </c>
      <c r="F64" s="59">
        <v>100</v>
      </c>
      <c r="G64" s="59">
        <v>100</v>
      </c>
      <c r="H64" s="53">
        <v>266924</v>
      </c>
      <c r="I64" s="75">
        <v>0.16139999999999999</v>
      </c>
      <c r="J64" s="75">
        <v>0.16139999999999999</v>
      </c>
      <c r="K64" s="69">
        <v>2417570068525.77</v>
      </c>
      <c r="L64" s="52">
        <f t="shared" si="36"/>
        <v>0.48675032289176146</v>
      </c>
      <c r="M64" s="59">
        <v>100</v>
      </c>
      <c r="N64" s="59">
        <v>100</v>
      </c>
      <c r="O64" s="53">
        <v>270639</v>
      </c>
      <c r="P64" s="75">
        <v>0.15629999999999999</v>
      </c>
      <c r="Q64" s="75">
        <v>0.15629999999999999</v>
      </c>
      <c r="R64" s="80">
        <f t="shared" si="19"/>
        <v>2.0378160801122296E-2</v>
      </c>
      <c r="S64" s="80">
        <f t="shared" si="20"/>
        <v>0</v>
      </c>
      <c r="T64" s="80">
        <f t="shared" si="21"/>
        <v>1.3917819304371281E-2</v>
      </c>
      <c r="U64" s="81">
        <f t="shared" si="22"/>
        <v>-5.0999999999999934E-3</v>
      </c>
      <c r="V64" s="82">
        <f t="shared" si="23"/>
        <v>-5.0999999999999934E-3</v>
      </c>
    </row>
    <row r="65" spans="1:22">
      <c r="A65" s="181">
        <v>57</v>
      </c>
      <c r="B65" s="170" t="s">
        <v>115</v>
      </c>
      <c r="C65" s="170" t="s">
        <v>116</v>
      </c>
      <c r="D65" s="69">
        <v>7879238426.6800003</v>
      </c>
      <c r="E65" s="52">
        <f t="shared" si="35"/>
        <v>1.5863953224182561E-3</v>
      </c>
      <c r="F65" s="59">
        <v>100</v>
      </c>
      <c r="G65" s="59">
        <v>100</v>
      </c>
      <c r="H65" s="53">
        <v>985</v>
      </c>
      <c r="I65" s="75">
        <v>0.19539999999999999</v>
      </c>
      <c r="J65" s="75">
        <v>0.19539999999999999</v>
      </c>
      <c r="K65" s="69">
        <v>8018675415.1700001</v>
      </c>
      <c r="L65" s="52">
        <f t="shared" si="36"/>
        <v>1.6144693791143461E-3</v>
      </c>
      <c r="M65" s="59">
        <v>100</v>
      </c>
      <c r="N65" s="59">
        <v>100</v>
      </c>
      <c r="O65" s="53">
        <v>994</v>
      </c>
      <c r="P65" s="75">
        <v>0.2014</v>
      </c>
      <c r="Q65" s="75">
        <v>0.2014</v>
      </c>
      <c r="R65" s="80">
        <f t="shared" si="19"/>
        <v>1.7696759628170435E-2</v>
      </c>
      <c r="S65" s="80">
        <f t="shared" si="20"/>
        <v>0</v>
      </c>
      <c r="T65" s="80">
        <f t="shared" si="21"/>
        <v>9.1370558375634525E-3</v>
      </c>
      <c r="U65" s="81">
        <f t="shared" si="22"/>
        <v>6.0000000000000053E-3</v>
      </c>
      <c r="V65" s="82">
        <f t="shared" si="23"/>
        <v>6.0000000000000053E-3</v>
      </c>
    </row>
    <row r="66" spans="1:22">
      <c r="A66" s="182">
        <v>58</v>
      </c>
      <c r="B66" s="187" t="s">
        <v>117</v>
      </c>
      <c r="C66" s="166" t="s">
        <v>118</v>
      </c>
      <c r="D66" s="69">
        <v>11805546558.58</v>
      </c>
      <c r="E66" s="52">
        <f t="shared" si="35"/>
        <v>2.3769129483004621E-3</v>
      </c>
      <c r="F66" s="59">
        <v>1</v>
      </c>
      <c r="G66" s="59">
        <v>1</v>
      </c>
      <c r="H66" s="53">
        <v>631</v>
      </c>
      <c r="I66" s="75">
        <v>0.18928</v>
      </c>
      <c r="J66" s="75">
        <v>0.18928</v>
      </c>
      <c r="K66" s="69">
        <v>13330885282.08</v>
      </c>
      <c r="L66" s="52">
        <f t="shared" si="36"/>
        <v>2.6840226059889703E-3</v>
      </c>
      <c r="M66" s="59">
        <v>1</v>
      </c>
      <c r="N66" s="59">
        <v>1</v>
      </c>
      <c r="O66" s="53">
        <v>646</v>
      </c>
      <c r="P66" s="75">
        <v>0.18890799999999999</v>
      </c>
      <c r="Q66" s="75">
        <v>0.18890799999999999</v>
      </c>
      <c r="R66" s="80">
        <f t="shared" si="19"/>
        <v>0.12920526092808629</v>
      </c>
      <c r="S66" s="80">
        <f t="shared" si="20"/>
        <v>0</v>
      </c>
      <c r="T66" s="80">
        <f t="shared" si="21"/>
        <v>2.3771790808240888E-2</v>
      </c>
      <c r="U66" s="81">
        <f t="shared" si="22"/>
        <v>-3.7200000000001121E-4</v>
      </c>
      <c r="V66" s="82">
        <f t="shared" si="23"/>
        <v>-3.7200000000001121E-4</v>
      </c>
    </row>
    <row r="67" spans="1:22">
      <c r="A67" s="182">
        <v>59</v>
      </c>
      <c r="B67" s="183" t="s">
        <v>119</v>
      </c>
      <c r="C67" s="166" t="s">
        <v>53</v>
      </c>
      <c r="D67" s="69">
        <v>208094009870.23001</v>
      </c>
      <c r="E67" s="52">
        <f t="shared" si="35"/>
        <v>4.1897369517791147E-2</v>
      </c>
      <c r="F67" s="59">
        <v>1</v>
      </c>
      <c r="G67" s="59">
        <v>1</v>
      </c>
      <c r="H67" s="53">
        <v>77713</v>
      </c>
      <c r="I67" s="75">
        <v>0.1595</v>
      </c>
      <c r="J67" s="75">
        <v>0.1595</v>
      </c>
      <c r="K67" s="69">
        <v>217224484852.29999</v>
      </c>
      <c r="L67" s="52">
        <f t="shared" si="36"/>
        <v>4.373568713411894E-2</v>
      </c>
      <c r="M67" s="59">
        <v>1</v>
      </c>
      <c r="N67" s="59">
        <v>1</v>
      </c>
      <c r="O67" s="53">
        <v>78207</v>
      </c>
      <c r="P67" s="75">
        <v>0.15310000000000001</v>
      </c>
      <c r="Q67" s="75">
        <v>0.15310000000000001</v>
      </c>
      <c r="R67" s="80">
        <f t="shared" si="19"/>
        <v>4.3876683369040048E-2</v>
      </c>
      <c r="S67" s="80">
        <f t="shared" si="20"/>
        <v>0</v>
      </c>
      <c r="T67" s="80">
        <f t="shared" si="21"/>
        <v>6.3567228134288984E-3</v>
      </c>
      <c r="U67" s="81">
        <f t="shared" si="22"/>
        <v>-6.399999999999989E-3</v>
      </c>
      <c r="V67" s="82">
        <f t="shared" si="23"/>
        <v>-6.399999999999989E-3</v>
      </c>
    </row>
    <row r="68" spans="1:22">
      <c r="A68" s="181">
        <v>60</v>
      </c>
      <c r="B68" s="170" t="s">
        <v>120</v>
      </c>
      <c r="C68" s="166" t="s">
        <v>121</v>
      </c>
      <c r="D68" s="69">
        <v>2486664818.9400001</v>
      </c>
      <c r="E68" s="52">
        <f t="shared" si="35"/>
        <v>5.0066176749148747E-4</v>
      </c>
      <c r="F68" s="59">
        <v>1</v>
      </c>
      <c r="G68" s="59">
        <v>1</v>
      </c>
      <c r="H68" s="53">
        <v>153</v>
      </c>
      <c r="I68" s="75">
        <v>0.15129999999999999</v>
      </c>
      <c r="J68" s="75">
        <v>0.15129999999999999</v>
      </c>
      <c r="K68" s="69">
        <v>2595978842.4000001</v>
      </c>
      <c r="L68" s="52">
        <f t="shared" si="36"/>
        <v>5.2267090671292038E-4</v>
      </c>
      <c r="M68" s="59">
        <v>1</v>
      </c>
      <c r="N68" s="59">
        <v>1</v>
      </c>
      <c r="O68" s="53">
        <v>153</v>
      </c>
      <c r="P68" s="75">
        <v>0.15140000000000001</v>
      </c>
      <c r="Q68" s="75">
        <v>0.15140000000000001</v>
      </c>
      <c r="R68" s="80">
        <f t="shared" si="19"/>
        <v>4.3960095718327548E-2</v>
      </c>
      <c r="S68" s="80">
        <f t="shared" si="20"/>
        <v>0</v>
      </c>
      <c r="T68" s="80">
        <f t="shared" si="21"/>
        <v>0</v>
      </c>
      <c r="U68" s="81">
        <f t="shared" si="22"/>
        <v>1.0000000000001674E-4</v>
      </c>
      <c r="V68" s="82">
        <f t="shared" si="23"/>
        <v>1.0000000000001674E-4</v>
      </c>
    </row>
    <row r="69" spans="1:22">
      <c r="A69" s="181">
        <v>61</v>
      </c>
      <c r="B69" s="170" t="s">
        <v>122</v>
      </c>
      <c r="C69" s="166" t="s">
        <v>123</v>
      </c>
      <c r="D69" s="69">
        <v>8453768399.1599998</v>
      </c>
      <c r="E69" s="52">
        <f t="shared" si="35"/>
        <v>1.7020704183571161E-3</v>
      </c>
      <c r="F69" s="59">
        <v>1</v>
      </c>
      <c r="G69" s="59">
        <v>1</v>
      </c>
      <c r="H69" s="53">
        <v>561</v>
      </c>
      <c r="I69" s="75">
        <v>0.1754</v>
      </c>
      <c r="J69" s="75">
        <v>0.1754</v>
      </c>
      <c r="K69" s="69">
        <v>8553465975.3699999</v>
      </c>
      <c r="L69" s="52">
        <f t="shared" si="36"/>
        <v>1.7221433949560264E-3</v>
      </c>
      <c r="M69" s="59">
        <v>1</v>
      </c>
      <c r="N69" s="59">
        <v>1</v>
      </c>
      <c r="O69" s="53">
        <v>555</v>
      </c>
      <c r="P69" s="75">
        <v>0.16880000000000001</v>
      </c>
      <c r="Q69" s="75">
        <v>0.16880000000000001</v>
      </c>
      <c r="R69" s="80">
        <f t="shared" si="19"/>
        <v>1.1793270350286197E-2</v>
      </c>
      <c r="S69" s="80">
        <f t="shared" si="20"/>
        <v>0</v>
      </c>
      <c r="T69" s="80">
        <f t="shared" si="21"/>
        <v>-1.06951871657754E-2</v>
      </c>
      <c r="U69" s="81">
        <f t="shared" si="22"/>
        <v>-6.5999999999999948E-3</v>
      </c>
      <c r="V69" s="82">
        <f t="shared" si="23"/>
        <v>-6.5999999999999948E-3</v>
      </c>
    </row>
    <row r="70" spans="1:22">
      <c r="A70" s="181">
        <v>62</v>
      </c>
      <c r="B70" s="170" t="s">
        <v>124</v>
      </c>
      <c r="C70" s="166" t="s">
        <v>125</v>
      </c>
      <c r="D70" s="69">
        <v>10717214489.18</v>
      </c>
      <c r="E70" s="52">
        <f t="shared" si="35"/>
        <v>2.157789625634184E-3</v>
      </c>
      <c r="F70" s="59">
        <v>1</v>
      </c>
      <c r="G70" s="59">
        <v>1</v>
      </c>
      <c r="H70" s="53">
        <v>5489</v>
      </c>
      <c r="I70" s="75">
        <v>0.18940000000000001</v>
      </c>
      <c r="J70" s="75">
        <v>0.18940000000000001</v>
      </c>
      <c r="K70" s="69">
        <v>10574155517.440001</v>
      </c>
      <c r="L70" s="52">
        <f t="shared" si="36"/>
        <v>2.1289863236767475E-3</v>
      </c>
      <c r="M70" s="59">
        <v>1</v>
      </c>
      <c r="N70" s="59">
        <v>1</v>
      </c>
      <c r="O70" s="53">
        <v>5598</v>
      </c>
      <c r="P70" s="75">
        <v>0.18859999999999999</v>
      </c>
      <c r="Q70" s="75">
        <v>0.18859999999999999</v>
      </c>
      <c r="R70" s="80">
        <f t="shared" si="19"/>
        <v>-1.3348521846271787E-2</v>
      </c>
      <c r="S70" s="80">
        <f t="shared" si="20"/>
        <v>0</v>
      </c>
      <c r="T70" s="80">
        <f t="shared" si="21"/>
        <v>1.9857897613408636E-2</v>
      </c>
      <c r="U70" s="81">
        <f t="shared" si="22"/>
        <v>-8.0000000000002292E-4</v>
      </c>
      <c r="V70" s="82">
        <f t="shared" si="23"/>
        <v>-8.0000000000002292E-4</v>
      </c>
    </row>
    <row r="71" spans="1:22">
      <c r="A71" s="181">
        <v>63</v>
      </c>
      <c r="B71" s="170" t="s">
        <v>126</v>
      </c>
      <c r="C71" s="166" t="s">
        <v>127</v>
      </c>
      <c r="D71" s="69">
        <v>132161254588.55</v>
      </c>
      <c r="E71" s="52">
        <f t="shared" si="35"/>
        <v>2.6609170167293243E-2</v>
      </c>
      <c r="F71" s="59">
        <v>1</v>
      </c>
      <c r="G71" s="59">
        <v>1</v>
      </c>
      <c r="H71" s="53">
        <v>7164</v>
      </c>
      <c r="I71" s="75">
        <v>0.16639999999999999</v>
      </c>
      <c r="J71" s="75">
        <v>0.16639999999999999</v>
      </c>
      <c r="K71" s="69">
        <v>132658187970.12</v>
      </c>
      <c r="L71" s="52">
        <f t="shared" si="36"/>
        <v>2.6709222069442408E-2</v>
      </c>
      <c r="M71" s="59">
        <v>1</v>
      </c>
      <c r="N71" s="59">
        <v>1</v>
      </c>
      <c r="O71" s="53">
        <v>7245</v>
      </c>
      <c r="P71" s="75">
        <v>0.16789999999999999</v>
      </c>
      <c r="Q71" s="75">
        <v>0.16789999999999999</v>
      </c>
      <c r="R71" s="80">
        <f t="shared" si="19"/>
        <v>3.7600534522547174E-3</v>
      </c>
      <c r="S71" s="80">
        <f t="shared" si="20"/>
        <v>0</v>
      </c>
      <c r="T71" s="80">
        <f t="shared" si="21"/>
        <v>1.1306532663316583E-2</v>
      </c>
      <c r="U71" s="81">
        <f t="shared" si="22"/>
        <v>1.5000000000000013E-3</v>
      </c>
      <c r="V71" s="82">
        <f t="shared" si="23"/>
        <v>1.5000000000000013E-3</v>
      </c>
    </row>
    <row r="72" spans="1:22">
      <c r="A72" s="60"/>
      <c r="B72" s="61"/>
      <c r="C72" s="62" t="s">
        <v>56</v>
      </c>
      <c r="D72" s="84">
        <f>SUM(D29:D71)</f>
        <v>4861697321728.9277</v>
      </c>
      <c r="E72" s="64">
        <f>(D72/$D$231)</f>
        <v>0.62350379567806358</v>
      </c>
      <c r="F72" s="65"/>
      <c r="G72" s="70"/>
      <c r="H72" s="67">
        <f>SUM(H29:H71)</f>
        <v>608979</v>
      </c>
      <c r="I72" s="88"/>
      <c r="J72" s="88"/>
      <c r="K72" s="84">
        <f>SUM(K29:K71)</f>
        <v>4966755962611.584</v>
      </c>
      <c r="L72" s="64">
        <f>(K72/$K$231)</f>
        <v>0.62690877285348323</v>
      </c>
      <c r="M72" s="65"/>
      <c r="N72" s="70"/>
      <c r="O72" s="67">
        <f>SUM(O29:O71)</f>
        <v>620326</v>
      </c>
      <c r="P72" s="88"/>
      <c r="Q72" s="88"/>
      <c r="R72" s="80">
        <f t="shared" si="19"/>
        <v>2.1609457341802401E-2</v>
      </c>
      <c r="S72" s="80" t="e">
        <f t="shared" si="20"/>
        <v>#DIV/0!</v>
      </c>
      <c r="T72" s="80">
        <f t="shared" si="21"/>
        <v>1.8632826419301814E-2</v>
      </c>
      <c r="U72" s="81">
        <f t="shared" si="22"/>
        <v>0</v>
      </c>
      <c r="V72" s="82">
        <f t="shared" si="23"/>
        <v>0</v>
      </c>
    </row>
    <row r="73" spans="1:22" ht="3" customHeight="1">
      <c r="A73" s="60"/>
      <c r="B73" s="197"/>
      <c r="C73" s="197"/>
      <c r="D73" s="197"/>
      <c r="E73" s="197"/>
      <c r="F73" s="197"/>
      <c r="G73" s="197"/>
      <c r="H73" s="197"/>
      <c r="I73" s="197"/>
      <c r="J73" s="197"/>
      <c r="K73" s="197"/>
      <c r="L73" s="197"/>
      <c r="M73" s="197"/>
      <c r="N73" s="197"/>
      <c r="O73" s="197"/>
      <c r="P73" s="197"/>
      <c r="Q73" s="197"/>
      <c r="R73" s="197"/>
      <c r="S73" s="197"/>
      <c r="T73" s="197"/>
      <c r="U73" s="197"/>
      <c r="V73" s="197"/>
    </row>
    <row r="74" spans="1:22" ht="15" customHeight="1">
      <c r="A74" s="201" t="s">
        <v>128</v>
      </c>
      <c r="B74" s="201"/>
      <c r="C74" s="201"/>
      <c r="D74" s="201"/>
      <c r="E74" s="201"/>
      <c r="F74" s="201"/>
      <c r="G74" s="201"/>
      <c r="H74" s="201"/>
      <c r="I74" s="201"/>
      <c r="J74" s="201"/>
      <c r="K74" s="201"/>
      <c r="L74" s="201"/>
      <c r="M74" s="201"/>
      <c r="N74" s="201"/>
      <c r="O74" s="201"/>
      <c r="P74" s="201"/>
      <c r="Q74" s="201"/>
      <c r="R74" s="201"/>
      <c r="S74" s="201"/>
      <c r="T74" s="201"/>
      <c r="U74" s="201"/>
      <c r="V74" s="201"/>
    </row>
    <row r="75" spans="1:22">
      <c r="A75" s="182">
        <v>64</v>
      </c>
      <c r="B75" s="183" t="s">
        <v>129</v>
      </c>
      <c r="C75" s="166" t="s">
        <v>22</v>
      </c>
      <c r="D75" s="57">
        <v>720201565.63</v>
      </c>
      <c r="E75" s="52">
        <f>(D75/$D$114)</f>
        <v>2.9823119713748942E-3</v>
      </c>
      <c r="F75" s="85">
        <v>1.6229</v>
      </c>
      <c r="G75" s="85">
        <v>1.6229</v>
      </c>
      <c r="H75" s="53">
        <v>538</v>
      </c>
      <c r="I75" s="75">
        <v>-3.5000000000000001E-3</v>
      </c>
      <c r="J75" s="75">
        <v>-3.5000000000000001E-3</v>
      </c>
      <c r="K75" s="57">
        <v>731268122.40999997</v>
      </c>
      <c r="L75" s="52">
        <f t="shared" ref="L75:L98" si="37">(K75/$K$114)</f>
        <v>3.0130238222960738E-3</v>
      </c>
      <c r="M75" s="85">
        <v>1.6548</v>
      </c>
      <c r="N75" s="85">
        <v>1.6548</v>
      </c>
      <c r="O75" s="53">
        <v>540</v>
      </c>
      <c r="P75" s="75">
        <v>4.2299999999999998E-4</v>
      </c>
      <c r="Q75" s="75">
        <v>-8.6999999999999994E-3</v>
      </c>
      <c r="R75" s="80">
        <f>((K75-D75)/D75)</f>
        <v>1.5365916027021469E-2</v>
      </c>
      <c r="S75" s="80">
        <f>((N75-G75)/G75)</f>
        <v>1.9656171051820839E-2</v>
      </c>
      <c r="T75" s="80">
        <f>((O75-H75)/H75)</f>
        <v>3.7174721189591076E-3</v>
      </c>
      <c r="U75" s="81">
        <f>P75-I75</f>
        <v>3.9230000000000003E-3</v>
      </c>
      <c r="V75" s="82">
        <f>Q75-J75</f>
        <v>-5.1999999999999998E-3</v>
      </c>
    </row>
    <row r="76" spans="1:22">
      <c r="A76" s="181">
        <v>65</v>
      </c>
      <c r="B76" s="170" t="s">
        <v>130</v>
      </c>
      <c r="C76" s="166" t="s">
        <v>24</v>
      </c>
      <c r="D76" s="57">
        <v>1420788171.49</v>
      </c>
      <c r="E76" s="52">
        <f>(D76/$D$114)</f>
        <v>5.8833995576168061E-3</v>
      </c>
      <c r="F76" s="85">
        <v>1.3753</v>
      </c>
      <c r="G76" s="85">
        <v>1.3753</v>
      </c>
      <c r="H76" s="53">
        <v>1475</v>
      </c>
      <c r="I76" s="75">
        <v>0.12540000000000001</v>
      </c>
      <c r="J76" s="75">
        <v>0.16539999999999999</v>
      </c>
      <c r="K76" s="57">
        <v>1432732373.0699999</v>
      </c>
      <c r="L76" s="52">
        <f t="shared" si="37"/>
        <v>5.9032475760161258E-3</v>
      </c>
      <c r="M76" s="85">
        <v>1.3298000000000001</v>
      </c>
      <c r="N76" s="85">
        <v>1.33</v>
      </c>
      <c r="O76" s="53">
        <v>1483</v>
      </c>
      <c r="P76" s="75">
        <v>5.5E-2</v>
      </c>
      <c r="Q76" s="75">
        <v>1.83E-2</v>
      </c>
      <c r="R76" s="80">
        <f t="shared" ref="R76:R114" si="38">((K76-D76)/D76)</f>
        <v>8.4067433975564959E-3</v>
      </c>
      <c r="S76" s="80">
        <f t="shared" ref="S76:S114" si="39">((N76-G76)/G76)</f>
        <v>-3.2938268014251364E-2</v>
      </c>
      <c r="T76" s="80">
        <f t="shared" ref="T76:T114" si="40">((O76-H76)/H76)</f>
        <v>5.4237288135593224E-3</v>
      </c>
      <c r="U76" s="81">
        <f t="shared" ref="U76:U114" si="41">P76-I76</f>
        <v>-7.0400000000000018E-2</v>
      </c>
      <c r="V76" s="82">
        <f t="shared" ref="V76:V114" si="42">Q76-J76</f>
        <v>-0.14709999999999998</v>
      </c>
    </row>
    <row r="77" spans="1:22">
      <c r="A77" s="181">
        <v>66</v>
      </c>
      <c r="B77" s="170" t="s">
        <v>131</v>
      </c>
      <c r="C77" s="166" t="s">
        <v>24</v>
      </c>
      <c r="D77" s="57">
        <v>837669438.00999999</v>
      </c>
      <c r="E77" s="52">
        <f>(D77/$D$114)</f>
        <v>3.4687394644120177E-3</v>
      </c>
      <c r="F77" s="85">
        <v>1.2121</v>
      </c>
      <c r="G77" s="85">
        <v>1.2121</v>
      </c>
      <c r="H77" s="53">
        <v>569</v>
      </c>
      <c r="I77" s="75">
        <v>0.12509999999999999</v>
      </c>
      <c r="J77" s="75">
        <v>0.1298</v>
      </c>
      <c r="K77" s="57">
        <v>845403088.75999999</v>
      </c>
      <c r="L77" s="52">
        <f t="shared" si="37"/>
        <v>3.4832909678625549E-3</v>
      </c>
      <c r="M77" s="85">
        <v>1.1852</v>
      </c>
      <c r="N77" s="85">
        <v>1.19</v>
      </c>
      <c r="O77" s="53">
        <v>582</v>
      </c>
      <c r="P77" s="75">
        <v>0.1235</v>
      </c>
      <c r="Q77" s="75">
        <v>0.10639999999999999</v>
      </c>
      <c r="R77" s="80">
        <f t="shared" si="38"/>
        <v>9.2323420183173452E-3</v>
      </c>
      <c r="S77" s="80">
        <f t="shared" si="39"/>
        <v>-1.8232819074333807E-2</v>
      </c>
      <c r="T77" s="80">
        <f t="shared" si="40"/>
        <v>2.2847100175746926E-2</v>
      </c>
      <c r="U77" s="81">
        <f t="shared" si="41"/>
        <v>-1.5999999999999903E-3</v>
      </c>
      <c r="V77" s="82">
        <f t="shared" si="42"/>
        <v>-2.3400000000000004E-2</v>
      </c>
    </row>
    <row r="78" spans="1:22">
      <c r="A78" s="181">
        <v>67</v>
      </c>
      <c r="B78" s="170" t="s">
        <v>132</v>
      </c>
      <c r="C78" s="166" t="s">
        <v>64</v>
      </c>
      <c r="D78" s="57">
        <v>326270331.39999998</v>
      </c>
      <c r="E78" s="52">
        <f>(D78/$D$114)</f>
        <v>1.351066092709063E-3</v>
      </c>
      <c r="F78" s="56">
        <v>1267.73</v>
      </c>
      <c r="G78" s="56">
        <v>1267.73</v>
      </c>
      <c r="H78" s="53">
        <v>109</v>
      </c>
      <c r="I78" s="75">
        <v>2.3999999999999998E-3</v>
      </c>
      <c r="J78" s="75">
        <v>0.22170000000000001</v>
      </c>
      <c r="K78" s="57">
        <v>325609961.48000002</v>
      </c>
      <c r="L78" s="52">
        <f t="shared" si="37"/>
        <v>1.341601719876544E-3</v>
      </c>
      <c r="M78" s="56">
        <v>1269.32</v>
      </c>
      <c r="N78" s="56">
        <v>1269.32</v>
      </c>
      <c r="O78" s="53">
        <v>109</v>
      </c>
      <c r="P78" s="75">
        <v>-2.8E-3</v>
      </c>
      <c r="Q78" s="75">
        <v>0.1</v>
      </c>
      <c r="R78" s="80">
        <f t="shared" si="38"/>
        <v>-2.0239962278101181E-3</v>
      </c>
      <c r="S78" s="80">
        <f t="shared" si="39"/>
        <v>1.2542102813689966E-3</v>
      </c>
      <c r="T78" s="80">
        <f t="shared" si="40"/>
        <v>0</v>
      </c>
      <c r="U78" s="81">
        <f t="shared" si="41"/>
        <v>-5.1999999999999998E-3</v>
      </c>
      <c r="V78" s="82">
        <f t="shared" si="42"/>
        <v>-0.1217</v>
      </c>
    </row>
    <row r="79" spans="1:22" ht="15" customHeight="1">
      <c r="A79" s="181">
        <v>68</v>
      </c>
      <c r="B79" s="170" t="s">
        <v>133</v>
      </c>
      <c r="C79" s="166" t="s">
        <v>28</v>
      </c>
      <c r="D79" s="57">
        <v>1980894778.8900001</v>
      </c>
      <c r="E79" s="52">
        <f>(D79/$K$114)</f>
        <v>8.1618259778472001E-3</v>
      </c>
      <c r="F79" s="56">
        <v>1.1375</v>
      </c>
      <c r="G79" s="56">
        <v>1.1375</v>
      </c>
      <c r="H79" s="53">
        <v>1011</v>
      </c>
      <c r="I79" s="75">
        <v>5.4699999999999999E-2</v>
      </c>
      <c r="J79" s="75">
        <v>-1.4E-3</v>
      </c>
      <c r="K79" s="57">
        <v>1819855835.0699999</v>
      </c>
      <c r="L79" s="52">
        <f t="shared" si="37"/>
        <v>7.4983016709924645E-3</v>
      </c>
      <c r="M79" s="56">
        <v>1.0775999999999999</v>
      </c>
      <c r="N79" s="56">
        <v>1.0775999999999999</v>
      </c>
      <c r="O79" s="53">
        <v>1057</v>
      </c>
      <c r="P79" s="75">
        <v>-1.6999999999999999E-3</v>
      </c>
      <c r="Q79" s="75">
        <v>-3.0999999999999999E-3</v>
      </c>
      <c r="R79" s="80">
        <f t="shared" si="38"/>
        <v>-8.1296061525407623E-2</v>
      </c>
      <c r="S79" s="80">
        <f t="shared" si="39"/>
        <v>-5.265934065934072E-2</v>
      </c>
      <c r="T79" s="80">
        <f t="shared" si="40"/>
        <v>4.549950544015826E-2</v>
      </c>
      <c r="U79" s="81">
        <f t="shared" si="41"/>
        <v>-5.6399999999999999E-2</v>
      </c>
      <c r="V79" s="82">
        <f t="shared" si="42"/>
        <v>-1.6999999999999999E-3</v>
      </c>
    </row>
    <row r="80" spans="1:22">
      <c r="A80" s="181">
        <v>69</v>
      </c>
      <c r="B80" s="170" t="s">
        <v>134</v>
      </c>
      <c r="C80" s="166" t="s">
        <v>135</v>
      </c>
      <c r="D80" s="57">
        <v>481100246.64999998</v>
      </c>
      <c r="E80" s="52">
        <f t="shared" ref="E80:E98" si="43">(D80/$D$114)</f>
        <v>1.9922075894970022E-3</v>
      </c>
      <c r="F80" s="56">
        <v>2.7422</v>
      </c>
      <c r="G80" s="56">
        <v>2.7422</v>
      </c>
      <c r="H80" s="53">
        <v>1390</v>
      </c>
      <c r="I80" s="75">
        <v>0.187</v>
      </c>
      <c r="J80" s="75">
        <v>0.14649999999999999</v>
      </c>
      <c r="K80" s="57">
        <v>482424464.23000002</v>
      </c>
      <c r="L80" s="52">
        <f t="shared" si="37"/>
        <v>1.987720179013143E-3</v>
      </c>
      <c r="M80" s="56">
        <v>2.7496999999999998</v>
      </c>
      <c r="N80" s="56">
        <v>2.7496999999999998</v>
      </c>
      <c r="O80" s="53">
        <v>1390</v>
      </c>
      <c r="P80" s="75">
        <v>0.1426</v>
      </c>
      <c r="Q80" s="75">
        <v>0.14360000000000001</v>
      </c>
      <c r="R80" s="80">
        <f t="shared" si="38"/>
        <v>2.7524774498056122E-3</v>
      </c>
      <c r="S80" s="80">
        <f t="shared" si="39"/>
        <v>2.7350302676682372E-3</v>
      </c>
      <c r="T80" s="80">
        <f t="shared" si="40"/>
        <v>0</v>
      </c>
      <c r="U80" s="81">
        <f t="shared" si="41"/>
        <v>-4.4399999999999995E-2</v>
      </c>
      <c r="V80" s="82">
        <f t="shared" si="42"/>
        <v>-2.8999999999999859E-3</v>
      </c>
    </row>
    <row r="81" spans="1:22">
      <c r="A81" s="181">
        <v>70</v>
      </c>
      <c r="B81" s="166" t="s">
        <v>136</v>
      </c>
      <c r="C81" s="166" t="s">
        <v>137</v>
      </c>
      <c r="D81" s="57">
        <v>1152376474.77</v>
      </c>
      <c r="E81" s="52">
        <f t="shared" si="43"/>
        <v>4.7719226397835704E-3</v>
      </c>
      <c r="F81" s="56">
        <v>1119.8399999999999</v>
      </c>
      <c r="G81" s="56">
        <v>1119.8399999999999</v>
      </c>
      <c r="H81" s="53">
        <v>250</v>
      </c>
      <c r="I81" s="75">
        <v>1.56E-3</v>
      </c>
      <c r="J81" s="75">
        <v>7.3999999999999999E-4</v>
      </c>
      <c r="K81" s="57">
        <v>1237462179.6099999</v>
      </c>
      <c r="L81" s="52">
        <f t="shared" si="37"/>
        <v>5.0986811978997945E-3</v>
      </c>
      <c r="M81" s="56">
        <v>1122.72</v>
      </c>
      <c r="N81" s="56">
        <v>1122.72</v>
      </c>
      <c r="O81" s="53">
        <v>253</v>
      </c>
      <c r="P81" s="75">
        <v>1.8400000000000001E-3</v>
      </c>
      <c r="Q81" s="75">
        <v>3.31E-3</v>
      </c>
      <c r="R81" s="80">
        <f t="shared" ref="R81" si="44">((K81-D81)/D81)</f>
        <v>7.3834989435186071E-2</v>
      </c>
      <c r="S81" s="80">
        <f t="shared" si="39"/>
        <v>2.5717959708530767E-3</v>
      </c>
      <c r="T81" s="80">
        <f t="shared" ref="T81" si="45">((O81-H81)/H81)</f>
        <v>1.2E-2</v>
      </c>
      <c r="U81" s="81">
        <f t="shared" si="41"/>
        <v>2.8000000000000008E-4</v>
      </c>
      <c r="V81" s="82">
        <f t="shared" si="42"/>
        <v>2.5700000000000002E-3</v>
      </c>
    </row>
    <row r="82" spans="1:22">
      <c r="A82" s="181">
        <v>71</v>
      </c>
      <c r="B82" s="170" t="s">
        <v>138</v>
      </c>
      <c r="C82" s="166" t="s">
        <v>69</v>
      </c>
      <c r="D82" s="57">
        <v>231664163.97</v>
      </c>
      <c r="E82" s="52">
        <f t="shared" si="43"/>
        <v>9.5930756404552335E-4</v>
      </c>
      <c r="F82" s="56">
        <v>12.601000000000001</v>
      </c>
      <c r="G82" s="56">
        <v>12.641999999999999</v>
      </c>
      <c r="H82" s="53">
        <v>46</v>
      </c>
      <c r="I82" s="75">
        <v>1.57E-3</v>
      </c>
      <c r="J82" s="75">
        <v>0.25040000000000001</v>
      </c>
      <c r="K82" s="57">
        <v>230811312.46000001</v>
      </c>
      <c r="L82" s="52">
        <f t="shared" si="37"/>
        <v>9.5100546787883972E-4</v>
      </c>
      <c r="M82" s="56">
        <v>11.381</v>
      </c>
      <c r="N82" s="56">
        <v>11.46</v>
      </c>
      <c r="O82" s="53">
        <v>46</v>
      </c>
      <c r="P82" s="75">
        <v>-8.7500000000000008E-3</v>
      </c>
      <c r="Q82" s="75">
        <v>-0.25679999999999997</v>
      </c>
      <c r="R82" s="80">
        <f t="shared" si="38"/>
        <v>-3.6814131947936189E-3</v>
      </c>
      <c r="S82" s="80">
        <f t="shared" si="39"/>
        <v>-9.3497864261983754E-2</v>
      </c>
      <c r="T82" s="80">
        <f t="shared" si="40"/>
        <v>0</v>
      </c>
      <c r="U82" s="81">
        <f t="shared" si="41"/>
        <v>-1.0320000000000001E-2</v>
      </c>
      <c r="V82" s="82">
        <f t="shared" si="42"/>
        <v>-0.50719999999999998</v>
      </c>
    </row>
    <row r="83" spans="1:22">
      <c r="A83" s="181">
        <v>72</v>
      </c>
      <c r="B83" s="170" t="s">
        <v>139</v>
      </c>
      <c r="C83" s="166" t="s">
        <v>71</v>
      </c>
      <c r="D83" s="57">
        <v>1972126516.9611599</v>
      </c>
      <c r="E83" s="52">
        <f t="shared" si="43"/>
        <v>8.1664589488281269E-3</v>
      </c>
      <c r="F83" s="57">
        <v>4755.7671321735297</v>
      </c>
      <c r="G83" s="57">
        <v>4755.7671321735297</v>
      </c>
      <c r="H83" s="53">
        <v>1166</v>
      </c>
      <c r="I83" s="75">
        <v>0.1195</v>
      </c>
      <c r="J83" s="75">
        <v>0.1193</v>
      </c>
      <c r="K83" s="57">
        <v>1996105716.6625199</v>
      </c>
      <c r="L83" s="52">
        <f t="shared" si="37"/>
        <v>8.2244991841084313E-3</v>
      </c>
      <c r="M83" s="57">
        <v>4766.7700000000004</v>
      </c>
      <c r="N83" s="57">
        <v>4766.7700000000004</v>
      </c>
      <c r="O83" s="53">
        <v>1166</v>
      </c>
      <c r="P83" s="75">
        <v>0.1206</v>
      </c>
      <c r="Q83" s="75">
        <v>0.12039999999999999</v>
      </c>
      <c r="R83" s="80">
        <f t="shared" si="38"/>
        <v>1.2159057492066694E-2</v>
      </c>
      <c r="S83" s="80">
        <f t="shared" si="39"/>
        <v>2.3135842274602868E-3</v>
      </c>
      <c r="T83" s="80">
        <f t="shared" si="40"/>
        <v>0</v>
      </c>
      <c r="U83" s="81">
        <f t="shared" si="41"/>
        <v>1.1000000000000038E-3</v>
      </c>
      <c r="V83" s="82">
        <f t="shared" si="42"/>
        <v>1.0999999999999899E-3</v>
      </c>
    </row>
    <row r="84" spans="1:22">
      <c r="A84" s="182">
        <v>73</v>
      </c>
      <c r="B84" s="183" t="s">
        <v>140</v>
      </c>
      <c r="C84" s="166" t="s">
        <v>73</v>
      </c>
      <c r="D84" s="57">
        <v>372101547.19</v>
      </c>
      <c r="E84" s="52">
        <f t="shared" si="43"/>
        <v>1.5408504392532406E-3</v>
      </c>
      <c r="F84" s="85">
        <v>112.1</v>
      </c>
      <c r="G84" s="85">
        <v>112.1</v>
      </c>
      <c r="H84" s="53">
        <v>97</v>
      </c>
      <c r="I84" s="75">
        <v>8.0000000000000004E-4</v>
      </c>
      <c r="J84" s="75">
        <v>0.1225</v>
      </c>
      <c r="K84" s="57">
        <v>372602130.26999998</v>
      </c>
      <c r="L84" s="52">
        <f t="shared" si="37"/>
        <v>1.5352222534217538E-3</v>
      </c>
      <c r="M84" s="85">
        <v>112.35</v>
      </c>
      <c r="N84" s="85">
        <v>112.35</v>
      </c>
      <c r="O84" s="53">
        <v>97</v>
      </c>
      <c r="P84" s="75">
        <v>2.2000000000000001E-3</v>
      </c>
      <c r="Q84" s="75">
        <v>0.1225</v>
      </c>
      <c r="R84" s="80">
        <f t="shared" si="38"/>
        <v>1.3452862095850919E-3</v>
      </c>
      <c r="S84" s="80">
        <f t="shared" si="39"/>
        <v>2.2301516503122213E-3</v>
      </c>
      <c r="T84" s="80">
        <f t="shared" si="40"/>
        <v>0</v>
      </c>
      <c r="U84" s="81">
        <f t="shared" si="41"/>
        <v>1.4000000000000002E-3</v>
      </c>
      <c r="V84" s="82">
        <f t="shared" si="42"/>
        <v>0</v>
      </c>
    </row>
    <row r="85" spans="1:22" ht="13.5" customHeight="1">
      <c r="A85" s="181">
        <v>74</v>
      </c>
      <c r="B85" s="170" t="s">
        <v>141</v>
      </c>
      <c r="C85" s="166" t="s">
        <v>75</v>
      </c>
      <c r="D85" s="57">
        <v>681611880.75</v>
      </c>
      <c r="E85" s="52">
        <f t="shared" si="43"/>
        <v>2.8225143748665661E-3</v>
      </c>
      <c r="F85" s="85">
        <v>1.4984999999999999</v>
      </c>
      <c r="G85" s="85">
        <v>1.4984999999999999</v>
      </c>
      <c r="H85" s="53">
        <v>1749</v>
      </c>
      <c r="I85" s="75">
        <v>-9.2999999999999992E-3</v>
      </c>
      <c r="J85" s="75">
        <v>0.13850000000000001</v>
      </c>
      <c r="K85" s="57">
        <v>706591129.70000005</v>
      </c>
      <c r="L85" s="52">
        <f t="shared" si="37"/>
        <v>2.9113478916499829E-3</v>
      </c>
      <c r="M85" s="85">
        <v>1.4979</v>
      </c>
      <c r="N85" s="85">
        <v>1.4979</v>
      </c>
      <c r="O85" s="53">
        <v>1789</v>
      </c>
      <c r="P85" s="75">
        <v>-4.0000000000000002E-4</v>
      </c>
      <c r="Q85" s="75">
        <v>0.13800000000000001</v>
      </c>
      <c r="R85" s="80">
        <f t="shared" si="38"/>
        <v>3.6647320352624364E-2</v>
      </c>
      <c r="S85" s="80">
        <f t="shared" si="39"/>
        <v>-4.0040040040035629E-4</v>
      </c>
      <c r="T85" s="80">
        <f t="shared" si="40"/>
        <v>2.2870211549456832E-2</v>
      </c>
      <c r="U85" s="81">
        <f t="shared" si="41"/>
        <v>8.8999999999999999E-3</v>
      </c>
      <c r="V85" s="82">
        <f t="shared" si="42"/>
        <v>-5.0000000000000044E-4</v>
      </c>
    </row>
    <row r="86" spans="1:22" ht="13.5" customHeight="1">
      <c r="A86" s="181">
        <v>75</v>
      </c>
      <c r="B86" s="170" t="s">
        <v>142</v>
      </c>
      <c r="C86" s="166" t="s">
        <v>75</v>
      </c>
      <c r="D86" s="57">
        <v>66736531.469999999</v>
      </c>
      <c r="E86" s="52">
        <f t="shared" si="43"/>
        <v>2.7635201897529421E-4</v>
      </c>
      <c r="F86" s="85">
        <v>0.995</v>
      </c>
      <c r="G86" s="85">
        <v>0.995</v>
      </c>
      <c r="H86" s="53">
        <v>49</v>
      </c>
      <c r="I86" s="75">
        <v>-5.0299999999999997E-2</v>
      </c>
      <c r="J86" s="75">
        <v>3.8E-3</v>
      </c>
      <c r="K86" s="57">
        <v>74531961.700000003</v>
      </c>
      <c r="L86" s="52">
        <f t="shared" si="37"/>
        <v>3.0709198068755813E-4</v>
      </c>
      <c r="M86" s="85">
        <v>0.99460000000000004</v>
      </c>
      <c r="N86" s="85">
        <v>0.99460000000000004</v>
      </c>
      <c r="O86" s="53">
        <v>72</v>
      </c>
      <c r="P86" s="75">
        <v>-4.0000000000000002E-4</v>
      </c>
      <c r="Q86" s="75">
        <v>3.3999999999999998E-3</v>
      </c>
      <c r="R86" s="80">
        <f t="shared" ref="R86" si="46">((K86-D86)/D86)</f>
        <v>0.11680904084001242</v>
      </c>
      <c r="S86" s="80">
        <f t="shared" ref="S86" si="47">((N86-G86)/G86)</f>
        <v>-4.02010050251212E-4</v>
      </c>
      <c r="T86" s="80">
        <f t="shared" ref="T86" si="48">((O86-H86)/H86)</f>
        <v>0.46938775510204084</v>
      </c>
      <c r="U86" s="81">
        <f t="shared" ref="U86" si="49">P86-I86</f>
        <v>4.99E-2</v>
      </c>
      <c r="V86" s="82">
        <f t="shared" ref="V86" si="50">Q86-J86</f>
        <v>-4.0000000000000018E-4</v>
      </c>
    </row>
    <row r="87" spans="1:22">
      <c r="A87" s="181">
        <v>76</v>
      </c>
      <c r="B87" s="170" t="s">
        <v>143</v>
      </c>
      <c r="C87" s="166" t="s">
        <v>30</v>
      </c>
      <c r="D87" s="57">
        <v>307290244.75</v>
      </c>
      <c r="E87" s="52">
        <f t="shared" si="43"/>
        <v>1.2724706795145463E-3</v>
      </c>
      <c r="F87" s="85">
        <v>139.9537</v>
      </c>
      <c r="G87" s="85">
        <v>139.9537</v>
      </c>
      <c r="H87" s="53">
        <v>392</v>
      </c>
      <c r="I87" s="75">
        <v>4.8000000000000001E-4</v>
      </c>
      <c r="J87" s="75">
        <v>0.1855</v>
      </c>
      <c r="K87" s="57">
        <v>302580538.94999999</v>
      </c>
      <c r="L87" s="52">
        <f t="shared" si="37"/>
        <v>1.2467142270812432E-3</v>
      </c>
      <c r="M87" s="85">
        <v>140.42609999999999</v>
      </c>
      <c r="N87" s="85">
        <v>140.42609999999999</v>
      </c>
      <c r="O87" s="53">
        <v>396</v>
      </c>
      <c r="P87" s="75">
        <v>4.8999999999999998E-4</v>
      </c>
      <c r="Q87" s="75">
        <v>1.43E-2</v>
      </c>
      <c r="R87" s="80">
        <f t="shared" si="38"/>
        <v>-1.5326571150449813E-2</v>
      </c>
      <c r="S87" s="80">
        <f t="shared" si="39"/>
        <v>3.3754020079497238E-3</v>
      </c>
      <c r="T87" s="80">
        <f t="shared" si="40"/>
        <v>1.020408163265306E-2</v>
      </c>
      <c r="U87" s="81">
        <f t="shared" si="41"/>
        <v>9.999999999999972E-6</v>
      </c>
      <c r="V87" s="82">
        <f t="shared" si="42"/>
        <v>-0.17119999999999999</v>
      </c>
    </row>
    <row r="88" spans="1:22">
      <c r="A88" s="181">
        <v>77</v>
      </c>
      <c r="B88" s="170" t="s">
        <v>144</v>
      </c>
      <c r="C88" s="166" t="s">
        <v>77</v>
      </c>
      <c r="D88" s="57">
        <v>2679780832.6500001</v>
      </c>
      <c r="E88" s="52">
        <f t="shared" si="43"/>
        <v>1.1096813502317348E-2</v>
      </c>
      <c r="F88" s="56">
        <v>1288.43</v>
      </c>
      <c r="G88" s="56">
        <v>1288.43</v>
      </c>
      <c r="H88" s="53">
        <v>314</v>
      </c>
      <c r="I88" s="75">
        <v>1.9E-2</v>
      </c>
      <c r="J88" s="75">
        <v>0.2344</v>
      </c>
      <c r="K88" s="57">
        <v>2687025981.3299999</v>
      </c>
      <c r="L88" s="52">
        <f t="shared" si="37"/>
        <v>1.107127884392662E-2</v>
      </c>
      <c r="M88" s="56">
        <v>1297.92</v>
      </c>
      <c r="N88" s="56">
        <v>1297.92</v>
      </c>
      <c r="O88" s="53">
        <v>313</v>
      </c>
      <c r="P88" s="75">
        <v>1.9099999999999999E-2</v>
      </c>
      <c r="Q88" s="75">
        <v>0.23549999999999999</v>
      </c>
      <c r="R88" s="80">
        <f t="shared" si="38"/>
        <v>2.7036347867430621E-3</v>
      </c>
      <c r="S88" s="80">
        <f t="shared" si="39"/>
        <v>7.3655534254868397E-3</v>
      </c>
      <c r="T88" s="80">
        <f t="shared" si="40"/>
        <v>-3.1847133757961785E-3</v>
      </c>
      <c r="U88" s="81">
        <f t="shared" si="41"/>
        <v>9.9999999999999395E-5</v>
      </c>
      <c r="V88" s="82">
        <f t="shared" si="42"/>
        <v>1.0999999999999899E-3</v>
      </c>
    </row>
    <row r="89" spans="1:22">
      <c r="A89" s="181">
        <v>78</v>
      </c>
      <c r="B89" s="170" t="s">
        <v>145</v>
      </c>
      <c r="C89" s="166" t="s">
        <v>79</v>
      </c>
      <c r="D89" s="57">
        <v>147544102.93000001</v>
      </c>
      <c r="E89" s="52">
        <f t="shared" si="43"/>
        <v>6.109713800594097E-4</v>
      </c>
      <c r="F89" s="56">
        <v>1102.96</v>
      </c>
      <c r="G89" s="56">
        <v>1137.43</v>
      </c>
      <c r="H89" s="53">
        <v>72</v>
      </c>
      <c r="I89" s="75">
        <v>-2E-3</v>
      </c>
      <c r="J89" s="75">
        <v>-3.0999999999999999E-3</v>
      </c>
      <c r="K89" s="57">
        <v>129067088.98999999</v>
      </c>
      <c r="L89" s="52">
        <f t="shared" si="37"/>
        <v>5.3179155754753764E-4</v>
      </c>
      <c r="M89" s="56">
        <v>964.84</v>
      </c>
      <c r="N89" s="56">
        <v>964.96</v>
      </c>
      <c r="O89" s="53">
        <v>72</v>
      </c>
      <c r="P89" s="75">
        <v>2E-3</v>
      </c>
      <c r="Q89" s="75">
        <v>-1.1000000000000001E-3</v>
      </c>
      <c r="R89" s="80">
        <f t="shared" si="38"/>
        <v>-0.12523044684995741</v>
      </c>
      <c r="S89" s="80">
        <f t="shared" si="39"/>
        <v>-0.15163130917946602</v>
      </c>
      <c r="T89" s="80">
        <f t="shared" si="40"/>
        <v>0</v>
      </c>
      <c r="U89" s="81">
        <f t="shared" si="41"/>
        <v>4.0000000000000001E-3</v>
      </c>
      <c r="V89" s="82">
        <f t="shared" si="42"/>
        <v>2E-3</v>
      </c>
    </row>
    <row r="90" spans="1:22">
      <c r="A90" s="181">
        <v>79</v>
      </c>
      <c r="B90" s="170" t="s">
        <v>146</v>
      </c>
      <c r="C90" s="166" t="s">
        <v>82</v>
      </c>
      <c r="D90" s="57">
        <v>711204049.22000003</v>
      </c>
      <c r="E90" s="52">
        <f t="shared" si="43"/>
        <v>2.9450537895231062E-3</v>
      </c>
      <c r="F90" s="86">
        <v>1.1880999999999999</v>
      </c>
      <c r="G90" s="86">
        <v>1.1880999999999999</v>
      </c>
      <c r="H90" s="53">
        <v>57</v>
      </c>
      <c r="I90" s="75">
        <v>0.11257</v>
      </c>
      <c r="J90" s="75">
        <v>0.1308</v>
      </c>
      <c r="K90" s="57">
        <v>722589856.25</v>
      </c>
      <c r="L90" s="52">
        <f t="shared" si="37"/>
        <v>2.9772670022255752E-3</v>
      </c>
      <c r="M90" s="86">
        <v>1.1880999999999999</v>
      </c>
      <c r="N90" s="86">
        <v>1.1880999999999999</v>
      </c>
      <c r="O90" s="53">
        <v>58</v>
      </c>
      <c r="P90" s="75">
        <v>0.11257</v>
      </c>
      <c r="Q90" s="75">
        <v>0.13450000000000001</v>
      </c>
      <c r="R90" s="80">
        <f t="shared" si="38"/>
        <v>1.6009198826254078E-2</v>
      </c>
      <c r="S90" s="80">
        <f t="shared" si="39"/>
        <v>0</v>
      </c>
      <c r="T90" s="80">
        <f t="shared" si="40"/>
        <v>1.7543859649122806E-2</v>
      </c>
      <c r="U90" s="81">
        <f t="shared" si="41"/>
        <v>0</v>
      </c>
      <c r="V90" s="82">
        <f t="shared" si="42"/>
        <v>3.7000000000000088E-3</v>
      </c>
    </row>
    <row r="91" spans="1:22">
      <c r="A91" s="181">
        <v>80</v>
      </c>
      <c r="B91" s="170" t="s">
        <v>147</v>
      </c>
      <c r="C91" s="166" t="s">
        <v>32</v>
      </c>
      <c r="D91" s="86">
        <v>11529858652</v>
      </c>
      <c r="E91" s="52">
        <f t="shared" si="43"/>
        <v>4.7744460894140084E-2</v>
      </c>
      <c r="F91" s="86">
        <v>1667.15</v>
      </c>
      <c r="G91" s="86">
        <v>1667.15</v>
      </c>
      <c r="H91" s="53">
        <v>2041</v>
      </c>
      <c r="I91" s="75">
        <v>1.5E-3</v>
      </c>
      <c r="J91" s="75">
        <v>4.2999999999999997E-2</v>
      </c>
      <c r="K91" s="86">
        <v>11495813023.98</v>
      </c>
      <c r="L91" s="52">
        <f t="shared" si="37"/>
        <v>4.7365880497787095E-2</v>
      </c>
      <c r="M91" s="86">
        <v>1669.97</v>
      </c>
      <c r="N91" s="86">
        <v>1669.97</v>
      </c>
      <c r="O91" s="53">
        <v>2041</v>
      </c>
      <c r="P91" s="75">
        <v>1.6999999999999999E-3</v>
      </c>
      <c r="Q91" s="75">
        <v>2.2000000000000001E-3</v>
      </c>
      <c r="R91" s="80">
        <f t="shared" si="38"/>
        <v>-2.9528226709088765E-3</v>
      </c>
      <c r="S91" s="80">
        <f t="shared" si="39"/>
        <v>1.6915094622559075E-3</v>
      </c>
      <c r="T91" s="80">
        <f t="shared" si="40"/>
        <v>0</v>
      </c>
      <c r="U91" s="81">
        <f t="shared" si="41"/>
        <v>1.9999999999999987E-4</v>
      </c>
      <c r="V91" s="82">
        <f t="shared" si="42"/>
        <v>-4.0799999999999996E-2</v>
      </c>
    </row>
    <row r="92" spans="1:22">
      <c r="A92" s="181">
        <v>81</v>
      </c>
      <c r="B92" s="170" t="s">
        <v>148</v>
      </c>
      <c r="C92" s="166" t="s">
        <v>92</v>
      </c>
      <c r="D92" s="57">
        <v>23893673.75</v>
      </c>
      <c r="E92" s="52">
        <f t="shared" si="43"/>
        <v>9.8942285972979552E-5</v>
      </c>
      <c r="F92" s="85">
        <v>0.72989999999999999</v>
      </c>
      <c r="G92" s="85">
        <v>0.72770000000000001</v>
      </c>
      <c r="H92" s="53">
        <v>744</v>
      </c>
      <c r="I92" s="75">
        <v>3.0000000000000001E-3</v>
      </c>
      <c r="J92" s="75">
        <v>6.9999999999999999E-4</v>
      </c>
      <c r="K92" s="57">
        <v>23949003.41</v>
      </c>
      <c r="L92" s="52">
        <f t="shared" si="37"/>
        <v>9.8676416465098669E-5</v>
      </c>
      <c r="M92" s="85">
        <v>0.73160000000000003</v>
      </c>
      <c r="N92" s="85">
        <v>0.73160000000000003</v>
      </c>
      <c r="O92" s="53">
        <v>744</v>
      </c>
      <c r="P92" s="75">
        <v>2.3E-3</v>
      </c>
      <c r="Q92" s="75">
        <v>3.0000000000000001E-3</v>
      </c>
      <c r="R92" s="80">
        <f t="shared" si="38"/>
        <v>2.3156614834083499E-3</v>
      </c>
      <c r="S92" s="80">
        <f t="shared" si="39"/>
        <v>5.3593513810636451E-3</v>
      </c>
      <c r="T92" s="80">
        <f t="shared" si="40"/>
        <v>0</v>
      </c>
      <c r="U92" s="81">
        <f t="shared" si="41"/>
        <v>-7.000000000000001E-4</v>
      </c>
      <c r="V92" s="82">
        <f t="shared" si="42"/>
        <v>2.3E-3</v>
      </c>
    </row>
    <row r="93" spans="1:22">
      <c r="A93" s="181">
        <v>82</v>
      </c>
      <c r="B93" s="170" t="s">
        <v>149</v>
      </c>
      <c r="C93" s="166" t="s">
        <v>38</v>
      </c>
      <c r="D93" s="57">
        <v>11655971734.83</v>
      </c>
      <c r="E93" s="52">
        <f t="shared" si="43"/>
        <v>4.8266687690942313E-2</v>
      </c>
      <c r="F93" s="85">
        <v>1</v>
      </c>
      <c r="G93" s="85">
        <v>1</v>
      </c>
      <c r="H93" s="53">
        <v>5150</v>
      </c>
      <c r="I93" s="75">
        <v>0.06</v>
      </c>
      <c r="J93" s="75">
        <v>0.06</v>
      </c>
      <c r="K93" s="57">
        <v>11709468222.620001</v>
      </c>
      <c r="L93" s="52">
        <f t="shared" si="37"/>
        <v>4.8246198104328127E-2</v>
      </c>
      <c r="M93" s="85">
        <v>1</v>
      </c>
      <c r="N93" s="85">
        <v>1</v>
      </c>
      <c r="O93" s="53">
        <v>5194</v>
      </c>
      <c r="P93" s="75">
        <v>0.06</v>
      </c>
      <c r="Q93" s="75">
        <v>0.06</v>
      </c>
      <c r="R93" s="80">
        <f t="shared" si="38"/>
        <v>4.5896205830822691E-3</v>
      </c>
      <c r="S93" s="80">
        <f t="shared" si="39"/>
        <v>0</v>
      </c>
      <c r="T93" s="80">
        <f t="shared" si="40"/>
        <v>8.5436893203883497E-3</v>
      </c>
      <c r="U93" s="81">
        <f t="shared" si="41"/>
        <v>0</v>
      </c>
      <c r="V93" s="82">
        <f t="shared" si="42"/>
        <v>0</v>
      </c>
    </row>
    <row r="94" spans="1:22">
      <c r="A94" s="181">
        <v>83</v>
      </c>
      <c r="B94" s="170" t="s">
        <v>150</v>
      </c>
      <c r="C94" s="166" t="s">
        <v>151</v>
      </c>
      <c r="D94" s="57">
        <v>1796012144.2</v>
      </c>
      <c r="E94" s="52">
        <f t="shared" si="43"/>
        <v>7.4371797757714249E-3</v>
      </c>
      <c r="F94" s="57">
        <v>275.57</v>
      </c>
      <c r="G94" s="57">
        <v>275.57</v>
      </c>
      <c r="H94" s="53">
        <v>562</v>
      </c>
      <c r="I94" s="75">
        <v>3.0000000000000001E-3</v>
      </c>
      <c r="J94" s="75">
        <v>0.18720000000000001</v>
      </c>
      <c r="K94" s="57">
        <v>1996689545.24</v>
      </c>
      <c r="L94" s="52">
        <f t="shared" si="37"/>
        <v>8.2269047168510422E-3</v>
      </c>
      <c r="M94" s="57">
        <v>276.68</v>
      </c>
      <c r="N94" s="57">
        <v>276.68</v>
      </c>
      <c r="O94" s="53">
        <v>562</v>
      </c>
      <c r="P94" s="75">
        <v>3.0000000000000001E-3</v>
      </c>
      <c r="Q94" s="75">
        <v>0.18720000000000001</v>
      </c>
      <c r="R94" s="80">
        <f t="shared" si="38"/>
        <v>0.11173499115140335</v>
      </c>
      <c r="S94" s="80">
        <f t="shared" si="39"/>
        <v>4.0280146605218767E-3</v>
      </c>
      <c r="T94" s="80">
        <f t="shared" si="40"/>
        <v>0</v>
      </c>
      <c r="U94" s="81">
        <f t="shared" si="41"/>
        <v>0</v>
      </c>
      <c r="V94" s="82">
        <f t="shared" si="42"/>
        <v>0</v>
      </c>
    </row>
    <row r="95" spans="1:22">
      <c r="A95" s="181">
        <v>84</v>
      </c>
      <c r="B95" s="170" t="s">
        <v>152</v>
      </c>
      <c r="C95" s="166" t="s">
        <v>42</v>
      </c>
      <c r="D95" s="57">
        <v>1084640645.53</v>
      </c>
      <c r="E95" s="52">
        <f t="shared" si="43"/>
        <v>4.4914325880065385E-3</v>
      </c>
      <c r="F95" s="85">
        <v>3.62</v>
      </c>
      <c r="G95" s="85">
        <v>3.64</v>
      </c>
      <c r="H95" s="71">
        <v>795</v>
      </c>
      <c r="I95" s="78">
        <v>1.1299999999999999E-2</v>
      </c>
      <c r="J95" s="78">
        <v>0.15640000000000001</v>
      </c>
      <c r="K95" s="57">
        <v>1082741647.55</v>
      </c>
      <c r="L95" s="52">
        <f t="shared" si="37"/>
        <v>4.4611904682905915E-3</v>
      </c>
      <c r="M95" s="85">
        <v>3.61</v>
      </c>
      <c r="N95" s="85">
        <v>3.63</v>
      </c>
      <c r="O95" s="71">
        <v>795</v>
      </c>
      <c r="P95" s="78">
        <v>9.7999999999999997E-3</v>
      </c>
      <c r="Q95" s="78">
        <v>-2.5700000000000001E-2</v>
      </c>
      <c r="R95" s="80">
        <f t="shared" si="38"/>
        <v>-1.7508084247313917E-3</v>
      </c>
      <c r="S95" s="80">
        <f t="shared" si="39"/>
        <v>-2.7472527472528108E-3</v>
      </c>
      <c r="T95" s="80">
        <f t="shared" si="40"/>
        <v>0</v>
      </c>
      <c r="U95" s="81">
        <f t="shared" si="41"/>
        <v>-1.4999999999999996E-3</v>
      </c>
      <c r="V95" s="82">
        <f t="shared" si="42"/>
        <v>-0.18210000000000001</v>
      </c>
    </row>
    <row r="96" spans="1:22">
      <c r="A96" s="181">
        <v>85</v>
      </c>
      <c r="B96" s="170" t="s">
        <v>153</v>
      </c>
      <c r="C96" s="166" t="s">
        <v>44</v>
      </c>
      <c r="D96" s="57">
        <v>735466524.41999996</v>
      </c>
      <c r="E96" s="52">
        <f t="shared" si="43"/>
        <v>3.0455232604285889E-3</v>
      </c>
      <c r="F96" s="85">
        <v>113.33271000000001</v>
      </c>
      <c r="G96" s="85">
        <v>113.33271000000001</v>
      </c>
      <c r="H96" s="71">
        <v>292</v>
      </c>
      <c r="I96" s="78">
        <v>0.14899999999999999</v>
      </c>
      <c r="J96" s="78">
        <v>0.17150000000000001</v>
      </c>
      <c r="K96" s="57">
        <v>735466524.41999996</v>
      </c>
      <c r="L96" s="52">
        <f t="shared" si="37"/>
        <v>3.0303223819953757E-3</v>
      </c>
      <c r="M96" s="85">
        <v>113.66</v>
      </c>
      <c r="N96" s="85">
        <v>113.66</v>
      </c>
      <c r="O96" s="71">
        <v>281</v>
      </c>
      <c r="P96" s="78">
        <v>0.14860000000000001</v>
      </c>
      <c r="Q96" s="78">
        <v>0.1721</v>
      </c>
      <c r="R96" s="80">
        <f t="shared" si="38"/>
        <v>0</v>
      </c>
      <c r="S96" s="80">
        <f t="shared" si="39"/>
        <v>2.8878688244549232E-3</v>
      </c>
      <c r="T96" s="80">
        <f t="shared" si="40"/>
        <v>-3.7671232876712327E-2</v>
      </c>
      <c r="U96" s="81">
        <f t="shared" si="41"/>
        <v>-3.999999999999837E-4</v>
      </c>
      <c r="V96" s="82">
        <f t="shared" si="42"/>
        <v>5.9999999999998943E-4</v>
      </c>
    </row>
    <row r="97" spans="1:22">
      <c r="A97" s="181">
        <v>86</v>
      </c>
      <c r="B97" s="166" t="s">
        <v>154</v>
      </c>
      <c r="C97" s="172" t="s">
        <v>48</v>
      </c>
      <c r="D97" s="57">
        <v>1068997415.4400001</v>
      </c>
      <c r="E97" s="52">
        <f t="shared" si="43"/>
        <v>4.426654899933105E-3</v>
      </c>
      <c r="F97" s="85">
        <v>111.16</v>
      </c>
      <c r="G97" s="85">
        <v>111.88</v>
      </c>
      <c r="H97" s="53">
        <v>289</v>
      </c>
      <c r="I97" s="75">
        <v>5.5999999999999999E-3</v>
      </c>
      <c r="J97" s="75">
        <v>0.14460000000000001</v>
      </c>
      <c r="K97" s="57">
        <v>1068997415.4400001</v>
      </c>
      <c r="L97" s="52">
        <f t="shared" si="37"/>
        <v>4.4045604888104002E-3</v>
      </c>
      <c r="M97" s="85">
        <v>111.16</v>
      </c>
      <c r="N97" s="85">
        <v>111.88</v>
      </c>
      <c r="O97" s="53">
        <v>289</v>
      </c>
      <c r="P97" s="75">
        <v>-4.8999999999999998E-3</v>
      </c>
      <c r="Q97" s="75">
        <v>-2.18E-2</v>
      </c>
      <c r="R97" s="80">
        <f t="shared" si="38"/>
        <v>0</v>
      </c>
      <c r="S97" s="80">
        <f t="shared" si="39"/>
        <v>0</v>
      </c>
      <c r="T97" s="80">
        <f t="shared" si="40"/>
        <v>0</v>
      </c>
      <c r="U97" s="81">
        <f t="shared" si="41"/>
        <v>-1.0499999999999999E-2</v>
      </c>
      <c r="V97" s="82">
        <f t="shared" si="42"/>
        <v>-0.16639999999999999</v>
      </c>
    </row>
    <row r="98" spans="1:22">
      <c r="A98" s="181">
        <v>87</v>
      </c>
      <c r="B98" s="170" t="s">
        <v>155</v>
      </c>
      <c r="C98" s="166" t="s">
        <v>20</v>
      </c>
      <c r="D98" s="159">
        <v>1639969565.4300001</v>
      </c>
      <c r="E98" s="161">
        <f t="shared" si="43"/>
        <v>6.7910167112647576E-3</v>
      </c>
      <c r="F98" s="162">
        <v>391.19740000000002</v>
      </c>
      <c r="G98" s="162">
        <v>391.19740000000002</v>
      </c>
      <c r="H98" s="55">
        <v>90</v>
      </c>
      <c r="I98" s="76">
        <v>-1.5E-3</v>
      </c>
      <c r="J98" s="76">
        <v>0.15190000000000001</v>
      </c>
      <c r="K98" s="159">
        <v>1648452394.5899999</v>
      </c>
      <c r="L98" s="161">
        <f t="shared" si="37"/>
        <v>6.7920728151690543E-3</v>
      </c>
      <c r="M98" s="162">
        <v>391.8689</v>
      </c>
      <c r="N98" s="162">
        <v>391.68889999999999</v>
      </c>
      <c r="O98" s="55">
        <v>90</v>
      </c>
      <c r="P98" s="76">
        <v>1.6999999999999999E-3</v>
      </c>
      <c r="Q98" s="76">
        <v>2.0000000000000001E-4</v>
      </c>
      <c r="R98" s="81">
        <f t="shared" si="38"/>
        <v>5.1725527953780347E-3</v>
      </c>
      <c r="S98" s="81">
        <f t="shared" si="39"/>
        <v>1.256398943346693E-3</v>
      </c>
      <c r="T98" s="81">
        <f t="shared" si="40"/>
        <v>0</v>
      </c>
      <c r="U98" s="81">
        <f t="shared" si="41"/>
        <v>3.1999999999999997E-3</v>
      </c>
      <c r="V98" s="82">
        <f t="shared" si="42"/>
        <v>-0.1517</v>
      </c>
    </row>
    <row r="99" spans="1:22">
      <c r="A99" s="181">
        <v>88</v>
      </c>
      <c r="B99" s="170" t="s">
        <v>156</v>
      </c>
      <c r="C99" s="166" t="s">
        <v>104</v>
      </c>
      <c r="D99" s="69">
        <v>1793386604</v>
      </c>
      <c r="E99" s="52">
        <f>(D99/$K$72)</f>
        <v>3.6107805930070587E-4</v>
      </c>
      <c r="F99" s="85">
        <v>101.12</v>
      </c>
      <c r="G99" s="85">
        <v>101.12</v>
      </c>
      <c r="H99" s="53">
        <v>411</v>
      </c>
      <c r="I99" s="75">
        <v>2.8E-3</v>
      </c>
      <c r="J99" s="75">
        <v>0.13950000000000001</v>
      </c>
      <c r="K99" s="69">
        <v>1786955566</v>
      </c>
      <c r="L99" s="52">
        <f t="shared" ref="L99:L113" si="51">(K99/$K$114)</f>
        <v>7.3627436021665377E-3</v>
      </c>
      <c r="M99" s="85">
        <v>100.54</v>
      </c>
      <c r="N99" s="85">
        <v>100.54</v>
      </c>
      <c r="O99" s="53">
        <v>411</v>
      </c>
      <c r="P99" s="75">
        <v>-5.5999999999999999E-3</v>
      </c>
      <c r="Q99" s="75">
        <v>-0.23619999999999999</v>
      </c>
      <c r="R99" s="80">
        <f t="shared" si="38"/>
        <v>-3.5859741483827878E-3</v>
      </c>
      <c r="S99" s="80">
        <f t="shared" si="39"/>
        <v>-5.7357594936708689E-3</v>
      </c>
      <c r="T99" s="80">
        <f t="shared" si="40"/>
        <v>0</v>
      </c>
      <c r="U99" s="81">
        <f t="shared" si="41"/>
        <v>-8.3999999999999995E-3</v>
      </c>
      <c r="V99" s="82">
        <f t="shared" si="42"/>
        <v>-0.37570000000000003</v>
      </c>
    </row>
    <row r="100" spans="1:22">
      <c r="A100" s="181">
        <v>89</v>
      </c>
      <c r="B100" s="170" t="s">
        <v>157</v>
      </c>
      <c r="C100" s="166" t="s">
        <v>46</v>
      </c>
      <c r="D100" s="57">
        <v>58728774.350000001</v>
      </c>
      <c r="E100" s="52">
        <f t="shared" ref="E100:E113" si="52">(D100/$D$114)</f>
        <v>2.4319237164524717E-4</v>
      </c>
      <c r="F100" s="57">
        <v>11.99</v>
      </c>
      <c r="G100" s="57">
        <v>12.71</v>
      </c>
      <c r="H100" s="53">
        <v>55</v>
      </c>
      <c r="I100" s="75">
        <v>-1.2999999999999999E-2</v>
      </c>
      <c r="J100" s="75">
        <v>-1.3100000000000001E-2</v>
      </c>
      <c r="K100" s="57">
        <v>58634577.049999997</v>
      </c>
      <c r="L100" s="52">
        <f t="shared" si="51"/>
        <v>2.4159042634002933E-4</v>
      </c>
      <c r="M100" s="57">
        <v>11.97</v>
      </c>
      <c r="N100" s="57">
        <v>12.7</v>
      </c>
      <c r="O100" s="53">
        <v>55</v>
      </c>
      <c r="P100" s="75">
        <v>-2.0000000000000001E-4</v>
      </c>
      <c r="Q100" s="75">
        <v>-1.6000000000000001E-3</v>
      </c>
      <c r="R100" s="80">
        <f t="shared" si="38"/>
        <v>-1.6039377807993446E-3</v>
      </c>
      <c r="S100" s="80">
        <f t="shared" si="39"/>
        <v>-7.8678206136912373E-4</v>
      </c>
      <c r="T100" s="80">
        <f t="shared" si="40"/>
        <v>0</v>
      </c>
      <c r="U100" s="81">
        <f t="shared" si="41"/>
        <v>1.2799999999999999E-2</v>
      </c>
      <c r="V100" s="82">
        <f t="shared" si="42"/>
        <v>1.15E-2</v>
      </c>
    </row>
    <row r="101" spans="1:22">
      <c r="A101" s="181">
        <v>90</v>
      </c>
      <c r="B101" s="170" t="s">
        <v>158</v>
      </c>
      <c r="C101" s="166" t="s">
        <v>159</v>
      </c>
      <c r="D101" s="57">
        <v>1040744198.36</v>
      </c>
      <c r="E101" s="52">
        <f t="shared" si="52"/>
        <v>4.3096600035754011E-3</v>
      </c>
      <c r="F101" s="57">
        <v>155.94999999999999</v>
      </c>
      <c r="G101" s="57">
        <v>155.94999999999999</v>
      </c>
      <c r="H101" s="53">
        <v>175</v>
      </c>
      <c r="I101" s="75">
        <v>4.2700000000000002E-2</v>
      </c>
      <c r="J101" s="75">
        <v>0.17169999999999999</v>
      </c>
      <c r="K101" s="57">
        <v>1040779298.24</v>
      </c>
      <c r="L101" s="52">
        <f t="shared" si="51"/>
        <v>4.288294160854327E-3</v>
      </c>
      <c r="M101" s="57">
        <v>156.08000000000001</v>
      </c>
      <c r="N101" s="57">
        <v>156.08000000000001</v>
      </c>
      <c r="O101" s="53">
        <v>178</v>
      </c>
      <c r="P101" s="75">
        <v>-8.6999999999999994E-3</v>
      </c>
      <c r="Q101" s="75">
        <v>6.8099999999999994E-2</v>
      </c>
      <c r="R101" s="80">
        <f t="shared" si="38"/>
        <v>3.372575129921979E-5</v>
      </c>
      <c r="S101" s="80">
        <f t="shared" si="39"/>
        <v>8.3360051298508419E-4</v>
      </c>
      <c r="T101" s="80">
        <f t="shared" si="40"/>
        <v>1.7142857142857144E-2</v>
      </c>
      <c r="U101" s="81">
        <f t="shared" si="41"/>
        <v>-5.1400000000000001E-2</v>
      </c>
      <c r="V101" s="82">
        <f t="shared" si="42"/>
        <v>-0.1036</v>
      </c>
    </row>
    <row r="102" spans="1:22">
      <c r="A102" s="181">
        <v>91</v>
      </c>
      <c r="B102" s="170" t="s">
        <v>160</v>
      </c>
      <c r="C102" s="166" t="s">
        <v>161</v>
      </c>
      <c r="D102" s="57">
        <v>10788286434.315201</v>
      </c>
      <c r="E102" s="52">
        <f t="shared" si="52"/>
        <v>4.4673654320003031E-2</v>
      </c>
      <c r="F102" s="57">
        <v>1</v>
      </c>
      <c r="G102" s="57">
        <v>1</v>
      </c>
      <c r="H102" s="53">
        <v>5187</v>
      </c>
      <c r="I102" s="75">
        <v>0.1661</v>
      </c>
      <c r="J102" s="75">
        <v>0.1661</v>
      </c>
      <c r="K102" s="57">
        <v>11187033554.0392</v>
      </c>
      <c r="L102" s="52">
        <f t="shared" si="51"/>
        <v>4.6093624986769541E-2</v>
      </c>
      <c r="M102" s="57">
        <v>1</v>
      </c>
      <c r="N102" s="57">
        <v>1</v>
      </c>
      <c r="O102" s="53">
        <v>5192</v>
      </c>
      <c r="P102" s="75">
        <v>0.16639999999999999</v>
      </c>
      <c r="Q102" s="75">
        <v>0.16639999999999999</v>
      </c>
      <c r="R102" s="80">
        <f t="shared" si="38"/>
        <v>3.6961117240609305E-2</v>
      </c>
      <c r="S102" s="80">
        <f t="shared" si="39"/>
        <v>0</v>
      </c>
      <c r="T102" s="80">
        <f t="shared" si="40"/>
        <v>9.6394833236938501E-4</v>
      </c>
      <c r="U102" s="81">
        <f t="shared" si="41"/>
        <v>2.9999999999999472E-4</v>
      </c>
      <c r="V102" s="82">
        <f t="shared" si="42"/>
        <v>2.9999999999999472E-4</v>
      </c>
    </row>
    <row r="103" spans="1:22" ht="14.25" customHeight="1">
      <c r="A103" s="182">
        <v>92</v>
      </c>
      <c r="B103" s="183" t="s">
        <v>162</v>
      </c>
      <c r="C103" s="166" t="s">
        <v>50</v>
      </c>
      <c r="D103" s="57">
        <v>4925275088.1700001</v>
      </c>
      <c r="E103" s="52">
        <f t="shared" si="52"/>
        <v>2.039527204431291E-2</v>
      </c>
      <c r="F103" s="57">
        <v>5176.1000000000004</v>
      </c>
      <c r="G103" s="57">
        <v>5176.1000000000004</v>
      </c>
      <c r="H103" s="53">
        <v>17</v>
      </c>
      <c r="I103" s="75">
        <v>0</v>
      </c>
      <c r="J103" s="75">
        <v>0</v>
      </c>
      <c r="K103" s="57">
        <v>4866266845.5799999</v>
      </c>
      <c r="L103" s="52">
        <f t="shared" si="51"/>
        <v>2.0050344712225086E-2</v>
      </c>
      <c r="M103" s="57">
        <v>5176.1000000000004</v>
      </c>
      <c r="N103" s="57">
        <v>5176.1000000000004</v>
      </c>
      <c r="O103" s="53">
        <v>15</v>
      </c>
      <c r="P103" s="75">
        <v>0</v>
      </c>
      <c r="Q103" s="75">
        <v>0</v>
      </c>
      <c r="R103" s="80">
        <f t="shared" si="38"/>
        <v>-1.1980699866233225E-2</v>
      </c>
      <c r="S103" s="80">
        <f t="shared" si="39"/>
        <v>0</v>
      </c>
      <c r="T103" s="80">
        <f t="shared" si="40"/>
        <v>-0.11764705882352941</v>
      </c>
      <c r="U103" s="81">
        <f t="shared" si="41"/>
        <v>0</v>
      </c>
      <c r="V103" s="82">
        <f t="shared" si="42"/>
        <v>0</v>
      </c>
    </row>
    <row r="104" spans="1:22" ht="13.5" customHeight="1">
      <c r="A104" s="182">
        <v>93</v>
      </c>
      <c r="B104" s="183" t="s">
        <v>163</v>
      </c>
      <c r="C104" s="166" t="s">
        <v>50</v>
      </c>
      <c r="D104" s="57">
        <v>15651091874.51</v>
      </c>
      <c r="E104" s="52">
        <f t="shared" si="52"/>
        <v>6.4810243256843036E-2</v>
      </c>
      <c r="F104" s="85">
        <v>259.24</v>
      </c>
      <c r="G104" s="85">
        <v>259.24</v>
      </c>
      <c r="H104" s="53">
        <v>6047</v>
      </c>
      <c r="I104" s="75">
        <v>0</v>
      </c>
      <c r="J104" s="75">
        <v>0</v>
      </c>
      <c r="K104" s="57">
        <v>15645302877.030001</v>
      </c>
      <c r="L104" s="52">
        <f t="shared" si="51"/>
        <v>6.4462908789423345E-2</v>
      </c>
      <c r="M104" s="85">
        <v>259.24</v>
      </c>
      <c r="N104" s="85">
        <v>259.24</v>
      </c>
      <c r="O104" s="53">
        <v>6033</v>
      </c>
      <c r="P104" s="75">
        <v>0</v>
      </c>
      <c r="Q104" s="75">
        <v>0</v>
      </c>
      <c r="R104" s="80">
        <f t="shared" si="38"/>
        <v>-3.698781865454216E-4</v>
      </c>
      <c r="S104" s="80">
        <f t="shared" si="39"/>
        <v>0</v>
      </c>
      <c r="T104" s="80">
        <f t="shared" si="40"/>
        <v>-2.3151976186538779E-3</v>
      </c>
      <c r="U104" s="81">
        <f t="shared" si="41"/>
        <v>0</v>
      </c>
      <c r="V104" s="82">
        <f t="shared" si="42"/>
        <v>0</v>
      </c>
    </row>
    <row r="105" spans="1:22" ht="13.5" customHeight="1">
      <c r="A105" s="182">
        <v>94</v>
      </c>
      <c r="B105" s="183" t="s">
        <v>164</v>
      </c>
      <c r="C105" s="166" t="s">
        <v>50</v>
      </c>
      <c r="D105" s="57">
        <v>629428145.70000005</v>
      </c>
      <c r="E105" s="52">
        <f t="shared" si="52"/>
        <v>2.6064246228059275E-3</v>
      </c>
      <c r="F105" s="56">
        <v>9398.18</v>
      </c>
      <c r="G105" s="56">
        <v>9433.61</v>
      </c>
      <c r="H105" s="53">
        <v>18</v>
      </c>
      <c r="I105" s="75">
        <v>8.6E-3</v>
      </c>
      <c r="J105" s="75">
        <v>1E-3</v>
      </c>
      <c r="K105" s="57">
        <v>636048058.21000004</v>
      </c>
      <c r="L105" s="52">
        <f t="shared" si="51"/>
        <v>2.6206912249860203E-3</v>
      </c>
      <c r="M105" s="56">
        <v>9496.07</v>
      </c>
      <c r="N105" s="56">
        <v>9533.2199999999993</v>
      </c>
      <c r="O105" s="53">
        <v>19</v>
      </c>
      <c r="P105" s="75">
        <v>1.06E-2</v>
      </c>
      <c r="Q105" s="75">
        <v>1.1599999999999999E-2</v>
      </c>
      <c r="R105" s="80">
        <f t="shared" si="38"/>
        <v>1.0517344283417529E-2</v>
      </c>
      <c r="S105" s="80">
        <f t="shared" si="39"/>
        <v>1.05590542750865E-2</v>
      </c>
      <c r="T105" s="80">
        <f t="shared" si="40"/>
        <v>5.5555555555555552E-2</v>
      </c>
      <c r="U105" s="81">
        <f t="shared" si="41"/>
        <v>2E-3</v>
      </c>
      <c r="V105" s="82">
        <f t="shared" si="42"/>
        <v>1.0599999999999998E-2</v>
      </c>
    </row>
    <row r="106" spans="1:22" ht="15" customHeight="1">
      <c r="A106" s="182">
        <v>95</v>
      </c>
      <c r="B106" s="183" t="s">
        <v>165</v>
      </c>
      <c r="C106" s="166" t="s">
        <v>50</v>
      </c>
      <c r="D106" s="57">
        <v>6659606209.6000004</v>
      </c>
      <c r="E106" s="52">
        <f t="shared" si="52"/>
        <v>2.7577034362816378E-2</v>
      </c>
      <c r="F106" s="85">
        <v>161.55000000000001</v>
      </c>
      <c r="G106" s="85">
        <v>161.55000000000001</v>
      </c>
      <c r="H106" s="53">
        <v>5377</v>
      </c>
      <c r="I106" s="75">
        <v>3.3999999999999998E-3</v>
      </c>
      <c r="J106" s="75">
        <v>6.9999999999999999E-4</v>
      </c>
      <c r="K106" s="57">
        <v>6796949589.8500004</v>
      </c>
      <c r="L106" s="52">
        <f t="shared" si="51"/>
        <v>2.8005283432389814E-2</v>
      </c>
      <c r="M106" s="85">
        <v>162.01</v>
      </c>
      <c r="N106" s="85">
        <v>162.01</v>
      </c>
      <c r="O106" s="53">
        <v>5424</v>
      </c>
      <c r="P106" s="75">
        <v>2.8E-3</v>
      </c>
      <c r="Q106" s="75">
        <v>3.5999999999999999E-3</v>
      </c>
      <c r="R106" s="80">
        <f t="shared" si="38"/>
        <v>2.0623348577580435E-2</v>
      </c>
      <c r="S106" s="80">
        <f t="shared" si="39"/>
        <v>2.8474156607860074E-3</v>
      </c>
      <c r="T106" s="80">
        <f t="shared" si="40"/>
        <v>8.7409336061000566E-3</v>
      </c>
      <c r="U106" s="81">
        <f t="shared" si="41"/>
        <v>-5.9999999999999984E-4</v>
      </c>
      <c r="V106" s="82">
        <f t="shared" si="42"/>
        <v>2.8999999999999998E-3</v>
      </c>
    </row>
    <row r="107" spans="1:22" ht="15" customHeight="1">
      <c r="A107" s="182">
        <v>96</v>
      </c>
      <c r="B107" s="183" t="s">
        <v>166</v>
      </c>
      <c r="C107" s="166" t="s">
        <v>50</v>
      </c>
      <c r="D107" s="57">
        <v>6455699125.3000002</v>
      </c>
      <c r="E107" s="52">
        <f t="shared" si="52"/>
        <v>2.6732667219537414E-2</v>
      </c>
      <c r="F107" s="85">
        <v>386.42</v>
      </c>
      <c r="G107" s="85">
        <v>386.79</v>
      </c>
      <c r="H107" s="53">
        <v>10987</v>
      </c>
      <c r="I107" s="75">
        <v>5.4999999999999997E-3</v>
      </c>
      <c r="J107" s="75">
        <v>4.0000000000000001E-3</v>
      </c>
      <c r="K107" s="57">
        <v>6471114317.6400003</v>
      </c>
      <c r="L107" s="52">
        <f t="shared" si="51"/>
        <v>2.666275337094319E-2</v>
      </c>
      <c r="M107" s="85">
        <v>387.92</v>
      </c>
      <c r="N107" s="85">
        <v>387.94</v>
      </c>
      <c r="O107" s="53">
        <v>11047</v>
      </c>
      <c r="P107" s="75">
        <v>3.0000000000000001E-3</v>
      </c>
      <c r="Q107" s="75">
        <v>7.0000000000000001E-3</v>
      </c>
      <c r="R107" s="80">
        <f t="shared" si="38"/>
        <v>2.3878424382554847E-3</v>
      </c>
      <c r="S107" s="80">
        <f t="shared" si="39"/>
        <v>2.9731895860802431E-3</v>
      </c>
      <c r="T107" s="80">
        <f t="shared" si="40"/>
        <v>5.4609993628834076E-3</v>
      </c>
      <c r="U107" s="81">
        <f t="shared" si="41"/>
        <v>-2.4999999999999996E-3</v>
      </c>
      <c r="V107" s="82">
        <f t="shared" si="42"/>
        <v>3.0000000000000001E-3</v>
      </c>
    </row>
    <row r="108" spans="1:22" ht="15" customHeight="1">
      <c r="A108" s="181">
        <v>97</v>
      </c>
      <c r="B108" s="170" t="s">
        <v>167</v>
      </c>
      <c r="C108" s="166" t="s">
        <v>118</v>
      </c>
      <c r="D108" s="57">
        <v>91729973.5</v>
      </c>
      <c r="E108" s="52">
        <f t="shared" si="52"/>
        <v>3.7984838017346894E-4</v>
      </c>
      <c r="F108" s="85">
        <v>113.31789999999999</v>
      </c>
      <c r="G108" s="85">
        <v>113.31789999999999</v>
      </c>
      <c r="H108" s="53">
        <v>23</v>
      </c>
      <c r="I108" s="75">
        <v>4.1000000000000003E-3</v>
      </c>
      <c r="J108" s="75">
        <v>0.16189999999999999</v>
      </c>
      <c r="K108" s="57">
        <v>111665620.64</v>
      </c>
      <c r="L108" s="52">
        <f t="shared" si="51"/>
        <v>4.6009276872479085E-4</v>
      </c>
      <c r="M108" s="85">
        <v>112.8668</v>
      </c>
      <c r="N108" s="85">
        <v>112.867</v>
      </c>
      <c r="O108" s="53">
        <v>24</v>
      </c>
      <c r="P108" s="75">
        <v>-7.4999999999999997E-3</v>
      </c>
      <c r="Q108" s="75">
        <v>-3.5000000000000001E-3</v>
      </c>
      <c r="R108" s="80">
        <f t="shared" ref="R108" si="53">((K108-D108)/D108)</f>
        <v>0.21732969474803129</v>
      </c>
      <c r="S108" s="80">
        <f t="shared" ref="S108" si="54">((N108-G108)/G108)</f>
        <v>-3.9790712676460657E-3</v>
      </c>
      <c r="T108" s="80">
        <f t="shared" ref="T108" si="55">((O108-H108)/H108)</f>
        <v>4.3478260869565216E-2</v>
      </c>
      <c r="U108" s="81">
        <f t="shared" ref="U108" si="56">P108-I108</f>
        <v>-1.1599999999999999E-2</v>
      </c>
      <c r="V108" s="82">
        <f t="shared" ref="V108" si="57">Q108-J108</f>
        <v>-0.16539999999999999</v>
      </c>
    </row>
    <row r="109" spans="1:22">
      <c r="A109" s="182">
        <v>98</v>
      </c>
      <c r="B109" s="183" t="s">
        <v>168</v>
      </c>
      <c r="C109" s="166" t="s">
        <v>53</v>
      </c>
      <c r="D109" s="57">
        <v>84481591629.339996</v>
      </c>
      <c r="E109" s="52">
        <f t="shared" si="52"/>
        <v>0.34983326071582582</v>
      </c>
      <c r="F109" s="57">
        <v>1.9784999999999999</v>
      </c>
      <c r="G109" s="57">
        <v>1.9784999999999999</v>
      </c>
      <c r="H109" s="53">
        <v>6844</v>
      </c>
      <c r="I109" s="75">
        <v>1.6999999999999999E-3</v>
      </c>
      <c r="J109" s="75">
        <v>6.6699999999999995E-2</v>
      </c>
      <c r="K109" s="57">
        <v>84566847641.369995</v>
      </c>
      <c r="L109" s="52">
        <f t="shared" si="51"/>
        <v>0.34843844372730715</v>
      </c>
      <c r="M109" s="57">
        <v>1.9815</v>
      </c>
      <c r="N109" s="57">
        <v>1.9784999999999999</v>
      </c>
      <c r="O109" s="53">
        <v>6857</v>
      </c>
      <c r="P109" s="75">
        <v>1.5E-3</v>
      </c>
      <c r="Q109" s="75">
        <v>7.8700000000000006E-2</v>
      </c>
      <c r="R109" s="80">
        <f t="shared" si="38"/>
        <v>1.0091667354476053E-3</v>
      </c>
      <c r="S109" s="80">
        <f t="shared" si="39"/>
        <v>0</v>
      </c>
      <c r="T109" s="80">
        <f t="shared" si="40"/>
        <v>1.8994739918176504E-3</v>
      </c>
      <c r="U109" s="81">
        <f t="shared" si="41"/>
        <v>-1.9999999999999987E-4</v>
      </c>
      <c r="V109" s="82">
        <f t="shared" si="42"/>
        <v>1.2000000000000011E-2</v>
      </c>
    </row>
    <row r="110" spans="1:22">
      <c r="A110" s="182">
        <v>99</v>
      </c>
      <c r="B110" s="183" t="s">
        <v>169</v>
      </c>
      <c r="C110" s="166" t="s">
        <v>53</v>
      </c>
      <c r="D110" s="57">
        <v>62800988458.160004</v>
      </c>
      <c r="E110" s="52">
        <f t="shared" si="52"/>
        <v>0.26005516876252882</v>
      </c>
      <c r="F110" s="57">
        <v>129.05959999999999</v>
      </c>
      <c r="G110" s="57">
        <v>129.05959999999999</v>
      </c>
      <c r="H110" s="53">
        <v>1187</v>
      </c>
      <c r="I110" s="75">
        <v>2.7000000000000001E-3</v>
      </c>
      <c r="J110" s="75">
        <v>0.1181</v>
      </c>
      <c r="K110" s="57">
        <v>63135463352.510002</v>
      </c>
      <c r="L110" s="52">
        <f t="shared" si="51"/>
        <v>0.26013530370486726</v>
      </c>
      <c r="M110" s="57">
        <v>129.4393</v>
      </c>
      <c r="N110" s="57">
        <v>129.4393</v>
      </c>
      <c r="O110" s="53">
        <v>1207</v>
      </c>
      <c r="P110" s="75">
        <v>2.8999999999999998E-3</v>
      </c>
      <c r="Q110" s="75">
        <v>0.15479999999999999</v>
      </c>
      <c r="R110" s="80">
        <f t="shared" ref="R110:R112" si="58">((K110-D110)/D110)</f>
        <v>5.3259495202505639E-3</v>
      </c>
      <c r="S110" s="80">
        <f t="shared" ref="S110:S112" si="59">((N110-G110)/G110)</f>
        <v>2.9420515792704608E-3</v>
      </c>
      <c r="T110" s="80">
        <f t="shared" ref="T110:T112" si="60">((O110-H110)/H110)</f>
        <v>1.6849199663016005E-2</v>
      </c>
      <c r="U110" s="81">
        <f t="shared" ref="U110:U112" si="61">P110-I110</f>
        <v>1.9999999999999966E-4</v>
      </c>
      <c r="V110" s="82">
        <f t="shared" ref="V110:V112" si="62">Q110-J110</f>
        <v>3.6699999999999997E-2</v>
      </c>
    </row>
    <row r="111" spans="1:22">
      <c r="A111" s="181">
        <v>100</v>
      </c>
      <c r="B111" s="170" t="s">
        <v>170</v>
      </c>
      <c r="C111" s="170" t="s">
        <v>171</v>
      </c>
      <c r="D111" s="57">
        <v>115425570.31999999</v>
      </c>
      <c r="E111" s="52">
        <f t="shared" si="52"/>
        <v>4.7797044132636573E-4</v>
      </c>
      <c r="F111" s="57">
        <v>114.150677009348</v>
      </c>
      <c r="G111" s="57">
        <v>114.150677009348</v>
      </c>
      <c r="H111" s="87">
        <v>87</v>
      </c>
      <c r="I111" s="89">
        <v>-1.9E-2</v>
      </c>
      <c r="J111" s="89">
        <v>3.39E-2</v>
      </c>
      <c r="K111" s="57">
        <v>115715247.69</v>
      </c>
      <c r="L111" s="52">
        <f t="shared" si="51"/>
        <v>4.7677833507062356E-4</v>
      </c>
      <c r="M111" s="57">
        <v>116.78</v>
      </c>
      <c r="N111" s="57">
        <v>116.78</v>
      </c>
      <c r="O111" s="87">
        <v>88</v>
      </c>
      <c r="P111" s="89">
        <v>2.3E-2</v>
      </c>
      <c r="Q111" s="89">
        <v>1E-3</v>
      </c>
      <c r="R111" s="80">
        <f t="shared" si="58"/>
        <v>2.5096464258042473E-3</v>
      </c>
      <c r="S111" s="80">
        <f t="shared" si="59"/>
        <v>2.3033792348307141E-2</v>
      </c>
      <c r="T111" s="80">
        <f t="shared" si="60"/>
        <v>1.1494252873563218E-2</v>
      </c>
      <c r="U111" s="81">
        <f t="shared" si="61"/>
        <v>4.1999999999999996E-2</v>
      </c>
      <c r="V111" s="82">
        <f t="shared" si="62"/>
        <v>-3.2899999999999999E-2</v>
      </c>
    </row>
    <row r="112" spans="1:22">
      <c r="A112" s="181">
        <v>101</v>
      </c>
      <c r="B112" s="170" t="s">
        <v>172</v>
      </c>
      <c r="C112" s="166" t="s">
        <v>125</v>
      </c>
      <c r="D112" s="57">
        <v>372353218.38</v>
      </c>
      <c r="E112" s="52">
        <f t="shared" si="52"/>
        <v>1.5418925947255501E-3</v>
      </c>
      <c r="F112" s="57">
        <v>1.38</v>
      </c>
      <c r="G112" s="57">
        <v>1.38</v>
      </c>
      <c r="H112" s="53">
        <v>755</v>
      </c>
      <c r="I112" s="75">
        <v>4.4000000000000003E-3</v>
      </c>
      <c r="J112" s="75">
        <v>1.1999999999999999E-3</v>
      </c>
      <c r="K112" s="57">
        <v>363299779.61000001</v>
      </c>
      <c r="L112" s="52">
        <f t="shared" si="51"/>
        <v>1.4968940352443217E-3</v>
      </c>
      <c r="M112" s="57">
        <v>1.35</v>
      </c>
      <c r="N112" s="57">
        <v>1.35</v>
      </c>
      <c r="O112" s="53">
        <v>773</v>
      </c>
      <c r="P112" s="75">
        <v>-1.6899999999999998E-2</v>
      </c>
      <c r="Q112" s="75">
        <v>-1.5299999999999999E-2</v>
      </c>
      <c r="R112" s="80">
        <f t="shared" si="58"/>
        <v>-2.431411445666791E-2</v>
      </c>
      <c r="S112" s="80">
        <f t="shared" si="59"/>
        <v>-2.1739130434782469E-2</v>
      </c>
      <c r="T112" s="80">
        <f t="shared" si="60"/>
        <v>2.3841059602649008E-2</v>
      </c>
      <c r="U112" s="81">
        <f t="shared" si="61"/>
        <v>-2.1299999999999999E-2</v>
      </c>
      <c r="V112" s="82">
        <f t="shared" si="62"/>
        <v>-1.6500000000000001E-2</v>
      </c>
    </row>
    <row r="113" spans="1:28">
      <c r="A113" s="188">
        <v>102</v>
      </c>
      <c r="B113" s="170" t="s">
        <v>173</v>
      </c>
      <c r="C113" s="166" t="s">
        <v>127</v>
      </c>
      <c r="D113" s="57">
        <v>2002515376.4300001</v>
      </c>
      <c r="E113" s="52">
        <f t="shared" si="52"/>
        <v>8.292297413662721E-3</v>
      </c>
      <c r="F113" s="85">
        <v>30.309200000000001</v>
      </c>
      <c r="G113" s="85">
        <v>30.309200000000001</v>
      </c>
      <c r="H113" s="53">
        <v>1310</v>
      </c>
      <c r="I113" s="75">
        <v>0.1462</v>
      </c>
      <c r="J113" s="75">
        <v>0.1462</v>
      </c>
      <c r="K113" s="57">
        <v>2062087303.21</v>
      </c>
      <c r="L113" s="52">
        <f t="shared" si="51"/>
        <v>8.4963612905069163E-3</v>
      </c>
      <c r="M113" s="85">
        <v>30.4758</v>
      </c>
      <c r="N113" s="85">
        <v>30.4758</v>
      </c>
      <c r="O113" s="53">
        <v>1313</v>
      </c>
      <c r="P113" s="75">
        <v>0.1186</v>
      </c>
      <c r="Q113" s="75">
        <v>0.1186</v>
      </c>
      <c r="R113" s="80">
        <f t="shared" si="38"/>
        <v>2.9748548990521255E-2</v>
      </c>
      <c r="S113" s="80">
        <f t="shared" si="39"/>
        <v>5.4966808757736588E-3</v>
      </c>
      <c r="T113" s="80">
        <f t="shared" si="40"/>
        <v>2.2900763358778627E-3</v>
      </c>
      <c r="U113" s="81">
        <f t="shared" si="41"/>
        <v>-2.76E-2</v>
      </c>
      <c r="V113" s="82">
        <f t="shared" si="42"/>
        <v>-2.76E-2</v>
      </c>
    </row>
    <row r="114" spans="1:28">
      <c r="A114" s="60"/>
      <c r="B114" s="61"/>
      <c r="C114" s="62" t="s">
        <v>56</v>
      </c>
      <c r="D114" s="84">
        <f>SUM(D75:D113)</f>
        <v>241491021912.76636</v>
      </c>
      <c r="E114" s="64">
        <f>(D114/$D$231)</f>
        <v>3.0970782181733603E-2</v>
      </c>
      <c r="F114" s="65"/>
      <c r="G114" s="70"/>
      <c r="H114" s="67">
        <f>SUM(H75:H113)</f>
        <v>57727</v>
      </c>
      <c r="I114" s="78"/>
      <c r="J114" s="78"/>
      <c r="K114" s="84">
        <f>SUM(K75:K113)</f>
        <v>242702403146.86172</v>
      </c>
      <c r="L114" s="64">
        <f>(K114/$K$231)</f>
        <v>3.0634133601641026E-2</v>
      </c>
      <c r="M114" s="65"/>
      <c r="N114" s="70"/>
      <c r="O114" s="67">
        <f>SUM(O75:O113)</f>
        <v>58055</v>
      </c>
      <c r="P114" s="78"/>
      <c r="Q114" s="78"/>
      <c r="R114" s="80">
        <f t="shared" si="38"/>
        <v>5.0162578488443929E-3</v>
      </c>
      <c r="S114" s="80" t="e">
        <f t="shared" si="39"/>
        <v>#DIV/0!</v>
      </c>
      <c r="T114" s="80">
        <f t="shared" si="40"/>
        <v>5.6819166074800354E-3</v>
      </c>
      <c r="U114" s="81">
        <f t="shared" si="41"/>
        <v>0</v>
      </c>
      <c r="V114" s="82">
        <f t="shared" si="42"/>
        <v>0</v>
      </c>
    </row>
    <row r="115" spans="1:28" ht="3.75" customHeight="1">
      <c r="A115" s="60"/>
      <c r="B115" s="197"/>
      <c r="C115" s="197"/>
      <c r="D115" s="197"/>
      <c r="E115" s="197"/>
      <c r="F115" s="197"/>
      <c r="G115" s="197"/>
      <c r="H115" s="197"/>
      <c r="I115" s="197"/>
      <c r="J115" s="197"/>
      <c r="K115" s="197"/>
      <c r="L115" s="197"/>
      <c r="M115" s="197"/>
      <c r="N115" s="197"/>
      <c r="O115" s="197"/>
      <c r="P115" s="197"/>
      <c r="Q115" s="197"/>
      <c r="R115" s="197"/>
      <c r="S115" s="197"/>
      <c r="T115" s="197"/>
      <c r="U115" s="197"/>
      <c r="V115" s="197"/>
    </row>
    <row r="116" spans="1:28" ht="15" customHeight="1">
      <c r="A116" s="201" t="s">
        <v>174</v>
      </c>
      <c r="B116" s="201"/>
      <c r="C116" s="201"/>
      <c r="D116" s="201"/>
      <c r="E116" s="201"/>
      <c r="F116" s="201"/>
      <c r="G116" s="201"/>
      <c r="H116" s="201"/>
      <c r="I116" s="201"/>
      <c r="J116" s="201"/>
      <c r="K116" s="201"/>
      <c r="L116" s="201"/>
      <c r="M116" s="201"/>
      <c r="N116" s="201"/>
      <c r="O116" s="201"/>
      <c r="P116" s="201"/>
      <c r="Q116" s="201"/>
      <c r="R116" s="201"/>
      <c r="S116" s="201"/>
      <c r="T116" s="201"/>
      <c r="U116" s="201"/>
      <c r="V116" s="201"/>
    </row>
    <row r="117" spans="1:28">
      <c r="A117" s="200" t="s">
        <v>175</v>
      </c>
      <c r="B117" s="200"/>
      <c r="C117" s="200"/>
      <c r="D117" s="200"/>
      <c r="E117" s="200"/>
      <c r="F117" s="200"/>
      <c r="G117" s="200"/>
      <c r="H117" s="200"/>
      <c r="I117" s="200"/>
      <c r="J117" s="200"/>
      <c r="K117" s="200"/>
      <c r="L117" s="200"/>
      <c r="M117" s="200"/>
      <c r="N117" s="200"/>
      <c r="O117" s="200"/>
      <c r="P117" s="200"/>
      <c r="Q117" s="200"/>
      <c r="R117" s="200"/>
      <c r="S117" s="200"/>
      <c r="T117" s="200"/>
      <c r="U117" s="200"/>
      <c r="V117" s="200"/>
      <c r="Z117" s="90"/>
      <c r="AB117" s="92"/>
    </row>
    <row r="118" spans="1:28" ht="16.5" customHeight="1">
      <c r="A118" s="181">
        <v>103</v>
      </c>
      <c r="B118" s="170" t="s">
        <v>176</v>
      </c>
      <c r="C118" s="166" t="s">
        <v>20</v>
      </c>
      <c r="D118" s="57">
        <v>3497871091.0799999</v>
      </c>
      <c r="E118" s="52">
        <f t="shared" ref="E118:E123" si="63">(D118/$D$156)</f>
        <v>1.7870049669080023E-3</v>
      </c>
      <c r="F118" s="57">
        <v>115.0699</v>
      </c>
      <c r="G118" s="57">
        <v>115.0699</v>
      </c>
      <c r="H118" s="53">
        <v>163</v>
      </c>
      <c r="I118" s="75">
        <v>4.0000000000000002E-4</v>
      </c>
      <c r="J118" s="75">
        <v>4.0000000000000002E-4</v>
      </c>
      <c r="K118" s="57">
        <v>3456462537.5599999</v>
      </c>
      <c r="L118" s="52">
        <f t="shared" ref="L118:L134" si="64">(K118/$K$156)</f>
        <v>1.7807049518905661E-3</v>
      </c>
      <c r="M118" s="165">
        <v>114.82170000000001</v>
      </c>
      <c r="N118" s="57">
        <v>114.82170000000001</v>
      </c>
      <c r="O118" s="53">
        <v>163</v>
      </c>
      <c r="P118" s="75">
        <v>-2.2000000000000001E-3</v>
      </c>
      <c r="Q118" s="75">
        <v>-1.8E-3</v>
      </c>
      <c r="R118" s="80">
        <f>((K118-D118)/D118)</f>
        <v>-1.1838216001040423E-2</v>
      </c>
      <c r="S118" s="80">
        <f>((N118-G118)/G118)</f>
        <v>-2.156949819196828E-3</v>
      </c>
      <c r="T118" s="80">
        <f>((O118-H118)/H118)</f>
        <v>0</v>
      </c>
      <c r="U118" s="80">
        <f>P118-I118</f>
        <v>-2.6000000000000003E-3</v>
      </c>
      <c r="V118" s="127">
        <f>Q118-J118</f>
        <v>-2.2000000000000001E-3</v>
      </c>
      <c r="X118" s="90"/>
      <c r="Y118" s="93"/>
      <c r="Z118" s="90"/>
      <c r="AA118" s="94"/>
    </row>
    <row r="119" spans="1:28" ht="16.5" customHeight="1">
      <c r="A119" s="181">
        <v>104</v>
      </c>
      <c r="B119" s="170" t="s">
        <v>177</v>
      </c>
      <c r="C119" s="166" t="s">
        <v>60</v>
      </c>
      <c r="D119" s="57">
        <v>6544936716.7855768</v>
      </c>
      <c r="E119" s="52">
        <f t="shared" si="63"/>
        <v>3.3437008158534458E-3</v>
      </c>
      <c r="F119" s="57">
        <v>143084.79</v>
      </c>
      <c r="G119" s="57">
        <v>143084.79</v>
      </c>
      <c r="H119" s="53">
        <v>99</v>
      </c>
      <c r="I119" s="75">
        <v>-6.8673999999999999E-2</v>
      </c>
      <c r="J119" s="75">
        <v>1.6900000000000001E-3</v>
      </c>
      <c r="K119" s="57">
        <f>4197973.53*W137</f>
        <v>5974419073.9589224</v>
      </c>
      <c r="L119" s="52">
        <f t="shared" si="64"/>
        <v>3.07790913804557E-3</v>
      </c>
      <c r="M119" s="57">
        <f>100.2*W137</f>
        <v>142601.37348000001</v>
      </c>
      <c r="N119" s="57">
        <f>100.2*W137</f>
        <v>142601.37348000001</v>
      </c>
      <c r="O119" s="53">
        <v>101</v>
      </c>
      <c r="P119" s="75">
        <v>2.9500000000000001E-4</v>
      </c>
      <c r="Q119" s="75">
        <v>1.9849999999999998E-3</v>
      </c>
      <c r="R119" s="81">
        <f>((K119-D119)/D119)</f>
        <v>-8.7169313855009048E-2</v>
      </c>
      <c r="S119" s="81">
        <f>((N119-G119)/G119)</f>
        <v>-3.3785318481440187E-3</v>
      </c>
      <c r="T119" s="81">
        <f>((O119-H119)/H119)</f>
        <v>2.0202020202020204E-2</v>
      </c>
      <c r="U119" s="81">
        <f>P119-I119</f>
        <v>6.8969000000000003E-2</v>
      </c>
      <c r="V119" s="82">
        <f>Q119-J119</f>
        <v>2.9499999999999969E-4</v>
      </c>
      <c r="X119" s="90"/>
      <c r="Y119" s="93"/>
      <c r="Z119" s="90"/>
      <c r="AA119" s="94"/>
    </row>
    <row r="120" spans="1:28">
      <c r="A120" s="181">
        <v>105</v>
      </c>
      <c r="B120" s="170" t="s">
        <v>178</v>
      </c>
      <c r="C120" s="166" t="s">
        <v>24</v>
      </c>
      <c r="D120" s="57">
        <v>17579416472.76186</v>
      </c>
      <c r="E120" s="52">
        <f t="shared" si="63"/>
        <v>8.9810355310922223E-3</v>
      </c>
      <c r="F120" s="57">
        <v>1758.0828147299999</v>
      </c>
      <c r="G120" s="57">
        <v>1758.0828147299999</v>
      </c>
      <c r="H120" s="53">
        <v>321</v>
      </c>
      <c r="I120" s="75">
        <v>2.12E-2</v>
      </c>
      <c r="J120" s="75">
        <v>8.1900000000000001E-2</v>
      </c>
      <c r="K120" s="57">
        <f>12302483.24*FX_RATE</f>
        <v>17508493086.214378</v>
      </c>
      <c r="L120" s="52">
        <f t="shared" si="64"/>
        <v>9.0200486769263823E-3</v>
      </c>
      <c r="M120" s="57">
        <f>1.2076*W137</f>
        <v>1718.61695224</v>
      </c>
      <c r="N120" s="57">
        <f>1.2076*W137</f>
        <v>1718.61695224</v>
      </c>
      <c r="O120" s="53">
        <v>323</v>
      </c>
      <c r="P120" s="75">
        <v>-2.1600000000000001E-2</v>
      </c>
      <c r="Q120" s="75">
        <v>1.01E-2</v>
      </c>
      <c r="R120" s="81">
        <f t="shared" ref="R120:R132" si="65">((K120-D120)/D120)</f>
        <v>-4.0344562436058452E-3</v>
      </c>
      <c r="S120" s="81">
        <f t="shared" ref="S120:S132" si="66">((N120-G120)/G120)</f>
        <v>-2.244823859225361E-2</v>
      </c>
      <c r="T120" s="81">
        <f t="shared" ref="T120:T132" si="67">((O120-H120)/H120)</f>
        <v>6.2305295950155761E-3</v>
      </c>
      <c r="U120" s="81">
        <f t="shared" ref="U120:U132" si="68">P120-I120</f>
        <v>-4.2800000000000005E-2</v>
      </c>
      <c r="V120" s="82">
        <f t="shared" ref="V120:V132" si="69">Q120-J120</f>
        <v>-7.1800000000000003E-2</v>
      </c>
    </row>
    <row r="121" spans="1:28">
      <c r="A121" s="181">
        <v>106</v>
      </c>
      <c r="B121" s="170" t="s">
        <v>179</v>
      </c>
      <c r="C121" s="166" t="s">
        <v>24</v>
      </c>
      <c r="D121" s="57">
        <v>4187437963.0436158</v>
      </c>
      <c r="E121" s="52">
        <f t="shared" si="63"/>
        <v>2.1392933712338818E-3</v>
      </c>
      <c r="F121" s="57">
        <v>1503.2488037399999</v>
      </c>
      <c r="G121" s="57">
        <v>1503.2488037399999</v>
      </c>
      <c r="H121" s="53">
        <v>103</v>
      </c>
      <c r="I121" s="75">
        <v>3.4799999999999998E-2</v>
      </c>
      <c r="J121" s="75">
        <v>5.0700000000000002E-2</v>
      </c>
      <c r="K121" s="57">
        <f>2925699.2*W137</f>
        <v>4163759723.6460805</v>
      </c>
      <c r="L121" s="52">
        <f t="shared" si="64"/>
        <v>2.14509125379183E-3</v>
      </c>
      <c r="M121" s="57">
        <f>1.0454*W137</f>
        <v>1487.7791999600001</v>
      </c>
      <c r="N121" s="57">
        <f>1.0454*W137</f>
        <v>1487.7791999600001</v>
      </c>
      <c r="O121" s="53">
        <v>103</v>
      </c>
      <c r="P121" s="75">
        <v>4.99E-2</v>
      </c>
      <c r="Q121" s="75">
        <v>3.8800000000000001E-2</v>
      </c>
      <c r="R121" s="81">
        <f t="shared" si="65"/>
        <v>-5.6545887023302733E-3</v>
      </c>
      <c r="S121" s="81">
        <f t="shared" ref="S121" si="70">((N121-G121)/G121)</f>
        <v>-1.0290780702111452E-2</v>
      </c>
      <c r="T121" s="81">
        <f t="shared" ref="T121" si="71">((O121-H121)/H121)</f>
        <v>0</v>
      </c>
      <c r="U121" s="81">
        <f t="shared" ref="U121" si="72">P121-I121</f>
        <v>1.5100000000000002E-2</v>
      </c>
      <c r="V121" s="82">
        <f t="shared" ref="V121" si="73">Q121-J121</f>
        <v>-1.1900000000000001E-2</v>
      </c>
    </row>
    <row r="122" spans="1:28">
      <c r="A122" s="181">
        <v>107</v>
      </c>
      <c r="B122" s="170" t="s">
        <v>180</v>
      </c>
      <c r="C122" s="166" t="s">
        <v>28</v>
      </c>
      <c r="D122" s="57">
        <v>49425699826.577209</v>
      </c>
      <c r="E122" s="52">
        <f t="shared" si="63"/>
        <v>2.5250779340677938E-2</v>
      </c>
      <c r="F122" s="57">
        <v>1785.4120096199999</v>
      </c>
      <c r="G122" s="57">
        <v>1785.4120096199999</v>
      </c>
      <c r="H122" s="53">
        <v>625</v>
      </c>
      <c r="I122" s="75">
        <v>0.1172</v>
      </c>
      <c r="J122" s="75">
        <v>5.9999999999999995E-4</v>
      </c>
      <c r="K122" s="57">
        <f>34869144.49*W137</f>
        <v>49624629704.057632</v>
      </c>
      <c r="L122" s="52">
        <f t="shared" si="64"/>
        <v>2.5565682511962468E-2</v>
      </c>
      <c r="M122" s="57">
        <f xml:space="preserve"> 1.235*W137</f>
        <v>1757.6117390000002</v>
      </c>
      <c r="N122" s="57">
        <f xml:space="preserve"> 1.235*W137</f>
        <v>1757.6117390000002</v>
      </c>
      <c r="O122" s="53">
        <v>645</v>
      </c>
      <c r="P122" s="75">
        <v>-1.03E-2</v>
      </c>
      <c r="Q122" s="75">
        <v>-9.7000000000000003E-3</v>
      </c>
      <c r="R122" s="81">
        <f t="shared" si="65"/>
        <v>4.0248267233123592E-3</v>
      </c>
      <c r="S122" s="81">
        <f t="shared" ref="S122:T125" si="74">((N122-G122)/G122)</f>
        <v>-1.557078728618873E-2</v>
      </c>
      <c r="T122" s="81">
        <f t="shared" si="74"/>
        <v>3.2000000000000001E-2</v>
      </c>
      <c r="U122" s="81">
        <f t="shared" si="68"/>
        <v>-0.1275</v>
      </c>
      <c r="V122" s="82">
        <f t="shared" si="69"/>
        <v>-1.03E-2</v>
      </c>
    </row>
    <row r="123" spans="1:28">
      <c r="A123" s="181">
        <v>108</v>
      </c>
      <c r="B123" s="170" t="s">
        <v>181</v>
      </c>
      <c r="C123" s="166" t="s">
        <v>69</v>
      </c>
      <c r="D123" s="57">
        <v>1446329888.905185</v>
      </c>
      <c r="E123" s="52">
        <f t="shared" si="63"/>
        <v>7.3890621694210176E-4</v>
      </c>
      <c r="F123" s="57">
        <v>1628.3049101999998</v>
      </c>
      <c r="G123" s="57">
        <v>1631.1666059999998</v>
      </c>
      <c r="H123" s="53">
        <v>63</v>
      </c>
      <c r="I123" s="75">
        <v>9.0000000000000006E-5</v>
      </c>
      <c r="J123" s="75">
        <v>0.13089999999999999</v>
      </c>
      <c r="K123" s="57">
        <f>1030644.94*W137</f>
        <v>1466780279.5829561</v>
      </c>
      <c r="L123" s="52">
        <f t="shared" si="64"/>
        <v>7.5565780875860562E-4</v>
      </c>
      <c r="M123" s="57">
        <f>1.0817*W137</f>
        <v>1539.4401765800003</v>
      </c>
      <c r="N123" s="57">
        <f>1.09*W137</f>
        <v>1551.2524660000001</v>
      </c>
      <c r="O123" s="53">
        <v>65</v>
      </c>
      <c r="P123" s="75">
        <v>-1.8400000000000001E-3</v>
      </c>
      <c r="Q123" s="75">
        <v>0.30380000000000001</v>
      </c>
      <c r="R123" s="81">
        <f t="shared" si="65"/>
        <v>1.4139506370328304E-2</v>
      </c>
      <c r="S123" s="81">
        <f t="shared" si="74"/>
        <v>-4.8992015718104791E-2</v>
      </c>
      <c r="T123" s="81">
        <f t="shared" si="74"/>
        <v>3.1746031746031744E-2</v>
      </c>
      <c r="U123" s="81">
        <f t="shared" si="68"/>
        <v>-1.9300000000000001E-3</v>
      </c>
      <c r="V123" s="82">
        <f t="shared" si="69"/>
        <v>0.17290000000000003</v>
      </c>
    </row>
    <row r="124" spans="1:28">
      <c r="A124" s="181">
        <v>109</v>
      </c>
      <c r="B124" s="170" t="s">
        <v>182</v>
      </c>
      <c r="C124" s="166" t="s">
        <v>30</v>
      </c>
      <c r="D124" s="57">
        <v>758561910.83858705</v>
      </c>
      <c r="E124" s="52">
        <v>0</v>
      </c>
      <c r="F124" s="57">
        <v>2021.0726587500001</v>
      </c>
      <c r="G124" s="57">
        <v>2021.0726587500001</v>
      </c>
      <c r="H124" s="53">
        <v>67</v>
      </c>
      <c r="I124" s="75">
        <v>4.0000000000000002E-4</v>
      </c>
      <c r="J124" s="75">
        <v>0.16139999999999999</v>
      </c>
      <c r="K124" s="57">
        <f>519112.35*W137</f>
        <v>738783773.45738995</v>
      </c>
      <c r="L124" s="52">
        <f t="shared" si="64"/>
        <v>3.8060760372095776E-4</v>
      </c>
      <c r="M124" s="57">
        <f>1.4166*W137</f>
        <v>2016.0589388400001</v>
      </c>
      <c r="N124" s="57">
        <f>1.4166*W137</f>
        <v>2016.0589388400001</v>
      </c>
      <c r="O124" s="53">
        <v>68</v>
      </c>
      <c r="P124" s="75">
        <v>4.2400000000000001E-4</v>
      </c>
      <c r="Q124" s="75">
        <v>4.0000000000000002E-4</v>
      </c>
      <c r="R124" s="81">
        <f t="shared" si="65"/>
        <v>-2.6073201275466688E-2</v>
      </c>
      <c r="S124" s="81">
        <f t="shared" si="74"/>
        <v>-2.4807222483039606E-3</v>
      </c>
      <c r="T124" s="81">
        <f t="shared" si="74"/>
        <v>1.4925373134328358E-2</v>
      </c>
      <c r="U124" s="81">
        <f t="shared" si="68"/>
        <v>2.3999999999999987E-5</v>
      </c>
      <c r="V124" s="82">
        <f t="shared" si="69"/>
        <v>-0.16099999999999998</v>
      </c>
    </row>
    <row r="125" spans="1:28">
      <c r="A125" s="181">
        <v>110</v>
      </c>
      <c r="B125" s="170" t="s">
        <v>183</v>
      </c>
      <c r="C125" s="166" t="s">
        <v>79</v>
      </c>
      <c r="D125" s="57">
        <v>2032567675.8327088</v>
      </c>
      <c r="E125" s="52">
        <f t="shared" ref="E125:E134" si="75">(D125/$D$156)</f>
        <v>1.0384054865693255E-3</v>
      </c>
      <c r="F125" s="57">
        <v>156735.078966</v>
      </c>
      <c r="G125" s="57">
        <v>157708.05553799999</v>
      </c>
      <c r="H125" s="53">
        <v>84</v>
      </c>
      <c r="I125" s="75">
        <v>-2.0999999999999999E-3</v>
      </c>
      <c r="J125" s="75">
        <v>2.0000000000000001E-4</v>
      </c>
      <c r="K125" s="57">
        <f>1387571.37*W137</f>
        <v>1974746338.9573383</v>
      </c>
      <c r="L125" s="52">
        <f>(K125/$K$156)</f>
        <v>1.0173524365727506E-3</v>
      </c>
      <c r="M125" s="57">
        <f>107*W137</f>
        <v>152278.9118</v>
      </c>
      <c r="N125" s="57">
        <f>107.01*W137</f>
        <v>152293.14347400001</v>
      </c>
      <c r="O125" s="53">
        <v>84</v>
      </c>
      <c r="P125" s="75">
        <v>2.0000000000000001E-4</v>
      </c>
      <c r="Q125" s="75">
        <v>5.0000000000000001E-4</v>
      </c>
      <c r="R125" s="81">
        <f t="shared" si="65"/>
        <v>-2.8447435016736685E-2</v>
      </c>
      <c r="S125" s="81">
        <f t="shared" si="74"/>
        <v>-3.4335037899793544E-2</v>
      </c>
      <c r="T125" s="81">
        <f t="shared" si="74"/>
        <v>0</v>
      </c>
      <c r="U125" s="81">
        <f t="shared" si="68"/>
        <v>2.3E-3</v>
      </c>
      <c r="V125" s="82">
        <f t="shared" si="69"/>
        <v>3.0000000000000003E-4</v>
      </c>
    </row>
    <row r="126" spans="1:28">
      <c r="A126" s="181">
        <v>111</v>
      </c>
      <c r="B126" s="170" t="s">
        <v>184</v>
      </c>
      <c r="C126" s="166" t="s">
        <v>82</v>
      </c>
      <c r="D126" s="57">
        <v>4994155670.3099995</v>
      </c>
      <c r="E126" s="52">
        <f t="shared" si="75"/>
        <v>2.5514322157596109E-3</v>
      </c>
      <c r="F126" s="57">
        <v>1655.2377000000001</v>
      </c>
      <c r="G126" s="57">
        <v>1655.2377000000001</v>
      </c>
      <c r="H126" s="53">
        <v>62</v>
      </c>
      <c r="I126" s="75">
        <v>8.9999999999999993E-3</v>
      </c>
      <c r="J126" s="75">
        <v>6.6896999999999998E-2</v>
      </c>
      <c r="K126" s="57">
        <v>4996545217.1300001</v>
      </c>
      <c r="L126" s="52">
        <f t="shared" si="64"/>
        <v>2.5741267882421156E-3</v>
      </c>
      <c r="M126" s="57">
        <v>1675</v>
      </c>
      <c r="N126" s="57">
        <v>1675</v>
      </c>
      <c r="O126" s="53">
        <v>64</v>
      </c>
      <c r="P126" s="75">
        <v>8.9999999999999993E-3</v>
      </c>
      <c r="Q126" s="75">
        <v>6.6799999999999998E-2</v>
      </c>
      <c r="R126" s="81">
        <f t="shared" si="65"/>
        <v>4.7846862968376863E-4</v>
      </c>
      <c r="S126" s="81">
        <f t="shared" si="66"/>
        <v>1.1939251987795992E-2</v>
      </c>
      <c r="T126" s="81">
        <f t="shared" si="67"/>
        <v>3.2258064516129031E-2</v>
      </c>
      <c r="U126" s="81">
        <f t="shared" si="68"/>
        <v>0</v>
      </c>
      <c r="V126" s="82">
        <f t="shared" si="69"/>
        <v>-9.6999999999999864E-5</v>
      </c>
      <c r="X126" s="91"/>
    </row>
    <row r="127" spans="1:28">
      <c r="A127" s="181">
        <v>112</v>
      </c>
      <c r="B127" s="170" t="s">
        <v>185</v>
      </c>
      <c r="C127" s="166" t="s">
        <v>32</v>
      </c>
      <c r="D127" s="57">
        <v>57498526436.660019</v>
      </c>
      <c r="E127" s="52">
        <f t="shared" si="75"/>
        <v>2.9375054041936542E-2</v>
      </c>
      <c r="F127" s="57">
        <v>183034.063368</v>
      </c>
      <c r="G127" s="57">
        <v>183034.063368</v>
      </c>
      <c r="H127" s="53">
        <v>2549</v>
      </c>
      <c r="I127" s="75">
        <v>1.6000000000000001E-3</v>
      </c>
      <c r="J127" s="75">
        <v>2.0000000000000001E-4</v>
      </c>
      <c r="K127" s="57">
        <f>38156988.05 *W137</f>
        <v>54303781474.94957</v>
      </c>
      <c r="L127" s="52">
        <f t="shared" si="64"/>
        <v>2.7976294123843753E-2</v>
      </c>
      <c r="M127" s="57">
        <f>128.11*W137</f>
        <v>182321.97561400002</v>
      </c>
      <c r="N127" s="57">
        <f>128.11*W137</f>
        <v>182321.97561400002</v>
      </c>
      <c r="O127" s="53">
        <v>2545</v>
      </c>
      <c r="P127" s="75">
        <v>-1.5E-3</v>
      </c>
      <c r="Q127" s="75">
        <v>1.6999999999999999E-3</v>
      </c>
      <c r="R127" s="81">
        <f t="shared" si="65"/>
        <v>-5.55622058459143E-2</v>
      </c>
      <c r="S127" s="81">
        <f t="shared" si="66"/>
        <v>-3.890465746631472E-3</v>
      </c>
      <c r="T127" s="81">
        <f t="shared" si="67"/>
        <v>-1.569242840329541E-3</v>
      </c>
      <c r="U127" s="81">
        <f t="shared" si="68"/>
        <v>-3.1000000000000003E-3</v>
      </c>
      <c r="V127" s="82">
        <f t="shared" si="69"/>
        <v>1.4999999999999998E-3</v>
      </c>
    </row>
    <row r="128" spans="1:28">
      <c r="A128" s="181">
        <v>113</v>
      </c>
      <c r="B128" s="171" t="s">
        <v>186</v>
      </c>
      <c r="C128" s="171" t="s">
        <v>32</v>
      </c>
      <c r="D128" s="57">
        <v>161649424206.09897</v>
      </c>
      <c r="E128" s="52">
        <f t="shared" si="75"/>
        <v>8.2584039386347646E-2</v>
      </c>
      <c r="F128" s="57">
        <v>178441.04160899998</v>
      </c>
      <c r="G128" s="57">
        <v>178441.04160899998</v>
      </c>
      <c r="H128" s="53">
        <v>980</v>
      </c>
      <c r="I128" s="75">
        <v>1.4E-3</v>
      </c>
      <c r="J128" s="75">
        <v>2.0000000000000001E-4</v>
      </c>
      <c r="K128" s="57">
        <f>110282339.34*W137</f>
        <v>156950230144.42554</v>
      </c>
      <c r="L128" s="52">
        <f t="shared" si="64"/>
        <v>8.0857827614655903E-2</v>
      </c>
      <c r="M128" s="57">
        <f>124.89*W137</f>
        <v>177739.376586</v>
      </c>
      <c r="N128" s="57">
        <f>124.89*W137</f>
        <v>177739.376586</v>
      </c>
      <c r="O128" s="53">
        <v>980</v>
      </c>
      <c r="P128" s="75">
        <v>-1.4E-3</v>
      </c>
      <c r="Q128" s="75">
        <v>1.6999999999999999E-3</v>
      </c>
      <c r="R128" s="81">
        <f t="shared" si="65"/>
        <v>-2.9070280236087181E-2</v>
      </c>
      <c r="S128" s="81">
        <f t="shared" si="66"/>
        <v>-3.932195287995841E-3</v>
      </c>
      <c r="T128" s="81">
        <f t="shared" si="67"/>
        <v>0</v>
      </c>
      <c r="U128" s="81">
        <f t="shared" si="68"/>
        <v>-2.8E-3</v>
      </c>
      <c r="V128" s="82">
        <f t="shared" si="69"/>
        <v>1.4999999999999998E-3</v>
      </c>
      <c r="X128" s="90"/>
    </row>
    <row r="129" spans="1:25">
      <c r="A129" s="181">
        <v>114</v>
      </c>
      <c r="B129" s="170" t="s">
        <v>187</v>
      </c>
      <c r="C129" s="166" t="s">
        <v>88</v>
      </c>
      <c r="D129" s="57">
        <v>2323792741.9414678</v>
      </c>
      <c r="E129" s="52">
        <f t="shared" si="75"/>
        <v>1.187187596050604E-3</v>
      </c>
      <c r="F129" s="57">
        <v>1430.8479</v>
      </c>
      <c r="G129" s="57">
        <v>1430.8479</v>
      </c>
      <c r="H129" s="53">
        <v>16</v>
      </c>
      <c r="I129" s="75">
        <v>8.2699999999999996E-2</v>
      </c>
      <c r="J129" s="75">
        <v>8.2699999999999996E-2</v>
      </c>
      <c r="K129" s="57">
        <f>1623713.39*W137</f>
        <v>2310815963.591486</v>
      </c>
      <c r="L129" s="52">
        <f t="shared" si="64"/>
        <v>1.1904892312762988E-3</v>
      </c>
      <c r="M129" s="57">
        <f>1*W137</f>
        <v>1423.1674</v>
      </c>
      <c r="N129" s="57">
        <f>1*W137</f>
        <v>1423.1674</v>
      </c>
      <c r="O129" s="53">
        <v>16</v>
      </c>
      <c r="P129" s="75">
        <v>8.2600000000000007E-2</v>
      </c>
      <c r="Q129" s="75">
        <v>8.2600000000000007E-2</v>
      </c>
      <c r="R129" s="81">
        <f t="shared" ref="R129" si="76">((K129-D129)/D129)</f>
        <v>-5.5843097001585552E-3</v>
      </c>
      <c r="S129" s="81">
        <f t="shared" ref="S129" si="77">((N129-G129)/G129)</f>
        <v>-5.3677962556327183E-3</v>
      </c>
      <c r="T129" s="81">
        <f t="shared" si="67"/>
        <v>0</v>
      </c>
      <c r="U129" s="81">
        <f t="shared" si="68"/>
        <v>-9.9999999999988987E-5</v>
      </c>
      <c r="V129" s="82">
        <f t="shared" si="69"/>
        <v>-9.9999999999988987E-5</v>
      </c>
    </row>
    <row r="130" spans="1:25">
      <c r="A130" s="181">
        <v>115</v>
      </c>
      <c r="B130" s="170" t="s">
        <v>188</v>
      </c>
      <c r="C130" s="166" t="s">
        <v>36</v>
      </c>
      <c r="D130" s="57">
        <v>259195221.65306017</v>
      </c>
      <c r="E130" s="52">
        <f t="shared" si="75"/>
        <v>1.3241858731558544E-4</v>
      </c>
      <c r="F130" s="57">
        <v>193327.58316060001</v>
      </c>
      <c r="G130" s="57">
        <v>193327.58316060001</v>
      </c>
      <c r="H130" s="53">
        <v>10</v>
      </c>
      <c r="I130" s="75">
        <v>1.8E-3</v>
      </c>
      <c r="J130" s="75">
        <v>0.19170000000000001</v>
      </c>
      <c r="K130" s="57">
        <f>181827.4589*W137</f>
        <v>258770911.93131986</v>
      </c>
      <c r="L130" s="52">
        <f t="shared" si="64"/>
        <v>1.3331394142828608E-4</v>
      </c>
      <c r="M130" s="57">
        <f>135.6208*W137</f>
        <v>193011.10132192</v>
      </c>
      <c r="N130" s="57">
        <f>135.6208*W137</f>
        <v>193011.10132192</v>
      </c>
      <c r="O130" s="53">
        <v>10</v>
      </c>
      <c r="P130" s="75">
        <v>2E-3</v>
      </c>
      <c r="Q130" s="75">
        <v>0.1961</v>
      </c>
      <c r="R130" s="81">
        <f t="shared" si="65"/>
        <v>-1.6370275618284951E-3</v>
      </c>
      <c r="S130" s="81">
        <f t="shared" si="66"/>
        <v>-1.6370237164611526E-3</v>
      </c>
      <c r="T130" s="81">
        <f t="shared" si="67"/>
        <v>0</v>
      </c>
      <c r="U130" s="81">
        <f t="shared" si="68"/>
        <v>2.0000000000000009E-4</v>
      </c>
      <c r="V130" s="82">
        <f t="shared" si="69"/>
        <v>4.3999999999999873E-3</v>
      </c>
    </row>
    <row r="131" spans="1:25">
      <c r="A131" s="181">
        <v>116</v>
      </c>
      <c r="B131" s="170" t="s">
        <v>189</v>
      </c>
      <c r="C131" s="166" t="s">
        <v>42</v>
      </c>
      <c r="D131" s="57">
        <v>14565648784.335875</v>
      </c>
      <c r="E131" s="52">
        <f t="shared" si="75"/>
        <v>7.4413510521364164E-3</v>
      </c>
      <c r="F131" s="57">
        <v>2117.654892</v>
      </c>
      <c r="G131" s="57">
        <v>2131.9633709999998</v>
      </c>
      <c r="H131" s="71">
        <v>111</v>
      </c>
      <c r="I131" s="78">
        <v>2.1600000000000001E-2</v>
      </c>
      <c r="J131" s="78">
        <v>5.3900000000000003E-2</v>
      </c>
      <c r="K131" s="57">
        <f xml:space="preserve"> 10228677.64*W137</f>
        <v>14557120562.356937</v>
      </c>
      <c r="L131" s="52">
        <f t="shared" si="64"/>
        <v>7.4995566678283457E-3</v>
      </c>
      <c r="M131" s="57">
        <f>1.48*W137</f>
        <v>2106.2877520000002</v>
      </c>
      <c r="N131" s="57">
        <f>1.48*W137</f>
        <v>2106.2877520000002</v>
      </c>
      <c r="O131" s="71">
        <v>112</v>
      </c>
      <c r="P131" s="78">
        <v>1.84E-2</v>
      </c>
      <c r="Q131" s="78">
        <v>-0.1166</v>
      </c>
      <c r="R131" s="81">
        <f t="shared" si="65"/>
        <v>-5.8550237653049353E-4</v>
      </c>
      <c r="S131" s="81">
        <f t="shared" si="66"/>
        <v>-1.2043180173380026E-2</v>
      </c>
      <c r="T131" s="81">
        <f t="shared" si="67"/>
        <v>9.0090090090090089E-3</v>
      </c>
      <c r="U131" s="81">
        <f t="shared" si="68"/>
        <v>-3.2000000000000015E-3</v>
      </c>
      <c r="V131" s="82">
        <f t="shared" si="69"/>
        <v>-0.17049999999999998</v>
      </c>
    </row>
    <row r="132" spans="1:25">
      <c r="A132" s="181">
        <v>117</v>
      </c>
      <c r="B132" s="170" t="s">
        <v>190</v>
      </c>
      <c r="C132" s="166" t="s">
        <v>104</v>
      </c>
      <c r="D132" s="57">
        <v>38616309772.838997</v>
      </c>
      <c r="E132" s="52">
        <f t="shared" si="75"/>
        <v>1.972843926229843E-2</v>
      </c>
      <c r="F132" s="57">
        <v>148793.87312099998</v>
      </c>
      <c r="G132" s="57">
        <v>148793.87312099998</v>
      </c>
      <c r="H132" s="53">
        <v>840</v>
      </c>
      <c r="I132" s="78">
        <v>3.7100000000000001E-2</v>
      </c>
      <c r="J132" s="75">
        <v>0.1313</v>
      </c>
      <c r="K132" s="57">
        <f>27705394*W137</f>
        <v>39429413544.955605</v>
      </c>
      <c r="L132" s="52">
        <f t="shared" si="64"/>
        <v>2.0313297536621894E-2</v>
      </c>
      <c r="M132" s="57">
        <f>103.59*W137</f>
        <v>147425.910966</v>
      </c>
      <c r="N132" s="57">
        <f>103.59*W137</f>
        <v>147425.910966</v>
      </c>
      <c r="O132" s="53">
        <v>844</v>
      </c>
      <c r="P132" s="78">
        <v>-3.8E-3</v>
      </c>
      <c r="Q132" s="75">
        <v>-0.1895</v>
      </c>
      <c r="R132" s="81">
        <f t="shared" si="65"/>
        <v>2.1055967721921188E-2</v>
      </c>
      <c r="S132" s="81">
        <f t="shared" si="66"/>
        <v>-9.1936726042983787E-3</v>
      </c>
      <c r="T132" s="81">
        <f t="shared" si="67"/>
        <v>4.7619047619047623E-3</v>
      </c>
      <c r="U132" s="81">
        <f t="shared" si="68"/>
        <v>-4.0899999999999999E-2</v>
      </c>
      <c r="V132" s="82">
        <f t="shared" si="69"/>
        <v>-0.32079999999999997</v>
      </c>
    </row>
    <row r="133" spans="1:25">
      <c r="A133" s="181">
        <v>118</v>
      </c>
      <c r="B133" s="170" t="s">
        <v>191</v>
      </c>
      <c r="C133" s="166" t="s">
        <v>46</v>
      </c>
      <c r="D133" s="57">
        <v>2766871806.9579992</v>
      </c>
      <c r="E133" s="52">
        <f t="shared" si="75"/>
        <v>1.4135494228019222E-3</v>
      </c>
      <c r="F133" s="57">
        <v>220622.43770099999</v>
      </c>
      <c r="G133" s="57">
        <v>229465.07772299999</v>
      </c>
      <c r="H133" s="53">
        <v>48</v>
      </c>
      <c r="I133" s="75">
        <v>0.12640000000000001</v>
      </c>
      <c r="J133" s="75">
        <v>0.12770000000000001</v>
      </c>
      <c r="K133" s="57">
        <f>2080020.42*W137</f>
        <v>2960217253.0783081</v>
      </c>
      <c r="L133" s="52">
        <f t="shared" si="64"/>
        <v>1.5250486484223698E-3</v>
      </c>
      <c r="M133" s="57">
        <f>165.37*W137</f>
        <v>235349.19293800002</v>
      </c>
      <c r="N133" s="57">
        <f>171.59*W137</f>
        <v>244201.29416600001</v>
      </c>
      <c r="O133" s="53">
        <v>48</v>
      </c>
      <c r="P133" s="75">
        <v>7.0499999999999993E-2</v>
      </c>
      <c r="Q133" s="75">
        <v>7.1199999999999999E-2</v>
      </c>
      <c r="R133" s="81">
        <f t="shared" ref="R133:R134" si="78">((K133-D133)/D133)</f>
        <v>6.987871488447453E-2</v>
      </c>
      <c r="S133" s="81">
        <f t="shared" ref="S133:S134" si="79">((N133-G133)/G133)</f>
        <v>6.4219865563983181E-2</v>
      </c>
      <c r="T133" s="81">
        <f t="shared" ref="T133:T134" si="80">((O133-H133)/H133)</f>
        <v>0</v>
      </c>
      <c r="U133" s="81">
        <f t="shared" ref="U133:U134" si="81">P133-I133</f>
        <v>-5.5900000000000019E-2</v>
      </c>
      <c r="V133" s="82">
        <f t="shared" ref="V133:V134" si="82">Q133-J133</f>
        <v>-5.6500000000000009E-2</v>
      </c>
    </row>
    <row r="134" spans="1:25">
      <c r="A134" s="182">
        <v>119</v>
      </c>
      <c r="B134" s="183" t="s">
        <v>192</v>
      </c>
      <c r="C134" s="166" t="s">
        <v>53</v>
      </c>
      <c r="D134" s="51">
        <v>159993732019.18231</v>
      </c>
      <c r="E134" s="52">
        <f t="shared" si="75"/>
        <v>8.1738173405398268E-2</v>
      </c>
      <c r="F134" s="57">
        <v>179007.33562500001</v>
      </c>
      <c r="G134" s="57">
        <v>179007.33562500001</v>
      </c>
      <c r="H134" s="53">
        <v>4139</v>
      </c>
      <c r="I134" s="75">
        <v>1E-3</v>
      </c>
      <c r="J134" s="75">
        <v>6.13E-2</v>
      </c>
      <c r="K134" s="51">
        <f>111709845.06*1426</f>
        <v>159298239055.56</v>
      </c>
      <c r="L134" s="52">
        <f t="shared" si="64"/>
        <v>8.2067477957949317E-2</v>
      </c>
      <c r="M134" s="57">
        <f>124.9501*1426</f>
        <v>178178.8426</v>
      </c>
      <c r="N134" s="57">
        <f>124.9501*1426</f>
        <v>178178.8426</v>
      </c>
      <c r="O134" s="53">
        <v>4159</v>
      </c>
      <c r="P134" s="75">
        <v>1.1000000000000001E-3</v>
      </c>
      <c r="Q134" s="75">
        <v>5.96E-2</v>
      </c>
      <c r="R134" s="81">
        <f t="shared" si="78"/>
        <v>-4.3470013158948559E-3</v>
      </c>
      <c r="S134" s="81">
        <f t="shared" si="79"/>
        <v>-4.6282629821137724E-3</v>
      </c>
      <c r="T134" s="81">
        <f t="shared" si="80"/>
        <v>4.8320850446967869E-3</v>
      </c>
      <c r="U134" s="81">
        <f t="shared" si="81"/>
        <v>1.0000000000000005E-4</v>
      </c>
      <c r="V134" s="82">
        <f t="shared" si="82"/>
        <v>-1.7000000000000001E-3</v>
      </c>
    </row>
    <row r="135" spans="1:25" ht="6" customHeight="1">
      <c r="A135" s="95"/>
      <c r="B135" s="197"/>
      <c r="C135" s="197"/>
      <c r="D135" s="197"/>
      <c r="E135" s="197"/>
      <c r="F135" s="197"/>
      <c r="G135" s="197"/>
      <c r="H135" s="197"/>
      <c r="I135" s="197"/>
      <c r="J135" s="197"/>
      <c r="K135" s="197"/>
      <c r="L135" s="197"/>
      <c r="M135" s="197"/>
      <c r="N135" s="197"/>
      <c r="O135" s="197"/>
      <c r="P135" s="197"/>
      <c r="Q135" s="197"/>
      <c r="R135" s="197"/>
      <c r="S135" s="197"/>
      <c r="T135" s="197"/>
      <c r="U135" s="197"/>
      <c r="V135" s="197"/>
    </row>
    <row r="136" spans="1:25">
      <c r="A136" s="200" t="s">
        <v>193</v>
      </c>
      <c r="B136" s="200"/>
      <c r="C136" s="200"/>
      <c r="D136" s="200"/>
      <c r="E136" s="200"/>
      <c r="F136" s="200"/>
      <c r="G136" s="200"/>
      <c r="H136" s="200"/>
      <c r="I136" s="200"/>
      <c r="J136" s="200"/>
      <c r="K136" s="200"/>
      <c r="L136" s="200"/>
      <c r="M136" s="200"/>
      <c r="N136" s="200"/>
      <c r="O136" s="200"/>
      <c r="P136" s="200"/>
      <c r="Q136" s="200"/>
      <c r="R136" s="200"/>
      <c r="S136" s="200"/>
      <c r="T136" s="200"/>
      <c r="U136" s="200"/>
      <c r="V136" s="200"/>
    </row>
    <row r="137" spans="1:25">
      <c r="A137" s="181">
        <v>120</v>
      </c>
      <c r="B137" s="170" t="s">
        <v>194</v>
      </c>
      <c r="C137" s="166" t="s">
        <v>64</v>
      </c>
      <c r="D137" s="51">
        <v>1587668429.2025878</v>
      </c>
      <c r="E137" s="52">
        <f>(D137/$D$156)</f>
        <v>8.1111375888699418E-4</v>
      </c>
      <c r="F137" s="57">
        <v>174348.81661499999</v>
      </c>
      <c r="G137" s="57">
        <v>174348.81661499999</v>
      </c>
      <c r="H137" s="53">
        <v>23</v>
      </c>
      <c r="I137" s="75">
        <v>1.1599999999999999E-2</v>
      </c>
      <c r="J137" s="75">
        <v>7.7799999999999994E-2</v>
      </c>
      <c r="K137" s="51">
        <f>1084891.6*W137</f>
        <v>1543982357.6538401</v>
      </c>
      <c r="L137" s="52">
        <f t="shared" ref="L137:L154" si="83">(K137/$K$156)</f>
        <v>7.9543087767608661E-4</v>
      </c>
      <c r="M137" s="57">
        <f>121.83*W137</f>
        <v>173384.48434200001</v>
      </c>
      <c r="N137" s="57">
        <f>121.83*W137</f>
        <v>173384.48434200001</v>
      </c>
      <c r="O137" s="53">
        <v>23</v>
      </c>
      <c r="P137" s="75">
        <v>-6.1999999999999998E-3</v>
      </c>
      <c r="Q137" s="75">
        <v>1.34E-2</v>
      </c>
      <c r="R137" s="81">
        <f>((K137-D137)/D137)</f>
        <v>-2.7515865873008045E-2</v>
      </c>
      <c r="S137" s="81">
        <f>((N137-G137)/G137)</f>
        <v>-5.5310514388487823E-3</v>
      </c>
      <c r="T137" s="81">
        <f>((O137-H137)/H137)</f>
        <v>0</v>
      </c>
      <c r="U137" s="81">
        <f>P137-I137</f>
        <v>-1.78E-2</v>
      </c>
      <c r="V137" s="82">
        <f>Q137-J137</f>
        <v>-6.4399999999999999E-2</v>
      </c>
      <c r="W137" s="102">
        <v>1423.1674</v>
      </c>
      <c r="Y137" s="142"/>
    </row>
    <row r="138" spans="1:25">
      <c r="A138" s="181">
        <v>121</v>
      </c>
      <c r="B138" s="166" t="s">
        <v>195</v>
      </c>
      <c r="C138" s="166" t="s">
        <v>26</v>
      </c>
      <c r="D138" s="57">
        <v>26765645686.20232</v>
      </c>
      <c r="E138" s="52">
        <f t="shared" ref="E138:E155" si="84">(D138/$D$156)</f>
        <v>1.3674129359917388E-2</v>
      </c>
      <c r="F138" s="51">
        <v>194108.826114</v>
      </c>
      <c r="G138" s="51">
        <v>194108.826114</v>
      </c>
      <c r="H138" s="53">
        <v>652</v>
      </c>
      <c r="I138" s="75">
        <v>5.0000000000000001E-4</v>
      </c>
      <c r="J138" s="75">
        <v>2.9999999999999997E-4</v>
      </c>
      <c r="K138" s="57">
        <f>18140005.22*W137</f>
        <v>25816264064.933826</v>
      </c>
      <c r="L138" s="52">
        <f t="shared" si="83"/>
        <v>1.3300057142292734E-2</v>
      </c>
      <c r="M138" s="51">
        <f>135.78*W137</f>
        <v>193237.66957200001</v>
      </c>
      <c r="N138" s="51">
        <f>135.78*W137</f>
        <v>193237.66957200001</v>
      </c>
      <c r="O138" s="53">
        <v>654</v>
      </c>
      <c r="P138" s="75">
        <v>5.0000000000000001E-4</v>
      </c>
      <c r="Q138" s="75">
        <v>1.1999999999999999E-3</v>
      </c>
      <c r="R138" s="81">
        <f t="shared" ref="R138:R156" si="85">((K138-D138)/D138)</f>
        <v>-3.5470155751105216E-2</v>
      </c>
      <c r="S138" s="81">
        <f t="shared" ref="S138:S156" si="86">((N138-G138)/G138)</f>
        <v>-4.4879800647928949E-3</v>
      </c>
      <c r="T138" s="81">
        <f t="shared" ref="T138:T156" si="87">((O138-H138)/H138)</f>
        <v>3.0674846625766872E-3</v>
      </c>
      <c r="U138" s="81">
        <f t="shared" ref="U138:U156" si="88">P138-I138</f>
        <v>0</v>
      </c>
      <c r="V138" s="82">
        <f t="shared" ref="V138:V156" si="89">Q138-J138</f>
        <v>8.9999999999999998E-4</v>
      </c>
    </row>
    <row r="139" spans="1:25">
      <c r="A139" s="181">
        <v>122</v>
      </c>
      <c r="B139" s="166" t="s">
        <v>196</v>
      </c>
      <c r="C139" s="166" t="s">
        <v>137</v>
      </c>
      <c r="D139" s="57">
        <v>389412052.51252502</v>
      </c>
      <c r="E139" s="52">
        <f t="shared" si="84"/>
        <v>1.9894423033150208E-4</v>
      </c>
      <c r="F139" s="51">
        <v>143084.79</v>
      </c>
      <c r="G139" s="51">
        <v>143084.79</v>
      </c>
      <c r="H139" s="53">
        <v>16</v>
      </c>
      <c r="I139" s="75">
        <v>6.4000000000000003E-3</v>
      </c>
      <c r="J139" s="75">
        <v>6.4000000000000003E-3</v>
      </c>
      <c r="K139" s="57">
        <f>272529.386117225*W137</f>
        <v>387854937.86404717</v>
      </c>
      <c r="L139" s="52">
        <f t="shared" si="83"/>
        <v>1.9981562101849563E-4</v>
      </c>
      <c r="M139" s="51">
        <f>100*W137</f>
        <v>142316.74</v>
      </c>
      <c r="N139" s="51">
        <f>100*W137</f>
        <v>142316.74</v>
      </c>
      <c r="O139" s="53">
        <v>17</v>
      </c>
      <c r="P139" s="75">
        <v>-2.3E-3</v>
      </c>
      <c r="Q139" s="75">
        <v>-2.3E-3</v>
      </c>
      <c r="R139" s="81">
        <v>0</v>
      </c>
      <c r="S139" s="81">
        <f t="shared" ref="S139" si="90">((N139-G139)/G139)</f>
        <v>-5.3677962556328831E-3</v>
      </c>
      <c r="T139" s="81">
        <f t="shared" ref="T139" si="91">((O139-H139)/H139)</f>
        <v>6.25E-2</v>
      </c>
      <c r="U139" s="81">
        <f t="shared" ref="U139" si="92">P139-I139</f>
        <v>-8.6999999999999994E-3</v>
      </c>
      <c r="V139" s="82">
        <f t="shared" ref="V139" si="93">Q139-J139</f>
        <v>-8.6999999999999994E-3</v>
      </c>
    </row>
    <row r="140" spans="1:25">
      <c r="A140" s="182">
        <v>123</v>
      </c>
      <c r="B140" s="183" t="s">
        <v>197</v>
      </c>
      <c r="C140" s="166" t="s">
        <v>73</v>
      </c>
      <c r="D140" s="51">
        <v>17504044517.049999</v>
      </c>
      <c r="E140" s="52">
        <f t="shared" si="84"/>
        <v>8.9425292352009467E-3</v>
      </c>
      <c r="F140" s="51">
        <v>170635.85</v>
      </c>
      <c r="G140" s="51">
        <v>170635.85</v>
      </c>
      <c r="H140" s="53">
        <v>456</v>
      </c>
      <c r="I140" s="75">
        <v>1.6000000000000001E-3</v>
      </c>
      <c r="J140" s="75">
        <v>6.7400000000000002E-2</v>
      </c>
      <c r="K140" s="51">
        <v>17550983367.049999</v>
      </c>
      <c r="L140" s="52">
        <f t="shared" ref="L140:L141" si="94">(K140/$K$114)</f>
        <v>7.2314831412813488E-2</v>
      </c>
      <c r="M140" s="51">
        <v>170836.75</v>
      </c>
      <c r="N140" s="51">
        <v>170836.75</v>
      </c>
      <c r="O140" s="53">
        <v>455</v>
      </c>
      <c r="P140" s="75">
        <v>1.1999999999999999E-3</v>
      </c>
      <c r="Q140" s="75">
        <v>6.7400000000000002E-2</v>
      </c>
      <c r="R140" s="81">
        <f t="shared" si="85"/>
        <v>2.6816002412630244E-3</v>
      </c>
      <c r="S140" s="81">
        <f t="shared" si="86"/>
        <v>1.1773610293498943E-3</v>
      </c>
      <c r="T140" s="81">
        <f t="shared" si="87"/>
        <v>-2.1929824561403508E-3</v>
      </c>
      <c r="U140" s="81">
        <f t="shared" si="88"/>
        <v>-4.0000000000000018E-4</v>
      </c>
      <c r="V140" s="82">
        <f t="shared" si="89"/>
        <v>0</v>
      </c>
    </row>
    <row r="141" spans="1:25">
      <c r="A141" s="181">
        <v>124</v>
      </c>
      <c r="B141" s="170" t="s">
        <v>198</v>
      </c>
      <c r="C141" s="166" t="s">
        <v>75</v>
      </c>
      <c r="D141" s="57">
        <v>219579506.97516897</v>
      </c>
      <c r="E141" s="52">
        <f t="shared" ref="E141" si="95">(D141/$D$114)</f>
        <v>9.092657161163016E-4</v>
      </c>
      <c r="F141" s="56">
        <v>1438.7175634500002</v>
      </c>
      <c r="G141" s="56">
        <v>1438.7175634500002</v>
      </c>
      <c r="H141" s="53">
        <v>5</v>
      </c>
      <c r="I141" s="75">
        <v>-2.2100000000000002E-2</v>
      </c>
      <c r="J141" s="75">
        <v>6.2E-2</v>
      </c>
      <c r="K141" s="57">
        <f>155151.31*W137</f>
        <v>220806286.45929399</v>
      </c>
      <c r="L141" s="52">
        <f t="shared" si="94"/>
        <v>9.0978203592686244E-4</v>
      </c>
      <c r="M141" s="56">
        <f>1.0067*W137</f>
        <v>1432.7026215799999</v>
      </c>
      <c r="N141" s="56">
        <f>1.0067*W137</f>
        <v>1432.7026215799999</v>
      </c>
      <c r="O141" s="53">
        <v>5</v>
      </c>
      <c r="P141" s="75">
        <v>1.1999999999999999E-3</v>
      </c>
      <c r="Q141" s="75">
        <v>6.3200000000000006E-2</v>
      </c>
      <c r="R141" s="80">
        <f t="shared" si="85"/>
        <v>5.5869488962089157E-3</v>
      </c>
      <c r="S141" s="80">
        <f t="shared" si="86"/>
        <v>-4.1807662760275288E-3</v>
      </c>
      <c r="T141" s="80">
        <f t="shared" si="87"/>
        <v>0</v>
      </c>
      <c r="U141" s="81">
        <f t="shared" si="88"/>
        <v>2.3300000000000001E-2</v>
      </c>
      <c r="V141" s="82">
        <f t="shared" si="89"/>
        <v>1.2000000000000066E-3</v>
      </c>
    </row>
    <row r="142" spans="1:25">
      <c r="A142" s="181">
        <v>125</v>
      </c>
      <c r="B142" s="170" t="s">
        <v>199</v>
      </c>
      <c r="C142" s="166" t="s">
        <v>71</v>
      </c>
      <c r="D142" s="51">
        <v>10983512658.8619</v>
      </c>
      <c r="E142" s="52">
        <f t="shared" si="84"/>
        <v>5.6112964613063924E-3</v>
      </c>
      <c r="F142" s="51">
        <v>1920.7806908298501</v>
      </c>
      <c r="G142" s="51">
        <v>1920.7806908298501</v>
      </c>
      <c r="H142" s="53">
        <v>305</v>
      </c>
      <c r="I142" s="75">
        <v>8.3299999999999999E-2</v>
      </c>
      <c r="J142" s="75">
        <v>3.5900000000000001E-2</v>
      </c>
      <c r="K142" s="51">
        <v>10948381932.8494</v>
      </c>
      <c r="L142" s="52">
        <f t="shared" si="83"/>
        <v>5.6404019170353033E-3</v>
      </c>
      <c r="M142" s="51">
        <v>1912.91</v>
      </c>
      <c r="N142" s="51">
        <v>1912.91</v>
      </c>
      <c r="O142" s="53">
        <v>314</v>
      </c>
      <c r="P142" s="75">
        <v>8.5300000000000001E-2</v>
      </c>
      <c r="Q142" s="75">
        <v>7.4300000000000005E-2</v>
      </c>
      <c r="R142" s="81">
        <f t="shared" si="85"/>
        <v>-3.1984964285679597E-3</v>
      </c>
      <c r="S142" s="81">
        <f t="shared" si="86"/>
        <v>-4.0976519950591313E-3</v>
      </c>
      <c r="T142" s="80">
        <f t="shared" si="87"/>
        <v>2.9508196721311476E-2</v>
      </c>
      <c r="U142" s="81">
        <f t="shared" si="88"/>
        <v>2.0000000000000018E-3</v>
      </c>
      <c r="V142" s="82">
        <f t="shared" si="89"/>
        <v>3.8400000000000004E-2</v>
      </c>
    </row>
    <row r="143" spans="1:25">
      <c r="A143" s="181">
        <v>126</v>
      </c>
      <c r="B143" s="170" t="s">
        <v>200</v>
      </c>
      <c r="C143" s="166" t="s">
        <v>94</v>
      </c>
      <c r="D143" s="51">
        <v>430929606.72131997</v>
      </c>
      <c r="E143" s="52">
        <f t="shared" si="84"/>
        <v>2.2015486778872219E-4</v>
      </c>
      <c r="F143" s="51">
        <v>1488.0818160000001</v>
      </c>
      <c r="G143" s="51">
        <v>1488.0818160000001</v>
      </c>
      <c r="H143" s="53">
        <v>16</v>
      </c>
      <c r="I143" s="75">
        <v>5.9999999999999995E-4</v>
      </c>
      <c r="J143" s="75">
        <v>4.0000000000000002E-4</v>
      </c>
      <c r="K143" s="51">
        <f>301312.6*W137</f>
        <v>428818269.52923995</v>
      </c>
      <c r="L143" s="52">
        <f t="shared" si="83"/>
        <v>2.2091916452562043E-4</v>
      </c>
      <c r="M143" s="51">
        <f>1.04*W137</f>
        <v>1480.094096</v>
      </c>
      <c r="N143" s="51">
        <f>1.04*W137</f>
        <v>1480.094096</v>
      </c>
      <c r="O143" s="53">
        <v>16</v>
      </c>
      <c r="P143" s="75">
        <v>0</v>
      </c>
      <c r="Q143" s="75">
        <v>4.0000000000000002E-4</v>
      </c>
      <c r="R143" s="81">
        <f t="shared" si="85"/>
        <v>-4.8994943933973242E-3</v>
      </c>
      <c r="S143" s="81">
        <f t="shared" si="86"/>
        <v>-5.3677962556328155E-3</v>
      </c>
      <c r="T143" s="80">
        <f t="shared" si="87"/>
        <v>0</v>
      </c>
      <c r="U143" s="81">
        <f t="shared" si="88"/>
        <v>-5.9999999999999995E-4</v>
      </c>
      <c r="V143" s="82">
        <f t="shared" si="89"/>
        <v>0</v>
      </c>
    </row>
    <row r="144" spans="1:25">
      <c r="A144" s="181">
        <v>127</v>
      </c>
      <c r="B144" s="170" t="s">
        <v>201</v>
      </c>
      <c r="C144" s="166" t="s">
        <v>38</v>
      </c>
      <c r="D144" s="51">
        <v>116915533827.66499</v>
      </c>
      <c r="E144" s="52">
        <f t="shared" si="84"/>
        <v>5.9730228535731789E-2</v>
      </c>
      <c r="F144" s="51">
        <v>142173</v>
      </c>
      <c r="G144" s="51">
        <v>142173</v>
      </c>
      <c r="H144" s="53">
        <v>2197</v>
      </c>
      <c r="I144" s="75">
        <v>4.9000000000000002E-2</v>
      </c>
      <c r="J144" s="75">
        <v>5.45E-2</v>
      </c>
      <c r="K144" s="51">
        <v>117667560447.213</v>
      </c>
      <c r="L144" s="52">
        <f t="shared" si="83"/>
        <v>6.0620129768033833E-2</v>
      </c>
      <c r="M144" s="51">
        <f>100*1435.76</f>
        <v>143576</v>
      </c>
      <c r="N144" s="51">
        <f>100*1435.76</f>
        <v>143576</v>
      </c>
      <c r="O144" s="53">
        <v>2224</v>
      </c>
      <c r="P144" s="75">
        <v>5.5399999999999998E-2</v>
      </c>
      <c r="Q144" s="75">
        <v>5.5199999999999999E-2</v>
      </c>
      <c r="R144" s="81">
        <f t="shared" si="85"/>
        <v>6.432221578498723E-3</v>
      </c>
      <c r="S144" s="81">
        <f t="shared" si="86"/>
        <v>9.8682590927953971E-3</v>
      </c>
      <c r="T144" s="81">
        <f t="shared" si="87"/>
        <v>1.2289485662266727E-2</v>
      </c>
      <c r="U144" s="81">
        <f t="shared" si="88"/>
        <v>6.399999999999996E-3</v>
      </c>
      <c r="V144" s="82">
        <f t="shared" si="89"/>
        <v>6.9999999999999923E-4</v>
      </c>
    </row>
    <row r="145" spans="1:24" ht="15.6">
      <c r="A145" s="181">
        <v>128</v>
      </c>
      <c r="B145" s="170" t="s">
        <v>202</v>
      </c>
      <c r="C145" s="166" t="s">
        <v>151</v>
      </c>
      <c r="D145" s="51">
        <v>1493408004.22296</v>
      </c>
      <c r="E145" s="52">
        <f t="shared" si="84"/>
        <v>7.629576538632824E-4</v>
      </c>
      <c r="F145" s="51">
        <v>1631.1666059999998</v>
      </c>
      <c r="G145" s="51">
        <v>1631.1666059999998</v>
      </c>
      <c r="H145" s="53">
        <v>53</v>
      </c>
      <c r="I145" s="75">
        <v>1.9E-3</v>
      </c>
      <c r="J145" s="75">
        <v>9.1700000000000004E-2</v>
      </c>
      <c r="K145" s="51">
        <f>1050938.79*W137</f>
        <v>1495661825.323446</v>
      </c>
      <c r="L145" s="52">
        <f t="shared" si="83"/>
        <v>7.7053704177776328E-4</v>
      </c>
      <c r="M145" s="51">
        <f>1.14*W137</f>
        <v>1622.410836</v>
      </c>
      <c r="N145" s="51">
        <f>1.14*W137</f>
        <v>1622.410836</v>
      </c>
      <c r="O145" s="53">
        <v>53</v>
      </c>
      <c r="P145" s="75">
        <v>1.9E-3</v>
      </c>
      <c r="Q145" s="75">
        <v>9.1700000000000004E-2</v>
      </c>
      <c r="R145" s="81">
        <f t="shared" si="85"/>
        <v>1.5091797379636607E-3</v>
      </c>
      <c r="S145" s="81">
        <f t="shared" si="86"/>
        <v>-5.3677962556326134E-3</v>
      </c>
      <c r="T145" s="81">
        <f t="shared" si="87"/>
        <v>0</v>
      </c>
      <c r="U145" s="81">
        <f t="shared" si="88"/>
        <v>0</v>
      </c>
      <c r="V145" s="82">
        <f t="shared" si="89"/>
        <v>0</v>
      </c>
      <c r="X145" s="103"/>
    </row>
    <row r="146" spans="1:24" ht="15.6">
      <c r="A146" s="181">
        <v>129</v>
      </c>
      <c r="B146" s="170" t="s">
        <v>203</v>
      </c>
      <c r="C146" s="166" t="s">
        <v>44</v>
      </c>
      <c r="D146" s="57">
        <v>8885886383.8754902</v>
      </c>
      <c r="E146" s="52">
        <f t="shared" si="84"/>
        <v>4.5396536035474258E-3</v>
      </c>
      <c r="F146" s="51">
        <v>15639.167546999999</v>
      </c>
      <c r="G146" s="51">
        <v>15639.167546999999</v>
      </c>
      <c r="H146" s="53">
        <v>180</v>
      </c>
      <c r="I146" s="75">
        <v>4.0800000000000003E-2</v>
      </c>
      <c r="J146" s="75">
        <v>8.0399999999999999E-2</v>
      </c>
      <c r="K146" s="57">
        <f>6210224.29*W137</f>
        <v>8838188756.2161465</v>
      </c>
      <c r="L146" s="52">
        <f t="shared" si="83"/>
        <v>4.5532697990841222E-3</v>
      </c>
      <c r="M146" s="51">
        <f>10.93*W137</f>
        <v>15555.219682000001</v>
      </c>
      <c r="N146" s="51">
        <f>10.93*W137</f>
        <v>15555.219682000001</v>
      </c>
      <c r="O146" s="53">
        <v>183</v>
      </c>
      <c r="P146" s="75">
        <v>6.0199999999999997E-2</v>
      </c>
      <c r="Q146" s="75">
        <v>7.9899999999999999E-2</v>
      </c>
      <c r="R146" s="81">
        <f t="shared" si="85"/>
        <v>-5.3677962556326177E-3</v>
      </c>
      <c r="S146" s="81">
        <f t="shared" si="86"/>
        <v>-5.3677962556326515E-3</v>
      </c>
      <c r="T146" s="81">
        <f t="shared" si="87"/>
        <v>1.6666666666666666E-2</v>
      </c>
      <c r="U146" s="81">
        <f t="shared" si="88"/>
        <v>1.9399999999999994E-2</v>
      </c>
      <c r="V146" s="82">
        <f t="shared" si="89"/>
        <v>-5.0000000000000044E-4</v>
      </c>
      <c r="X146" s="103"/>
    </row>
    <row r="147" spans="1:24" ht="15.6">
      <c r="A147" s="181">
        <v>130</v>
      </c>
      <c r="B147" s="166" t="s">
        <v>204</v>
      </c>
      <c r="C147" s="172" t="s">
        <v>48</v>
      </c>
      <c r="D147" s="51">
        <v>28070168567.200001</v>
      </c>
      <c r="E147" s="52">
        <f t="shared" si="84"/>
        <v>1.4340588702496595E-2</v>
      </c>
      <c r="F147" s="51">
        <v>1616.8581269999997</v>
      </c>
      <c r="G147" s="51">
        <v>1616.8581269999997</v>
      </c>
      <c r="H147" s="53">
        <v>460</v>
      </c>
      <c r="I147" s="75">
        <v>3.5000000000000001E-3</v>
      </c>
      <c r="J147" s="75">
        <v>0.17130000000000001</v>
      </c>
      <c r="K147" s="51">
        <v>27968565409.139999</v>
      </c>
      <c r="L147" s="52">
        <f t="shared" si="83"/>
        <v>1.4408882601831544E-2</v>
      </c>
      <c r="M147" s="51">
        <f>1.08*W137</f>
        <v>1537.0207920000003</v>
      </c>
      <c r="N147" s="51">
        <f>1.08*W137</f>
        <v>1537.0207920000003</v>
      </c>
      <c r="O147" s="53">
        <v>678</v>
      </c>
      <c r="P147" s="75">
        <v>-9.7000000000000003E-3</v>
      </c>
      <c r="Q147" s="75">
        <v>4.1999999999999997E-3</v>
      </c>
      <c r="R147" s="81">
        <f t="shared" si="85"/>
        <v>-3.6196133919453796E-3</v>
      </c>
      <c r="S147" s="81">
        <f t="shared" si="86"/>
        <v>-4.93780707575956E-2</v>
      </c>
      <c r="T147" s="81">
        <f t="shared" si="87"/>
        <v>0.47391304347826085</v>
      </c>
      <c r="U147" s="81">
        <f t="shared" si="88"/>
        <v>-1.32E-2</v>
      </c>
      <c r="V147" s="82">
        <f t="shared" si="89"/>
        <v>-0.1671</v>
      </c>
      <c r="X147" s="103"/>
    </row>
    <row r="148" spans="1:24">
      <c r="A148" s="181">
        <v>131</v>
      </c>
      <c r="B148" s="170" t="s">
        <v>205</v>
      </c>
      <c r="C148" s="166" t="s">
        <v>106</v>
      </c>
      <c r="D148" s="57">
        <v>457059880.03470004</v>
      </c>
      <c r="E148" s="52">
        <f t="shared" si="84"/>
        <v>2.3350439582500449E-4</v>
      </c>
      <c r="F148" s="51">
        <v>1907.4993000000002</v>
      </c>
      <c r="G148" s="51">
        <v>1907.4993000000002</v>
      </c>
      <c r="H148" s="53">
        <v>2</v>
      </c>
      <c r="I148" s="75">
        <v>2.1499999999999999E-4</v>
      </c>
      <c r="J148" s="75">
        <v>-9.0300000000000005E-4</v>
      </c>
      <c r="K148" s="57">
        <f>315868.88*1426</f>
        <v>450429022.88</v>
      </c>
      <c r="L148" s="52">
        <f t="shared" si="83"/>
        <v>2.320526210834773E-4</v>
      </c>
      <c r="M148" s="51">
        <f>1.32*1426</f>
        <v>1882.3200000000002</v>
      </c>
      <c r="N148" s="51">
        <f>1.32*1426</f>
        <v>1882.3200000000002</v>
      </c>
      <c r="O148" s="53">
        <v>2</v>
      </c>
      <c r="P148" s="75">
        <v>-8.8339999999999998E-3</v>
      </c>
      <c r="Q148" s="75">
        <v>-9.7289999999999998E-3</v>
      </c>
      <c r="R148" s="81">
        <f t="shared" si="85"/>
        <v>-1.4507633341602036E-2</v>
      </c>
      <c r="S148" s="81">
        <f t="shared" si="86"/>
        <v>-1.3200162118014938E-2</v>
      </c>
      <c r="T148" s="81">
        <f t="shared" si="87"/>
        <v>0</v>
      </c>
      <c r="U148" s="81">
        <f t="shared" ref="U148" si="96">P148-I148</f>
        <v>-9.0489999999999998E-3</v>
      </c>
      <c r="V148" s="82">
        <f t="shared" ref="V148" si="97">Q148-J148</f>
        <v>-8.8260000000000005E-3</v>
      </c>
    </row>
    <row r="149" spans="1:24">
      <c r="A149" s="181">
        <v>132</v>
      </c>
      <c r="B149" s="170" t="s">
        <v>206</v>
      </c>
      <c r="C149" s="166" t="s">
        <v>111</v>
      </c>
      <c r="D149" s="57">
        <v>922636066.23630893</v>
      </c>
      <c r="E149" s="52">
        <f t="shared" si="84"/>
        <v>4.7135963278271536E-4</v>
      </c>
      <c r="F149" s="51">
        <v>1532.4037605504</v>
      </c>
      <c r="G149" s="51">
        <v>1532.4037605504</v>
      </c>
      <c r="H149" s="53">
        <v>9</v>
      </c>
      <c r="I149" s="75">
        <v>-0.95020000000000004</v>
      </c>
      <c r="J149" s="75">
        <v>32.558</v>
      </c>
      <c r="K149" s="57">
        <f>642293.13*W137</f>
        <v>914090643.85996199</v>
      </c>
      <c r="L149" s="52">
        <f t="shared" si="83"/>
        <v>4.7092242959685627E-4</v>
      </c>
      <c r="M149" s="51">
        <f>1.063854*W137</f>
        <v>1514.0423311596001</v>
      </c>
      <c r="N149" s="51">
        <f>1.063854*W137</f>
        <v>1514.0423311596001</v>
      </c>
      <c r="O149" s="53">
        <v>9</v>
      </c>
      <c r="P149" s="75">
        <v>-4.5999999999999999E-3</v>
      </c>
      <c r="Q149" s="75">
        <v>-4.1999999999999997E-3</v>
      </c>
      <c r="R149" s="81">
        <f t="shared" ref="R149" si="98">((K149-D149)/D149)</f>
        <v>-9.261964374757339E-3</v>
      </c>
      <c r="S149" s="81">
        <f t="shared" ref="S149" si="99">((N149-G149)/G149)</f>
        <v>-1.1982109326203272E-2</v>
      </c>
      <c r="T149" s="81">
        <f t="shared" si="87"/>
        <v>0</v>
      </c>
      <c r="U149" s="81">
        <f t="shared" si="88"/>
        <v>0.9456</v>
      </c>
      <c r="V149" s="82">
        <f t="shared" si="89"/>
        <v>-32.562199999999997</v>
      </c>
    </row>
    <row r="150" spans="1:24">
      <c r="A150" s="182">
        <v>133</v>
      </c>
      <c r="B150" s="183" t="s">
        <v>207</v>
      </c>
      <c r="C150" s="166" t="s">
        <v>50</v>
      </c>
      <c r="D150" s="57">
        <v>1010773985315.74</v>
      </c>
      <c r="E150" s="52">
        <f t="shared" si="84"/>
        <v>0.51638784996588449</v>
      </c>
      <c r="F150" s="51">
        <v>2399.58</v>
      </c>
      <c r="G150" s="51">
        <v>2399.58</v>
      </c>
      <c r="H150" s="53">
        <v>12879</v>
      </c>
      <c r="I150" s="75">
        <v>8.9999999999999998E-4</v>
      </c>
      <c r="J150" s="75">
        <v>2.0000000000000001E-4</v>
      </c>
      <c r="K150" s="57">
        <v>1001418623730.14</v>
      </c>
      <c r="L150" s="52">
        <f t="shared" si="83"/>
        <v>0.51591217402591083</v>
      </c>
      <c r="M150" s="51">
        <v>2387.69</v>
      </c>
      <c r="N150" s="51">
        <v>2387.69</v>
      </c>
      <c r="O150" s="53">
        <v>12920</v>
      </c>
      <c r="P150" s="75">
        <v>8.0000000000000004E-4</v>
      </c>
      <c r="Q150" s="75">
        <v>1E-3</v>
      </c>
      <c r="R150" s="81">
        <f t="shared" si="85"/>
        <v>-9.2556414406308636E-3</v>
      </c>
      <c r="S150" s="81">
        <f t="shared" si="86"/>
        <v>-4.9550337975811905E-3</v>
      </c>
      <c r="T150" s="81">
        <f t="shared" si="87"/>
        <v>3.1834769780262444E-3</v>
      </c>
      <c r="U150" s="81">
        <f t="shared" si="88"/>
        <v>-9.9999999999999937E-5</v>
      </c>
      <c r="V150" s="82">
        <f t="shared" si="89"/>
        <v>8.0000000000000004E-4</v>
      </c>
    </row>
    <row r="151" spans="1:24">
      <c r="A151" s="181">
        <v>134</v>
      </c>
      <c r="B151" s="170" t="s">
        <v>208</v>
      </c>
      <c r="C151" s="170" t="s">
        <v>116</v>
      </c>
      <c r="D151" s="57">
        <v>574326393.10591495</v>
      </c>
      <c r="E151" s="52">
        <f t="shared" si="84"/>
        <v>2.9341393389935956E-4</v>
      </c>
      <c r="F151" s="51">
        <v>162873.41645699998</v>
      </c>
      <c r="G151" s="51">
        <v>162873.41645699998</v>
      </c>
      <c r="H151" s="53">
        <v>30</v>
      </c>
      <c r="I151" s="75">
        <v>0</v>
      </c>
      <c r="J151" s="75">
        <v>6.9999999999999999E-4</v>
      </c>
      <c r="K151" s="57">
        <f>400821.83*W137</f>
        <v>570436561.66434205</v>
      </c>
      <c r="L151" s="52">
        <f t="shared" si="83"/>
        <v>2.9387826399304332E-4</v>
      </c>
      <c r="M151" s="51">
        <f>113.67*W137</f>
        <v>161771.43835800001</v>
      </c>
      <c r="N151" s="51">
        <f>113.67*W137</f>
        <v>161771.43835800001</v>
      </c>
      <c r="O151" s="53">
        <v>30</v>
      </c>
      <c r="P151" s="75">
        <v>0</v>
      </c>
      <c r="Q151" s="75">
        <v>-2.0000000000000001E-4</v>
      </c>
      <c r="R151" s="81">
        <f t="shared" ref="R151" si="100">((K151-D151)/D151)</f>
        <v>-6.7728585840134943E-3</v>
      </c>
      <c r="S151" s="81">
        <f t="shared" ref="S151" si="101">((N151-G151)/G151)</f>
        <v>-6.7658561045221442E-3</v>
      </c>
      <c r="T151" s="81">
        <f t="shared" ref="T151" si="102">((O151-H151)/H151)</f>
        <v>0</v>
      </c>
      <c r="U151" s="81">
        <f t="shared" ref="U151" si="103">P151-I151</f>
        <v>0</v>
      </c>
      <c r="V151" s="82">
        <f t="shared" ref="V151" si="104">Q151-J151</f>
        <v>-8.9999999999999998E-4</v>
      </c>
    </row>
    <row r="152" spans="1:24" ht="16.5" customHeight="1">
      <c r="A152" s="182">
        <v>135</v>
      </c>
      <c r="B152" s="183" t="s">
        <v>209</v>
      </c>
      <c r="C152" s="166" t="s">
        <v>53</v>
      </c>
      <c r="D152" s="57">
        <v>194649667908.24512</v>
      </c>
      <c r="E152" s="52">
        <f t="shared" si="84"/>
        <v>9.9443322610161838E-2</v>
      </c>
      <c r="F152" s="51">
        <v>1790.467764</v>
      </c>
      <c r="G152" s="51">
        <v>1790.467764</v>
      </c>
      <c r="H152" s="53">
        <v>925</v>
      </c>
      <c r="I152" s="75">
        <v>8.9999999999999998E-4</v>
      </c>
      <c r="J152" s="75">
        <v>6.0199999999999997E-2</v>
      </c>
      <c r="K152" s="57">
        <f>137699984.68*1426</f>
        <v>196360178153.68002</v>
      </c>
      <c r="L152" s="52">
        <f t="shared" si="83"/>
        <v>0.10116109687079232</v>
      </c>
      <c r="M152" s="51">
        <f>1.2498*1426</f>
        <v>1782.2148</v>
      </c>
      <c r="N152" s="51">
        <f>1.2498*1426</f>
        <v>1782.2148</v>
      </c>
      <c r="O152" s="53">
        <v>936</v>
      </c>
      <c r="P152" s="75">
        <v>1.1000000000000001E-3</v>
      </c>
      <c r="Q152" s="75">
        <v>6.0199999999999997E-2</v>
      </c>
      <c r="R152" s="81">
        <f t="shared" si="85"/>
        <v>8.7876350564400369E-3</v>
      </c>
      <c r="S152" s="81">
        <f t="shared" si="86"/>
        <v>-4.6093898845531072E-3</v>
      </c>
      <c r="T152" s="81">
        <f t="shared" si="87"/>
        <v>1.1891891891891892E-2</v>
      </c>
      <c r="U152" s="81">
        <f t="shared" si="88"/>
        <v>2.0000000000000009E-4</v>
      </c>
      <c r="V152" s="82">
        <f t="shared" si="89"/>
        <v>0</v>
      </c>
    </row>
    <row r="153" spans="1:24" ht="16.5" customHeight="1">
      <c r="A153" s="182">
        <v>136</v>
      </c>
      <c r="B153" s="183" t="s">
        <v>210</v>
      </c>
      <c r="C153" s="166" t="s">
        <v>113</v>
      </c>
      <c r="D153" s="51">
        <v>1899324767.6188908</v>
      </c>
      <c r="E153" s="52">
        <f t="shared" si="84"/>
        <v>9.7033387026803915E-4</v>
      </c>
      <c r="F153" s="51">
        <v>160068.954573</v>
      </c>
      <c r="G153" s="51">
        <v>160068.954573</v>
      </c>
      <c r="H153" s="53">
        <v>31</v>
      </c>
      <c r="I153" s="75">
        <v>2.0999999999999999E-3</v>
      </c>
      <c r="J153" s="75">
        <v>0.1173</v>
      </c>
      <c r="K153" s="51">
        <f>1310417.50544758*W137</f>
        <v>1864943474.1423182</v>
      </c>
      <c r="L153" s="52">
        <f t="shared" si="83"/>
        <v>9.6078405112573137E-4</v>
      </c>
      <c r="M153" s="51">
        <f>111.7*W137</f>
        <v>158967.79858</v>
      </c>
      <c r="N153" s="51">
        <f>111.7*W137</f>
        <v>158967.79858</v>
      </c>
      <c r="O153" s="53">
        <v>31</v>
      </c>
      <c r="P153" s="75">
        <v>-1.5E-3</v>
      </c>
      <c r="Q153" s="75">
        <v>-3.5799999999999998E-2</v>
      </c>
      <c r="R153" s="81">
        <f t="shared" si="85"/>
        <v>-1.8101850753873439E-2</v>
      </c>
      <c r="S153" s="81">
        <f t="shared" si="86"/>
        <v>-6.8792602284274123E-3</v>
      </c>
      <c r="T153" s="81">
        <f t="shared" si="87"/>
        <v>0</v>
      </c>
      <c r="U153" s="81">
        <f t="shared" si="88"/>
        <v>-3.5999999999999999E-3</v>
      </c>
      <c r="V153" s="82">
        <f t="shared" si="89"/>
        <v>-0.15310000000000001</v>
      </c>
    </row>
    <row r="154" spans="1:24" ht="16.5" customHeight="1">
      <c r="A154" s="181">
        <v>137</v>
      </c>
      <c r="B154" s="170" t="s">
        <v>211</v>
      </c>
      <c r="C154" s="166" t="s">
        <v>123</v>
      </c>
      <c r="D154" s="51">
        <v>4981491698.3297281</v>
      </c>
      <c r="E154" s="52">
        <f t="shared" si="84"/>
        <v>2.5449624001945836E-3</v>
      </c>
      <c r="F154" s="51">
        <v>1659.7835639999998</v>
      </c>
      <c r="G154" s="51">
        <v>1659.7835639999998</v>
      </c>
      <c r="H154" s="53">
        <v>49</v>
      </c>
      <c r="I154" s="75">
        <v>0.1198</v>
      </c>
      <c r="J154" s="75">
        <v>-4.0000000000000002E-4</v>
      </c>
      <c r="K154" s="51">
        <f>3457095.53*W137</f>
        <v>4920025656.9817219</v>
      </c>
      <c r="L154" s="52">
        <f t="shared" si="83"/>
        <v>2.5347053398127291E-3</v>
      </c>
      <c r="M154" s="51">
        <f>1.15*W137</f>
        <v>1636.6425099999999</v>
      </c>
      <c r="N154" s="51">
        <f>1.15*W137</f>
        <v>1636.6425099999999</v>
      </c>
      <c r="O154" s="53">
        <v>49</v>
      </c>
      <c r="P154" s="75">
        <v>-3.3E-3</v>
      </c>
      <c r="Q154" s="75">
        <v>-2.5000000000000001E-3</v>
      </c>
      <c r="R154" s="81">
        <f t="shared" ref="R154" si="105">((K154-D154)/D154)</f>
        <v>-1.2338882621969548E-2</v>
      </c>
      <c r="S154" s="81">
        <f t="shared" ref="S154" si="106">((N154-G154)/G154)</f>
        <v>-1.3942211805153135E-2</v>
      </c>
      <c r="T154" s="81">
        <f t="shared" si="87"/>
        <v>0</v>
      </c>
      <c r="U154" s="81">
        <f t="shared" si="88"/>
        <v>-0.1231</v>
      </c>
      <c r="V154" s="82">
        <f t="shared" si="89"/>
        <v>-2.0999999999999999E-3</v>
      </c>
    </row>
    <row r="155" spans="1:24">
      <c r="A155" s="181">
        <v>138</v>
      </c>
      <c r="B155" s="170" t="s">
        <v>212</v>
      </c>
      <c r="C155" s="166" t="s">
        <v>125</v>
      </c>
      <c r="D155" s="51">
        <v>1748284110.758178</v>
      </c>
      <c r="E155" s="52">
        <f t="shared" si="84"/>
        <v>8.931696761090704E-4</v>
      </c>
      <c r="F155" s="51">
        <v>2131.9633709999998</v>
      </c>
      <c r="G155" s="51">
        <v>2131.9633709999998</v>
      </c>
      <c r="H155" s="53">
        <v>124</v>
      </c>
      <c r="I155" s="75">
        <v>1.5E-3</v>
      </c>
      <c r="J155" s="75">
        <v>1.1999999999999999E-3</v>
      </c>
      <c r="K155" s="51">
        <f>1212185.53*W137</f>
        <v>1725142929.0477221</v>
      </c>
      <c r="L155" s="52">
        <f>(K155/$K$156)</f>
        <v>8.887614209881911E-4</v>
      </c>
      <c r="M155" s="51">
        <f>1.48*W137</f>
        <v>2106.2877520000002</v>
      </c>
      <c r="N155" s="51">
        <f>1.48*W137</f>
        <v>2106.2877520000002</v>
      </c>
      <c r="O155" s="53">
        <v>124</v>
      </c>
      <c r="P155" s="75">
        <v>-7.4000000000000003E-3</v>
      </c>
      <c r="Q155" s="75">
        <v>-6.7000000000000002E-3</v>
      </c>
      <c r="R155" s="81">
        <f t="shared" si="85"/>
        <v>-1.3236510912645808E-2</v>
      </c>
      <c r="S155" s="81">
        <f t="shared" si="86"/>
        <v>-1.2043180173380026E-2</v>
      </c>
      <c r="T155" s="81">
        <f t="shared" si="87"/>
        <v>0</v>
      </c>
      <c r="U155" s="81">
        <f t="shared" si="88"/>
        <v>-8.8999999999999999E-3</v>
      </c>
      <c r="V155" s="82">
        <f t="shared" si="89"/>
        <v>-7.9000000000000008E-3</v>
      </c>
    </row>
    <row r="156" spans="1:24">
      <c r="A156" s="60"/>
      <c r="B156" s="61"/>
      <c r="C156" s="96" t="s">
        <v>56</v>
      </c>
      <c r="D156" s="84">
        <f>SUM(D118:D155)</f>
        <v>1957393043586.3616</v>
      </c>
      <c r="E156" s="64">
        <f>(D156/$D$231)</f>
        <v>0.25103208026860824</v>
      </c>
      <c r="F156" s="65"/>
      <c r="G156" s="70"/>
      <c r="H156" s="67">
        <f>SUM(H118:H155)</f>
        <v>28692</v>
      </c>
      <c r="I156" s="100"/>
      <c r="J156" s="100"/>
      <c r="K156" s="84">
        <f>SUM(K118:K155)</f>
        <v>1941064146472.0417</v>
      </c>
      <c r="L156" s="64">
        <f>(K156/$K$231)</f>
        <v>0.24500300623887217</v>
      </c>
      <c r="M156" s="65"/>
      <c r="N156" s="70"/>
      <c r="O156" s="67">
        <f>SUM(O118:O155)</f>
        <v>29053</v>
      </c>
      <c r="P156" s="100"/>
      <c r="Q156" s="100"/>
      <c r="R156" s="81">
        <f t="shared" si="85"/>
        <v>-8.3421657023986361E-3</v>
      </c>
      <c r="S156" s="81" t="e">
        <f t="shared" si="86"/>
        <v>#DIV/0!</v>
      </c>
      <c r="T156" s="81">
        <f t="shared" si="87"/>
        <v>1.2581904363585668E-2</v>
      </c>
      <c r="U156" s="81">
        <f t="shared" si="88"/>
        <v>0</v>
      </c>
      <c r="V156" s="82">
        <f t="shared" si="89"/>
        <v>0</v>
      </c>
    </row>
    <row r="157" spans="1:24" ht="6" customHeight="1">
      <c r="A157" s="60"/>
      <c r="B157" s="197"/>
      <c r="C157" s="197"/>
      <c r="D157" s="197"/>
      <c r="E157" s="197"/>
      <c r="F157" s="197"/>
      <c r="G157" s="197"/>
      <c r="H157" s="197"/>
      <c r="I157" s="197"/>
      <c r="J157" s="197"/>
      <c r="K157" s="197"/>
      <c r="L157" s="197"/>
      <c r="M157" s="197"/>
      <c r="N157" s="197"/>
      <c r="O157" s="197"/>
      <c r="P157" s="197"/>
      <c r="Q157" s="197"/>
      <c r="R157" s="197"/>
      <c r="S157" s="197"/>
      <c r="T157" s="197"/>
      <c r="U157" s="197"/>
      <c r="V157" s="197"/>
    </row>
    <row r="158" spans="1:24">
      <c r="A158" s="199" t="s">
        <v>213</v>
      </c>
      <c r="B158" s="199"/>
      <c r="C158" s="199"/>
      <c r="D158" s="199"/>
      <c r="E158" s="199"/>
      <c r="F158" s="199"/>
      <c r="G158" s="199"/>
      <c r="H158" s="199"/>
      <c r="I158" s="199"/>
      <c r="J158" s="199"/>
      <c r="K158" s="199"/>
      <c r="L158" s="199"/>
      <c r="M158" s="199"/>
      <c r="N158" s="199"/>
      <c r="O158" s="199"/>
      <c r="P158" s="199"/>
      <c r="Q158" s="199"/>
      <c r="R158" s="199"/>
      <c r="S158" s="199"/>
      <c r="T158" s="199"/>
      <c r="U158" s="199"/>
      <c r="V158" s="199"/>
    </row>
    <row r="159" spans="1:24">
      <c r="A159" s="181">
        <v>139</v>
      </c>
      <c r="B159" s="170" t="s">
        <v>214</v>
      </c>
      <c r="C159" s="166" t="s">
        <v>215</v>
      </c>
      <c r="D159" s="97">
        <v>2230811723.49968</v>
      </c>
      <c r="E159" s="52">
        <f>(D159/$D$165)</f>
        <v>4.619986414661631E-3</v>
      </c>
      <c r="F159" s="85">
        <v>105.13</v>
      </c>
      <c r="G159" s="85">
        <v>105.13</v>
      </c>
      <c r="H159" s="53">
        <v>8</v>
      </c>
      <c r="I159" s="75">
        <v>3.0000000000000001E-3</v>
      </c>
      <c r="J159" s="75">
        <v>5.1299999999999998E-2</v>
      </c>
      <c r="K159" s="97">
        <v>2306150504.8200002</v>
      </c>
      <c r="L159" s="52">
        <f>(K159/$K$165)</f>
        <v>4.5755222741385932E-3</v>
      </c>
      <c r="M159" s="85">
        <v>108.67815762582499</v>
      </c>
      <c r="N159" s="85">
        <v>108.67815762582499</v>
      </c>
      <c r="O159" s="53">
        <v>8</v>
      </c>
      <c r="P159" s="75">
        <v>3.3799999999999997E-2</v>
      </c>
      <c r="Q159" s="75">
        <v>3.3799999999999997E-2</v>
      </c>
      <c r="R159" s="81">
        <f t="shared" ref="R159:R165" si="107">((K159-D159)/D159)</f>
        <v>3.3771913840460382E-2</v>
      </c>
      <c r="S159" s="81">
        <f t="shared" ref="S159:T165" si="108">((N159-G159)/G159)</f>
        <v>3.3750191437505933E-2</v>
      </c>
      <c r="T159" s="81">
        <f t="shared" si="108"/>
        <v>0</v>
      </c>
      <c r="U159" s="81">
        <f t="shared" ref="U159:V165" si="109">P159-I159</f>
        <v>3.0799999999999998E-2</v>
      </c>
      <c r="V159" s="82">
        <f t="shared" si="109"/>
        <v>-1.7500000000000002E-2</v>
      </c>
    </row>
    <row r="160" spans="1:24">
      <c r="A160" s="181">
        <v>140</v>
      </c>
      <c r="B160" s="170" t="s">
        <v>216</v>
      </c>
      <c r="C160" s="166" t="s">
        <v>24</v>
      </c>
      <c r="D160" s="97">
        <v>270008526008.78</v>
      </c>
      <c r="E160" s="52">
        <v>0</v>
      </c>
      <c r="F160" s="85">
        <v>108.0034</v>
      </c>
      <c r="G160" s="85">
        <v>108.0034</v>
      </c>
      <c r="H160" s="53">
        <v>45</v>
      </c>
      <c r="I160" s="75">
        <v>7.7700000000000005E-2</v>
      </c>
      <c r="J160" s="75">
        <v>0.1014</v>
      </c>
      <c r="K160" s="97">
        <v>270652169070.5</v>
      </c>
      <c r="L160" s="52">
        <f t="shared" ref="L160:L164" si="110">(K160/$K$165)</f>
        <v>0.53698794833108909</v>
      </c>
      <c r="M160" s="85">
        <v>108.26090000000001</v>
      </c>
      <c r="N160" s="85">
        <v>108.26090000000001</v>
      </c>
      <c r="O160" s="53">
        <v>45</v>
      </c>
      <c r="P160" s="75">
        <v>0.12379999999999999</v>
      </c>
      <c r="Q160" s="75">
        <v>0.06</v>
      </c>
      <c r="R160" s="81">
        <f t="shared" ref="R160" si="111">((K160-D160)/D160)</f>
        <v>2.3837879167529384E-3</v>
      </c>
      <c r="S160" s="81">
        <f t="shared" ref="S160" si="112">((N160-G160)/G160)</f>
        <v>2.3841842016085364E-3</v>
      </c>
      <c r="T160" s="81">
        <f t="shared" ref="T160" si="113">((O160-H160)/H160)</f>
        <v>0</v>
      </c>
      <c r="U160" s="81">
        <f t="shared" ref="U160" si="114">P160-I160</f>
        <v>4.6099999999999988E-2</v>
      </c>
      <c r="V160" s="82">
        <f t="shared" ref="V160" si="115">Q160-J160</f>
        <v>-4.1400000000000006E-2</v>
      </c>
    </row>
    <row r="161" spans="1:22">
      <c r="A161" s="181">
        <v>141</v>
      </c>
      <c r="B161" s="170" t="s">
        <v>217</v>
      </c>
      <c r="C161" s="166" t="s">
        <v>48</v>
      </c>
      <c r="D161" s="57">
        <v>163627573866</v>
      </c>
      <c r="E161" s="52">
        <f>(D161/$D$165)</f>
        <v>0.33887089634755141</v>
      </c>
      <c r="F161" s="85">
        <v>103</v>
      </c>
      <c r="G161" s="85">
        <v>103</v>
      </c>
      <c r="H161" s="53">
        <v>851</v>
      </c>
      <c r="I161" s="75">
        <v>9.2999999999999999E-2</v>
      </c>
      <c r="J161" s="75">
        <v>9.2999999999999999E-2</v>
      </c>
      <c r="K161" s="57">
        <v>163627573866</v>
      </c>
      <c r="L161" s="52">
        <f t="shared" si="110"/>
        <v>0.32464559764089512</v>
      </c>
      <c r="M161" s="85">
        <v>103</v>
      </c>
      <c r="N161" s="85">
        <v>103</v>
      </c>
      <c r="O161" s="53">
        <v>851</v>
      </c>
      <c r="P161" s="75">
        <v>9.2999999999999999E-2</v>
      </c>
      <c r="Q161" s="75">
        <v>9.2999999999999999E-2</v>
      </c>
      <c r="R161" s="81">
        <f t="shared" si="107"/>
        <v>0</v>
      </c>
      <c r="S161" s="81">
        <f t="shared" si="108"/>
        <v>0</v>
      </c>
      <c r="T161" s="81">
        <f t="shared" si="108"/>
        <v>0</v>
      </c>
      <c r="U161" s="81">
        <f t="shared" si="109"/>
        <v>0</v>
      </c>
      <c r="V161" s="82">
        <f t="shared" si="109"/>
        <v>0</v>
      </c>
    </row>
    <row r="162" spans="1:22" ht="15.75" customHeight="1">
      <c r="A162" s="181">
        <v>142</v>
      </c>
      <c r="B162" s="170" t="s">
        <v>219</v>
      </c>
      <c r="C162" s="166" t="s">
        <v>161</v>
      </c>
      <c r="D162" s="57">
        <v>2989526862.4400001</v>
      </c>
      <c r="E162" s="52">
        <f>(D162/$D$165)</f>
        <v>6.191277078762757E-3</v>
      </c>
      <c r="F162" s="85">
        <v>418.75</v>
      </c>
      <c r="G162" s="85">
        <v>418.75</v>
      </c>
      <c r="H162" s="53">
        <v>3871</v>
      </c>
      <c r="I162" s="75">
        <v>0.53339999999999999</v>
      </c>
      <c r="J162" s="75">
        <v>0.2515</v>
      </c>
      <c r="K162" s="57">
        <v>6472577166.4399996</v>
      </c>
      <c r="L162" s="52">
        <f t="shared" si="110"/>
        <v>1.2841928978281764E-2</v>
      </c>
      <c r="M162" s="85">
        <v>418.75</v>
      </c>
      <c r="N162" s="85">
        <v>418.75</v>
      </c>
      <c r="O162" s="53">
        <v>4897</v>
      </c>
      <c r="P162" s="75">
        <v>0.53339999999999999</v>
      </c>
      <c r="Q162" s="75">
        <v>0.34549999999999997</v>
      </c>
      <c r="R162" s="81">
        <f t="shared" si="107"/>
        <v>1.165084130121244</v>
      </c>
      <c r="S162" s="81">
        <f t="shared" si="108"/>
        <v>0</v>
      </c>
      <c r="T162" s="81">
        <f t="shared" si="108"/>
        <v>0.26504779126840611</v>
      </c>
      <c r="U162" s="81">
        <f t="shared" si="109"/>
        <v>0</v>
      </c>
      <c r="V162" s="82">
        <f t="shared" si="109"/>
        <v>9.3999999999999972E-2</v>
      </c>
    </row>
    <row r="163" spans="1:22">
      <c r="A163" s="181">
        <v>143</v>
      </c>
      <c r="B163" s="170" t="s">
        <v>218</v>
      </c>
      <c r="C163" s="166" t="s">
        <v>161</v>
      </c>
      <c r="D163" s="57">
        <v>10901574055.17</v>
      </c>
      <c r="E163" s="52">
        <f>(D163/$D$165)</f>
        <v>2.2577039336291765E-2</v>
      </c>
      <c r="F163" s="85">
        <v>51.8</v>
      </c>
      <c r="G163" s="85">
        <v>51.8</v>
      </c>
      <c r="H163" s="53">
        <v>5970</v>
      </c>
      <c r="I163" s="75">
        <v>0.21609999999999999</v>
      </c>
      <c r="J163" s="75">
        <v>0.20979999999999999</v>
      </c>
      <c r="K163" s="57">
        <v>27857516743.880001</v>
      </c>
      <c r="L163" s="52">
        <f t="shared" si="110"/>
        <v>5.5270758824025878E-2</v>
      </c>
      <c r="M163" s="85">
        <v>51.8</v>
      </c>
      <c r="N163" s="85">
        <v>51.8</v>
      </c>
      <c r="O163" s="53">
        <v>6424</v>
      </c>
      <c r="P163" s="75">
        <v>0.21609999999999999</v>
      </c>
      <c r="Q163" s="75">
        <v>3.0230999999999999</v>
      </c>
      <c r="R163" s="81">
        <f t="shared" si="107"/>
        <v>1.55536646386113</v>
      </c>
      <c r="S163" s="81">
        <f t="shared" si="108"/>
        <v>0</v>
      </c>
      <c r="T163" s="81">
        <f t="shared" si="108"/>
        <v>7.604690117252931E-2</v>
      </c>
      <c r="U163" s="81">
        <f t="shared" si="109"/>
        <v>0</v>
      </c>
      <c r="V163" s="82">
        <f t="shared" si="109"/>
        <v>2.8132999999999999</v>
      </c>
    </row>
    <row r="164" spans="1:22">
      <c r="A164" s="181">
        <v>144</v>
      </c>
      <c r="B164" s="170" t="s">
        <v>326</v>
      </c>
      <c r="C164" s="166" t="s">
        <v>50</v>
      </c>
      <c r="D164" s="57">
        <v>33103087772.23</v>
      </c>
      <c r="E164" s="52">
        <f>(D164/$D$165)</f>
        <v>6.8556128775910163E-2</v>
      </c>
      <c r="F164" s="85">
        <v>6.9</v>
      </c>
      <c r="G164" s="85">
        <v>6.9</v>
      </c>
      <c r="H164" s="53">
        <v>211092</v>
      </c>
      <c r="I164" s="75">
        <v>0</v>
      </c>
      <c r="J164" s="75">
        <v>0</v>
      </c>
      <c r="K164" s="57">
        <v>33103087772.23</v>
      </c>
      <c r="L164" s="52">
        <f t="shared" si="110"/>
        <v>6.5678243951569557E-2</v>
      </c>
      <c r="M164" s="85">
        <v>6.9</v>
      </c>
      <c r="N164" s="85">
        <v>6.9</v>
      </c>
      <c r="O164" s="53">
        <v>211092</v>
      </c>
      <c r="P164" s="75">
        <v>0</v>
      </c>
      <c r="Q164" s="75">
        <v>0</v>
      </c>
      <c r="R164" s="81">
        <f t="shared" si="107"/>
        <v>0</v>
      </c>
      <c r="S164" s="81">
        <f t="shared" si="108"/>
        <v>0</v>
      </c>
      <c r="T164" s="81">
        <f t="shared" si="108"/>
        <v>0</v>
      </c>
      <c r="U164" s="81">
        <f t="shared" si="109"/>
        <v>0</v>
      </c>
      <c r="V164" s="82">
        <f t="shared" si="109"/>
        <v>0</v>
      </c>
    </row>
    <row r="165" spans="1:22">
      <c r="A165" s="60"/>
      <c r="B165" s="98"/>
      <c r="C165" s="62" t="s">
        <v>56</v>
      </c>
      <c r="D165" s="63">
        <f>SUM(D159:D164)</f>
        <v>482861100288.11963</v>
      </c>
      <c r="E165" s="64">
        <f>(D165/$D$231)</f>
        <v>6.19260535758452E-2</v>
      </c>
      <c r="F165" s="65"/>
      <c r="G165" s="99"/>
      <c r="H165" s="67">
        <f>SUM(H159:H164)</f>
        <v>221837</v>
      </c>
      <c r="I165" s="101"/>
      <c r="J165" s="101"/>
      <c r="K165" s="63">
        <f>SUM(K159:K164)</f>
        <v>504019075123.87</v>
      </c>
      <c r="L165" s="64">
        <f>(K165/$K$231)</f>
        <v>6.361777833644755E-2</v>
      </c>
      <c r="M165" s="65"/>
      <c r="N165" s="99"/>
      <c r="O165" s="67">
        <f>SUM(O159:O164)</f>
        <v>223317</v>
      </c>
      <c r="P165" s="101"/>
      <c r="Q165" s="101"/>
      <c r="R165" s="81">
        <f t="shared" si="107"/>
        <v>4.3817931954190467E-2</v>
      </c>
      <c r="S165" s="81" t="e">
        <f t="shared" si="108"/>
        <v>#DIV/0!</v>
      </c>
      <c r="T165" s="81">
        <f t="shared" si="108"/>
        <v>6.6715651582017425E-3</v>
      </c>
      <c r="U165" s="81">
        <f t="shared" si="109"/>
        <v>0</v>
      </c>
      <c r="V165" s="82">
        <f t="shared" si="109"/>
        <v>0</v>
      </c>
    </row>
    <row r="166" spans="1:22" ht="5.25" customHeight="1">
      <c r="A166" s="60"/>
      <c r="B166" s="197"/>
      <c r="C166" s="197"/>
      <c r="D166" s="197"/>
      <c r="E166" s="197"/>
      <c r="F166" s="197"/>
      <c r="G166" s="197"/>
      <c r="H166" s="197"/>
      <c r="I166" s="197"/>
      <c r="J166" s="197"/>
      <c r="K166" s="197"/>
      <c r="L166" s="197"/>
      <c r="M166" s="197"/>
      <c r="N166" s="197"/>
      <c r="O166" s="197"/>
      <c r="P166" s="197"/>
      <c r="Q166" s="197"/>
      <c r="R166" s="197"/>
      <c r="S166" s="197"/>
      <c r="T166" s="197"/>
      <c r="U166" s="197"/>
      <c r="V166" s="197"/>
    </row>
    <row r="167" spans="1:22" ht="15" customHeight="1">
      <c r="A167" s="199" t="s">
        <v>220</v>
      </c>
      <c r="B167" s="199"/>
      <c r="C167" s="199"/>
      <c r="D167" s="199"/>
      <c r="E167" s="199"/>
      <c r="F167" s="199"/>
      <c r="G167" s="199"/>
      <c r="H167" s="199"/>
      <c r="I167" s="199"/>
      <c r="J167" s="199"/>
      <c r="K167" s="199"/>
      <c r="L167" s="199"/>
      <c r="M167" s="199"/>
      <c r="N167" s="199"/>
      <c r="O167" s="199"/>
      <c r="P167" s="199"/>
      <c r="Q167" s="199"/>
      <c r="R167" s="199"/>
      <c r="S167" s="199"/>
      <c r="T167" s="199"/>
      <c r="U167" s="199"/>
      <c r="V167" s="199"/>
    </row>
    <row r="168" spans="1:22">
      <c r="A168" s="188">
        <v>145</v>
      </c>
      <c r="B168" s="170" t="s">
        <v>221</v>
      </c>
      <c r="C168" s="166" t="s">
        <v>60</v>
      </c>
      <c r="D168" s="51">
        <v>609328842.63999999</v>
      </c>
      <c r="E168" s="52">
        <f t="shared" ref="E168:E196" si="116">(D168/$D$197)</f>
        <v>7.245435042908299E-3</v>
      </c>
      <c r="F168" s="51">
        <v>7.87</v>
      </c>
      <c r="G168" s="51">
        <v>7.99</v>
      </c>
      <c r="H168" s="55">
        <v>11944</v>
      </c>
      <c r="I168" s="76">
        <v>-0.35486499999999999</v>
      </c>
      <c r="J168" s="76">
        <v>3.9709999999999997E-3</v>
      </c>
      <c r="K168" s="51">
        <v>630547584.5</v>
      </c>
      <c r="L168" s="79">
        <f t="shared" ref="L168:L196" si="117">(K168/$K$197)</f>
        <v>7.1639036417955396E-3</v>
      </c>
      <c r="M168" s="51">
        <v>8.0500000000000007</v>
      </c>
      <c r="N168" s="51">
        <v>8.16</v>
      </c>
      <c r="O168" s="55">
        <v>11948</v>
      </c>
      <c r="P168" s="76">
        <v>2.1818000000000001E-2</v>
      </c>
      <c r="Q168" s="76">
        <v>2.5787999999999998E-2</v>
      </c>
      <c r="R168" s="81">
        <f>((K168-D168)/D168)</f>
        <v>3.4823137155410092E-2</v>
      </c>
      <c r="S168" s="81">
        <f>((N168-G168)/G168)</f>
        <v>2.127659574468084E-2</v>
      </c>
      <c r="T168" s="81">
        <f>((O168-H168)/H168)</f>
        <v>3.348961821835231E-4</v>
      </c>
      <c r="U168" s="81">
        <f>P168-I168</f>
        <v>0.37668299999999999</v>
      </c>
      <c r="V168" s="82">
        <f>Q168-J168</f>
        <v>2.1817E-2</v>
      </c>
    </row>
    <row r="169" spans="1:22">
      <c r="A169" s="188">
        <v>146</v>
      </c>
      <c r="B169" s="170" t="s">
        <v>222</v>
      </c>
      <c r="C169" s="170" t="s">
        <v>223</v>
      </c>
      <c r="D169" s="51">
        <v>2010877739.7191501</v>
      </c>
      <c r="E169" s="52">
        <f t="shared" si="116"/>
        <v>2.3911036246438339E-2</v>
      </c>
      <c r="F169" s="51">
        <v>2189.3893879956199</v>
      </c>
      <c r="G169" s="51">
        <v>2202.4423104389598</v>
      </c>
      <c r="H169" s="55">
        <v>179</v>
      </c>
      <c r="I169" s="76">
        <v>0</v>
      </c>
      <c r="J169" s="76">
        <v>0.4491</v>
      </c>
      <c r="K169" s="51">
        <v>2209247791.1060901</v>
      </c>
      <c r="L169" s="79">
        <f t="shared" si="117"/>
        <v>2.5100148958438633E-2</v>
      </c>
      <c r="M169" s="51">
        <v>2275.65287835358</v>
      </c>
      <c r="N169" s="51">
        <v>2289.2864628400598</v>
      </c>
      <c r="O169" s="55">
        <v>184</v>
      </c>
      <c r="P169" s="76">
        <v>3.3399999999999999E-2</v>
      </c>
      <c r="Q169" s="76">
        <v>3.5299999999999998E-2</v>
      </c>
      <c r="R169" s="81">
        <f>((K169-D169)/D169)</f>
        <v>9.864848939779175E-2</v>
      </c>
      <c r="S169" s="81">
        <f>((N169-G169)/G169)</f>
        <v>3.9430840930308617E-2</v>
      </c>
      <c r="T169" s="81">
        <f>((O169-H169)/H169)</f>
        <v>2.7932960893854747E-2</v>
      </c>
      <c r="U169" s="81">
        <f>P169-I169</f>
        <v>3.3399999999999999E-2</v>
      </c>
      <c r="V169" s="82">
        <f>Q169-J169</f>
        <v>-0.4138</v>
      </c>
    </row>
    <row r="170" spans="1:22">
      <c r="A170" s="188">
        <v>147</v>
      </c>
      <c r="B170" s="170" t="s">
        <v>224</v>
      </c>
      <c r="C170" s="166" t="s">
        <v>24</v>
      </c>
      <c r="D170" s="51">
        <v>9953650972.7800007</v>
      </c>
      <c r="E170" s="52">
        <f t="shared" si="116"/>
        <v>0.11835732451231942</v>
      </c>
      <c r="F170" s="51">
        <v>1053.9329</v>
      </c>
      <c r="G170" s="51">
        <v>1085.7097000000001</v>
      </c>
      <c r="H170" s="55">
        <v>22418</v>
      </c>
      <c r="I170" s="76">
        <v>0.19650000000000001</v>
      </c>
      <c r="J170" s="76">
        <v>0.32679999999999998</v>
      </c>
      <c r="K170" s="51">
        <v>10452121094.25</v>
      </c>
      <c r="L170" s="79">
        <f t="shared" si="117"/>
        <v>0.11875073382599811</v>
      </c>
      <c r="M170" s="51">
        <v>1078.6051</v>
      </c>
      <c r="N170" s="51">
        <v>1111.1258</v>
      </c>
      <c r="O170" s="55">
        <v>22475</v>
      </c>
      <c r="P170" s="76">
        <v>1.0597000000000001</v>
      </c>
      <c r="Q170" s="76">
        <v>0.90369999999999995</v>
      </c>
      <c r="R170" s="81">
        <f t="shared" ref="R170:R196" si="118">((K170-D170)/D170)</f>
        <v>5.0079124015213416E-2</v>
      </c>
      <c r="S170" s="81">
        <f t="shared" ref="S170:T196" si="119">((N170-G170)/G170)</f>
        <v>2.3409664664504622E-2</v>
      </c>
      <c r="T170" s="81">
        <f t="shared" si="119"/>
        <v>2.542599696672317E-3</v>
      </c>
      <c r="U170" s="81">
        <f t="shared" ref="U170:V196" si="120">P170-I170</f>
        <v>0.86320000000000008</v>
      </c>
      <c r="V170" s="82">
        <f t="shared" si="120"/>
        <v>0.57689999999999997</v>
      </c>
    </row>
    <row r="171" spans="1:22">
      <c r="A171" s="188">
        <v>148</v>
      </c>
      <c r="B171" s="170" t="s">
        <v>225</v>
      </c>
      <c r="C171" s="166" t="s">
        <v>127</v>
      </c>
      <c r="D171" s="51">
        <v>5861584185.3299999</v>
      </c>
      <c r="E171" s="52">
        <f t="shared" si="116"/>
        <v>6.9699191128621468E-2</v>
      </c>
      <c r="F171" s="51">
        <v>34.133899999999997</v>
      </c>
      <c r="G171" s="51">
        <v>34.5383</v>
      </c>
      <c r="H171" s="53">
        <v>6192</v>
      </c>
      <c r="I171" s="75">
        <v>1.3299999999999999E-2</v>
      </c>
      <c r="J171" s="75">
        <v>1.06E-2</v>
      </c>
      <c r="K171" s="51">
        <v>6208912435.9300003</v>
      </c>
      <c r="L171" s="79">
        <f t="shared" si="117"/>
        <v>7.0541940853868335E-2</v>
      </c>
      <c r="M171" s="51">
        <v>35.2333</v>
      </c>
      <c r="N171" s="51">
        <v>35.660499999999999</v>
      </c>
      <c r="O171" s="53">
        <v>6199</v>
      </c>
      <c r="P171" s="75">
        <v>2.9399999999999999E-2</v>
      </c>
      <c r="Q171" s="75">
        <v>3.85E-2</v>
      </c>
      <c r="R171" s="81">
        <f t="shared" si="118"/>
        <v>5.9255013596711863E-2</v>
      </c>
      <c r="S171" s="81">
        <f t="shared" si="119"/>
        <v>3.2491465995720677E-2</v>
      </c>
      <c r="T171" s="81">
        <f t="shared" si="119"/>
        <v>1.1304909560723513E-3</v>
      </c>
      <c r="U171" s="81">
        <f t="shared" si="120"/>
        <v>1.61E-2</v>
      </c>
      <c r="V171" s="82">
        <f t="shared" si="120"/>
        <v>2.7900000000000001E-2</v>
      </c>
    </row>
    <row r="172" spans="1:22">
      <c r="A172" s="188">
        <v>149</v>
      </c>
      <c r="B172" s="170" t="s">
        <v>226</v>
      </c>
      <c r="C172" s="166" t="s">
        <v>135</v>
      </c>
      <c r="D172" s="57">
        <v>2526362325.3099999</v>
      </c>
      <c r="E172" s="52">
        <f t="shared" si="116"/>
        <v>3.0040583740591088E-2</v>
      </c>
      <c r="F172" s="51">
        <v>6.0278</v>
      </c>
      <c r="G172" s="51">
        <v>6.1643999999999997</v>
      </c>
      <c r="H172" s="53">
        <v>2736</v>
      </c>
      <c r="I172" s="75">
        <v>0.39200000000000002</v>
      </c>
      <c r="J172" s="75">
        <v>0.59699999999999998</v>
      </c>
      <c r="K172" s="57">
        <v>2617369759.7199998</v>
      </c>
      <c r="L172" s="79">
        <f t="shared" si="117"/>
        <v>2.9736986096698975E-2</v>
      </c>
      <c r="M172" s="51">
        <v>6.2443999999999997</v>
      </c>
      <c r="N172" s="51">
        <v>6.39</v>
      </c>
      <c r="O172" s="53">
        <v>2736</v>
      </c>
      <c r="P172" s="75">
        <v>1.9083000000000001</v>
      </c>
      <c r="Q172" s="75">
        <v>1.6216999999999999</v>
      </c>
      <c r="R172" s="81">
        <f t="shared" si="118"/>
        <v>3.6023112559214039E-2</v>
      </c>
      <c r="S172" s="81">
        <f t="shared" si="119"/>
        <v>3.6597235740704698E-2</v>
      </c>
      <c r="T172" s="81">
        <f t="shared" si="119"/>
        <v>0</v>
      </c>
      <c r="U172" s="81">
        <f t="shared" si="120"/>
        <v>1.5163000000000002</v>
      </c>
      <c r="V172" s="82">
        <f t="shared" si="120"/>
        <v>1.0246999999999999</v>
      </c>
    </row>
    <row r="173" spans="1:22">
      <c r="A173" s="188">
        <v>150</v>
      </c>
      <c r="B173" s="170" t="s">
        <v>227</v>
      </c>
      <c r="C173" s="166" t="s">
        <v>28</v>
      </c>
      <c r="D173" s="57">
        <v>1157674832.4300001</v>
      </c>
      <c r="E173" s="52">
        <f t="shared" si="116"/>
        <v>1.3765732412796647E-2</v>
      </c>
      <c r="F173" s="51">
        <v>1.2551000000000001</v>
      </c>
      <c r="G173" s="51">
        <v>1.2655000000000001</v>
      </c>
      <c r="H173" s="53">
        <v>226</v>
      </c>
      <c r="I173" s="75">
        <v>2.23E-2</v>
      </c>
      <c r="J173" s="75">
        <v>9.7000000000000003E-3</v>
      </c>
      <c r="K173" s="57">
        <v>1212485990.78</v>
      </c>
      <c r="L173" s="79">
        <f t="shared" si="117"/>
        <v>1.3775538941859058E-2</v>
      </c>
      <c r="M173" s="51">
        <v>1.2889999999999999</v>
      </c>
      <c r="N173" s="51">
        <v>1.3001</v>
      </c>
      <c r="O173" s="53">
        <v>226</v>
      </c>
      <c r="P173" s="75">
        <v>2.7199999999999998E-2</v>
      </c>
      <c r="Q173" s="75">
        <v>3.7100000000000001E-2</v>
      </c>
      <c r="R173" s="81">
        <f t="shared" ref="R173" si="121">((K173-D173)/D173)</f>
        <v>4.7345901296782414E-2</v>
      </c>
      <c r="S173" s="81">
        <f t="shared" ref="S173" si="122">((N173-G173)/G173)</f>
        <v>2.7340971947846671E-2</v>
      </c>
      <c r="T173" s="81">
        <f t="shared" ref="T173" si="123">((O173-H173)/H173)</f>
        <v>0</v>
      </c>
      <c r="U173" s="81">
        <f t="shared" ref="U173" si="124">P173-I173</f>
        <v>4.8999999999999981E-3</v>
      </c>
      <c r="V173" s="82">
        <f t="shared" ref="V173" si="125">Q173-J173</f>
        <v>2.7400000000000001E-2</v>
      </c>
    </row>
    <row r="174" spans="1:22">
      <c r="A174" s="188">
        <v>151</v>
      </c>
      <c r="B174" s="170" t="s">
        <v>228</v>
      </c>
      <c r="C174" s="166" t="s">
        <v>71</v>
      </c>
      <c r="D174" s="51">
        <v>6351777444.9744301</v>
      </c>
      <c r="E174" s="52">
        <f t="shared" si="116"/>
        <v>7.5528003376925917E-2</v>
      </c>
      <c r="F174" s="51">
        <v>11244.4062928078</v>
      </c>
      <c r="G174" s="51">
        <v>11329.1255858639</v>
      </c>
      <c r="H174" s="53">
        <v>1357</v>
      </c>
      <c r="I174" s="75">
        <v>0.60499999999999998</v>
      </c>
      <c r="J174" s="75">
        <v>1.2456</v>
      </c>
      <c r="K174" s="51">
        <v>6611388589.5590897</v>
      </c>
      <c r="L174" s="79">
        <f t="shared" si="117"/>
        <v>7.5114633626937377E-2</v>
      </c>
      <c r="M174" s="51">
        <v>11595.5</v>
      </c>
      <c r="N174" s="51">
        <v>11685.28</v>
      </c>
      <c r="O174" s="53">
        <v>1367</v>
      </c>
      <c r="P174" s="75">
        <v>1.6281000000000001</v>
      </c>
      <c r="Q174" s="75">
        <v>1.5570999999999999</v>
      </c>
      <c r="R174" s="81">
        <f t="shared" si="118"/>
        <v>4.087220417177332E-2</v>
      </c>
      <c r="S174" s="81">
        <f t="shared" si="119"/>
        <v>3.1437061178004634E-2</v>
      </c>
      <c r="T174" s="81">
        <f t="shared" si="119"/>
        <v>7.3691967575534268E-3</v>
      </c>
      <c r="U174" s="81">
        <f t="shared" si="120"/>
        <v>1.0231000000000001</v>
      </c>
      <c r="V174" s="82">
        <f t="shared" si="120"/>
        <v>0.31149999999999989</v>
      </c>
    </row>
    <row r="175" spans="1:22">
      <c r="A175" s="188">
        <v>152</v>
      </c>
      <c r="B175" s="170" t="s">
        <v>229</v>
      </c>
      <c r="C175" s="166" t="s">
        <v>73</v>
      </c>
      <c r="D175" s="51">
        <v>1263284663.75</v>
      </c>
      <c r="E175" s="52">
        <f t="shared" si="116"/>
        <v>1.5021522585811067E-2</v>
      </c>
      <c r="F175" s="51">
        <v>232.94</v>
      </c>
      <c r="G175" s="51">
        <v>234.72</v>
      </c>
      <c r="H175" s="53">
        <v>508</v>
      </c>
      <c r="I175" s="75">
        <v>1.03E-2</v>
      </c>
      <c r="J175" s="75">
        <v>0.26269999999999999</v>
      </c>
      <c r="K175" s="51">
        <v>1307758973.6900001</v>
      </c>
      <c r="L175" s="79">
        <f t="shared" si="117"/>
        <v>1.4857973457526723E-2</v>
      </c>
      <c r="M175" s="51">
        <v>239.61</v>
      </c>
      <c r="N175" s="51">
        <v>241.49</v>
      </c>
      <c r="O175" s="53">
        <v>508</v>
      </c>
      <c r="P175" s="75">
        <v>2.87E-2</v>
      </c>
      <c r="Q175" s="75">
        <v>3.7699999999999997E-2</v>
      </c>
      <c r="R175" s="81">
        <f t="shared" si="118"/>
        <v>3.5205295541212538E-2</v>
      </c>
      <c r="S175" s="81">
        <f t="shared" si="119"/>
        <v>2.8842876618950283E-2</v>
      </c>
      <c r="T175" s="81">
        <f t="shared" si="119"/>
        <v>0</v>
      </c>
      <c r="U175" s="81">
        <f t="shared" si="120"/>
        <v>1.84E-2</v>
      </c>
      <c r="V175" s="82">
        <f t="shared" si="120"/>
        <v>-0.22499999999999998</v>
      </c>
    </row>
    <row r="176" spans="1:22">
      <c r="A176" s="188">
        <v>153</v>
      </c>
      <c r="B176" s="170" t="s">
        <v>230</v>
      </c>
      <c r="C176" s="166" t="s">
        <v>231</v>
      </c>
      <c r="D176" s="51">
        <v>1309098966.01</v>
      </c>
      <c r="E176" s="52">
        <f t="shared" si="116"/>
        <v>1.5566293369387965E-2</v>
      </c>
      <c r="F176" s="51">
        <v>2.1366999999999998</v>
      </c>
      <c r="G176" s="51">
        <v>2.1724999999999999</v>
      </c>
      <c r="H176" s="53">
        <v>3847</v>
      </c>
      <c r="I176" s="75">
        <v>1.0999999999999999E-2</v>
      </c>
      <c r="J176" s="75">
        <v>0.45960000000000001</v>
      </c>
      <c r="K176" s="51">
        <v>1412690417.3800001</v>
      </c>
      <c r="L176" s="79">
        <f t="shared" si="117"/>
        <v>1.6050141614329258E-2</v>
      </c>
      <c r="M176" s="51">
        <v>2.1833999999999998</v>
      </c>
      <c r="N176" s="51">
        <v>2.2198000000000002</v>
      </c>
      <c r="O176" s="53">
        <v>3958</v>
      </c>
      <c r="P176" s="75">
        <v>2.1899999999999999E-2</v>
      </c>
      <c r="Q176" s="75">
        <v>0.49149999999999999</v>
      </c>
      <c r="R176" s="81">
        <f t="shared" si="118"/>
        <v>7.9131871661113823E-2</v>
      </c>
      <c r="S176" s="81">
        <f t="shared" si="119"/>
        <v>2.1772151898734337E-2</v>
      </c>
      <c r="T176" s="81">
        <f t="shared" si="119"/>
        <v>2.8853652196516765E-2</v>
      </c>
      <c r="U176" s="81">
        <f t="shared" si="120"/>
        <v>1.09E-2</v>
      </c>
      <c r="V176" s="82">
        <f t="shared" si="120"/>
        <v>3.1899999999999984E-2</v>
      </c>
    </row>
    <row r="177" spans="1:22">
      <c r="A177" s="188">
        <v>154</v>
      </c>
      <c r="B177" s="170" t="s">
        <v>232</v>
      </c>
      <c r="C177" s="166" t="s">
        <v>30</v>
      </c>
      <c r="D177" s="69">
        <v>204362136.80000001</v>
      </c>
      <c r="E177" s="52">
        <f t="shared" si="116"/>
        <v>2.4300385666941975E-3</v>
      </c>
      <c r="F177" s="51">
        <v>211.1506</v>
      </c>
      <c r="G177" s="51">
        <v>212.45760000000001</v>
      </c>
      <c r="H177" s="53">
        <v>162</v>
      </c>
      <c r="I177" s="75">
        <v>2.7299999999999998E-3</v>
      </c>
      <c r="J177" s="75">
        <v>0.32029999999999997</v>
      </c>
      <c r="K177" s="69">
        <v>215410501.63999999</v>
      </c>
      <c r="L177" s="79">
        <f t="shared" si="117"/>
        <v>2.4473649810322919E-3</v>
      </c>
      <c r="M177" s="51">
        <v>218.21619999999999</v>
      </c>
      <c r="N177" s="51">
        <v>219.56870000000001</v>
      </c>
      <c r="O177" s="53">
        <v>160</v>
      </c>
      <c r="P177" s="75">
        <v>6.5599999999999999E-3</v>
      </c>
      <c r="Q177" s="75">
        <v>3.39E-2</v>
      </c>
      <c r="R177" s="81">
        <f t="shared" si="118"/>
        <v>5.40626801666911E-2</v>
      </c>
      <c r="S177" s="81">
        <f t="shared" si="119"/>
        <v>3.3470678384769442E-2</v>
      </c>
      <c r="T177" s="81">
        <f t="shared" si="119"/>
        <v>-1.2345679012345678E-2</v>
      </c>
      <c r="U177" s="81">
        <f t="shared" si="120"/>
        <v>3.8300000000000001E-3</v>
      </c>
      <c r="V177" s="82">
        <f t="shared" si="120"/>
        <v>-0.28639999999999999</v>
      </c>
    </row>
    <row r="178" spans="1:22">
      <c r="A178" s="188">
        <v>155</v>
      </c>
      <c r="B178" s="170" t="s">
        <v>233</v>
      </c>
      <c r="C178" s="166" t="s">
        <v>79</v>
      </c>
      <c r="D178" s="69">
        <v>502627061.74000001</v>
      </c>
      <c r="E178" s="52">
        <f t="shared" si="116"/>
        <v>5.9766606662941561E-3</v>
      </c>
      <c r="F178" s="51">
        <v>175.05</v>
      </c>
      <c r="G178" s="51">
        <v>176.13</v>
      </c>
      <c r="H178" s="53">
        <v>53</v>
      </c>
      <c r="I178" s="75">
        <v>1.0200000000000001E-2</v>
      </c>
      <c r="J178" s="75">
        <v>9.4999999999999998E-3</v>
      </c>
      <c r="K178" s="69">
        <v>489946419.70999998</v>
      </c>
      <c r="L178" s="79">
        <f t="shared" si="117"/>
        <v>5.5664774978535416E-3</v>
      </c>
      <c r="M178" s="51">
        <v>170.63</v>
      </c>
      <c r="N178" s="51">
        <v>170.64</v>
      </c>
      <c r="O178" s="53">
        <v>53</v>
      </c>
      <c r="P178" s="75">
        <v>9.4999999999999998E-3</v>
      </c>
      <c r="Q178" s="75">
        <v>1.89E-2</v>
      </c>
      <c r="R178" s="81">
        <f t="shared" si="118"/>
        <v>-2.5228729201531731E-2</v>
      </c>
      <c r="S178" s="81">
        <f t="shared" si="119"/>
        <v>-3.1170158405723097E-2</v>
      </c>
      <c r="T178" s="81">
        <f t="shared" si="119"/>
        <v>0</v>
      </c>
      <c r="U178" s="81">
        <f t="shared" si="120"/>
        <v>-7.0000000000000097E-4</v>
      </c>
      <c r="V178" s="82">
        <f t="shared" si="120"/>
        <v>9.4000000000000004E-3</v>
      </c>
    </row>
    <row r="179" spans="1:22" ht="15.75" customHeight="1">
      <c r="A179" s="188">
        <v>156</v>
      </c>
      <c r="B179" s="170" t="s">
        <v>234</v>
      </c>
      <c r="C179" s="166" t="s">
        <v>82</v>
      </c>
      <c r="D179" s="57">
        <v>525428278.16000003</v>
      </c>
      <c r="E179" s="52">
        <f t="shared" si="116"/>
        <v>6.247786404827445E-3</v>
      </c>
      <c r="F179" s="51">
        <v>1.8366</v>
      </c>
      <c r="G179" s="51">
        <v>1.8566</v>
      </c>
      <c r="H179" s="53">
        <v>119</v>
      </c>
      <c r="I179" s="75">
        <v>0.43509999999999999</v>
      </c>
      <c r="J179" s="75">
        <v>1.436E-2</v>
      </c>
      <c r="K179" s="57">
        <v>562462295.62</v>
      </c>
      <c r="L179" s="79">
        <f t="shared" si="117"/>
        <v>6.390359406673451E-3</v>
      </c>
      <c r="M179" s="51">
        <v>1.88</v>
      </c>
      <c r="N179" s="51">
        <v>1.9</v>
      </c>
      <c r="O179" s="53">
        <v>121</v>
      </c>
      <c r="P179" s="75">
        <v>0.43509999999999999</v>
      </c>
      <c r="Q179" s="75">
        <v>3.7900000000000003E-2</v>
      </c>
      <c r="R179" s="81">
        <f t="shared" si="118"/>
        <v>7.0483487469859052E-2</v>
      </c>
      <c r="S179" s="81">
        <f t="shared" si="119"/>
        <v>2.3376063772487278E-2</v>
      </c>
      <c r="T179" s="81">
        <f t="shared" si="119"/>
        <v>1.680672268907563E-2</v>
      </c>
      <c r="U179" s="81">
        <f t="shared" si="120"/>
        <v>0</v>
      </c>
      <c r="V179" s="82">
        <f t="shared" si="120"/>
        <v>2.3540000000000005E-2</v>
      </c>
    </row>
    <row r="180" spans="1:22">
      <c r="A180" s="188">
        <v>157</v>
      </c>
      <c r="B180" s="170" t="s">
        <v>235</v>
      </c>
      <c r="C180" s="166" t="s">
        <v>32</v>
      </c>
      <c r="D180" s="51">
        <v>14037716038.08</v>
      </c>
      <c r="E180" s="52">
        <f t="shared" si="116"/>
        <v>0.16692031065529586</v>
      </c>
      <c r="F180" s="51">
        <v>423.53</v>
      </c>
      <c r="G180" s="51">
        <v>427.5</v>
      </c>
      <c r="H180" s="53">
        <v>5550</v>
      </c>
      <c r="I180" s="75">
        <v>1.4E-2</v>
      </c>
      <c r="J180" s="75">
        <v>0.45610000000000001</v>
      </c>
      <c r="K180" s="51">
        <v>14604042545.02</v>
      </c>
      <c r="L180" s="79">
        <f t="shared" si="117"/>
        <v>0.16592237627262812</v>
      </c>
      <c r="M180" s="51">
        <v>445.93</v>
      </c>
      <c r="N180" s="51">
        <v>450.34</v>
      </c>
      <c r="O180" s="53">
        <v>5550</v>
      </c>
      <c r="P180" s="75">
        <v>-3.6900000000000002E-2</v>
      </c>
      <c r="Q180" s="75">
        <v>4.1099999999999998E-2</v>
      </c>
      <c r="R180" s="81">
        <f t="shared" si="118"/>
        <v>4.0343208639050054E-2</v>
      </c>
      <c r="S180" s="81">
        <f t="shared" si="119"/>
        <v>5.342690058479526E-2</v>
      </c>
      <c r="T180" s="81">
        <f t="shared" si="119"/>
        <v>0</v>
      </c>
      <c r="U180" s="81">
        <f t="shared" si="120"/>
        <v>-5.0900000000000001E-2</v>
      </c>
      <c r="V180" s="82">
        <f t="shared" si="120"/>
        <v>-0.41500000000000004</v>
      </c>
    </row>
    <row r="181" spans="1:22">
      <c r="A181" s="188">
        <v>158</v>
      </c>
      <c r="B181" s="170" t="s">
        <v>236</v>
      </c>
      <c r="C181" s="166" t="s">
        <v>92</v>
      </c>
      <c r="D181" s="51">
        <v>4468261862.3500004</v>
      </c>
      <c r="E181" s="52">
        <f t="shared" si="116"/>
        <v>5.3131410845569806E-2</v>
      </c>
      <c r="F181" s="51">
        <v>3.0836000000000001</v>
      </c>
      <c r="G181" s="51">
        <v>3.1444000000000001</v>
      </c>
      <c r="H181" s="53">
        <v>10207</v>
      </c>
      <c r="I181" s="75">
        <v>9.4999999999999998E-3</v>
      </c>
      <c r="J181" s="75">
        <v>7.6E-3</v>
      </c>
      <c r="K181" s="51">
        <v>4619823434.5799999</v>
      </c>
      <c r="L181" s="79">
        <f t="shared" si="117"/>
        <v>5.2487664279427651E-2</v>
      </c>
      <c r="M181" s="51">
        <v>3.1871</v>
      </c>
      <c r="N181" s="51">
        <v>3.1444000000000001</v>
      </c>
      <c r="O181" s="53">
        <v>10207</v>
      </c>
      <c r="P181" s="75">
        <v>3.39E-2</v>
      </c>
      <c r="Q181" s="75">
        <v>4.1799999999999997E-2</v>
      </c>
      <c r="R181" s="81">
        <f t="shared" si="118"/>
        <v>3.3919581461210178E-2</v>
      </c>
      <c r="S181" s="81">
        <f t="shared" si="119"/>
        <v>0</v>
      </c>
      <c r="T181" s="81">
        <f t="shared" si="119"/>
        <v>0</v>
      </c>
      <c r="U181" s="81">
        <f t="shared" si="120"/>
        <v>2.4399999999999998E-2</v>
      </c>
      <c r="V181" s="82">
        <f t="shared" si="120"/>
        <v>3.4199999999999994E-2</v>
      </c>
    </row>
    <row r="182" spans="1:22">
      <c r="A182" s="188">
        <v>159</v>
      </c>
      <c r="B182" s="170" t="s">
        <v>237</v>
      </c>
      <c r="C182" s="166" t="s">
        <v>94</v>
      </c>
      <c r="D182" s="51">
        <v>305139584.63</v>
      </c>
      <c r="E182" s="52">
        <f t="shared" si="116"/>
        <v>3.6283676148954219E-3</v>
      </c>
      <c r="F182" s="51">
        <v>347.84</v>
      </c>
      <c r="G182" s="51">
        <v>350.23</v>
      </c>
      <c r="H182" s="53">
        <v>32</v>
      </c>
      <c r="I182" s="75">
        <v>1.1999999999999999E-3</v>
      </c>
      <c r="J182" s="75">
        <v>6.9999999999999999E-4</v>
      </c>
      <c r="K182" s="51">
        <v>306840718.33999997</v>
      </c>
      <c r="L182" s="79">
        <f t="shared" si="117"/>
        <v>3.4861402907603797E-3</v>
      </c>
      <c r="M182" s="51">
        <v>349.77</v>
      </c>
      <c r="N182" s="51">
        <v>352.17</v>
      </c>
      <c r="O182" s="53">
        <v>65</v>
      </c>
      <c r="P182" s="75">
        <v>5.5999999999999999E-3</v>
      </c>
      <c r="Q182" s="75">
        <v>6.1999999999999998E-3</v>
      </c>
      <c r="R182" s="81">
        <f t="shared" si="118"/>
        <v>5.5749361790037987E-3</v>
      </c>
      <c r="S182" s="81">
        <f t="shared" si="119"/>
        <v>5.5392170859149634E-3</v>
      </c>
      <c r="T182" s="81">
        <f t="shared" si="119"/>
        <v>1.03125</v>
      </c>
      <c r="U182" s="81">
        <f t="shared" si="120"/>
        <v>4.4000000000000003E-3</v>
      </c>
      <c r="V182" s="82">
        <f t="shared" si="120"/>
        <v>5.4999999999999997E-3</v>
      </c>
    </row>
    <row r="183" spans="1:22">
      <c r="A183" s="188">
        <v>160</v>
      </c>
      <c r="B183" s="170" t="s">
        <v>238</v>
      </c>
      <c r="C183" s="170" t="s">
        <v>96</v>
      </c>
      <c r="D183" s="72">
        <v>72614753</v>
      </c>
      <c r="E183" s="52">
        <f t="shared" si="116"/>
        <v>8.6345079897879185E-4</v>
      </c>
      <c r="F183" s="51">
        <v>1.4363999999999999</v>
      </c>
      <c r="G183" s="51">
        <v>1.4363999999999999</v>
      </c>
      <c r="H183" s="53">
        <v>23</v>
      </c>
      <c r="I183" s="75">
        <v>-2.0000000000000001E-4</v>
      </c>
      <c r="J183" s="75">
        <v>0.18840000000000001</v>
      </c>
      <c r="K183" s="72">
        <v>74270552.090000004</v>
      </c>
      <c r="L183" s="79">
        <f t="shared" si="117"/>
        <v>8.4381748764865243E-4</v>
      </c>
      <c r="M183" s="51">
        <v>1.4690000000000001</v>
      </c>
      <c r="N183" s="51">
        <v>1.4690000000000001</v>
      </c>
      <c r="O183" s="53">
        <v>23</v>
      </c>
      <c r="P183" s="75">
        <v>2.2800000000000001E-2</v>
      </c>
      <c r="Q183" s="75">
        <v>0.2155</v>
      </c>
      <c r="R183" s="81">
        <f t="shared" si="118"/>
        <v>2.2802516315107532E-2</v>
      </c>
      <c r="S183" s="81">
        <f t="shared" si="119"/>
        <v>2.2695627958785984E-2</v>
      </c>
      <c r="T183" s="81">
        <f t="shared" si="119"/>
        <v>0</v>
      </c>
      <c r="U183" s="81">
        <f t="shared" si="120"/>
        <v>2.3E-2</v>
      </c>
      <c r="V183" s="82">
        <f t="shared" si="120"/>
        <v>2.7099999999999985E-2</v>
      </c>
    </row>
    <row r="184" spans="1:22" ht="13.5" customHeight="1">
      <c r="A184" s="188">
        <v>161</v>
      </c>
      <c r="B184" s="170" t="s">
        <v>239</v>
      </c>
      <c r="C184" s="166" t="s">
        <v>38</v>
      </c>
      <c r="D184" s="57">
        <v>6031181658.8299999</v>
      </c>
      <c r="E184" s="52">
        <f t="shared" si="116"/>
        <v>7.1715848459926582E-2</v>
      </c>
      <c r="F184" s="51">
        <v>6.2343570000000001</v>
      </c>
      <c r="G184" s="51">
        <v>6.3522230000000004</v>
      </c>
      <c r="H184" s="53">
        <v>4093</v>
      </c>
      <c r="I184" s="75">
        <v>4.3E-3</v>
      </c>
      <c r="J184" s="75">
        <v>3.8999999999999998E-3</v>
      </c>
      <c r="K184" s="57">
        <v>6341290118.4099998</v>
      </c>
      <c r="L184" s="79">
        <f t="shared" si="117"/>
        <v>7.2045936721781959E-2</v>
      </c>
      <c r="M184" s="51">
        <v>6.4272999999999998</v>
      </c>
      <c r="N184" s="51">
        <v>6.5678999999999998</v>
      </c>
      <c r="O184" s="53">
        <v>4220</v>
      </c>
      <c r="P184" s="75">
        <v>3.09E-2</v>
      </c>
      <c r="Q184" s="75">
        <v>3.5000000000000003E-2</v>
      </c>
      <c r="R184" s="81">
        <f t="shared" si="118"/>
        <v>5.1417529287313565E-2</v>
      </c>
      <c r="S184" s="81">
        <f t="shared" si="119"/>
        <v>3.3952995667815733E-2</v>
      </c>
      <c r="T184" s="81">
        <f t="shared" si="119"/>
        <v>3.1028585389689715E-2</v>
      </c>
      <c r="U184" s="81">
        <f t="shared" si="120"/>
        <v>2.6599999999999999E-2</v>
      </c>
      <c r="V184" s="82">
        <f t="shared" si="120"/>
        <v>3.1100000000000003E-2</v>
      </c>
    </row>
    <row r="185" spans="1:22" ht="13.5" customHeight="1">
      <c r="A185" s="188">
        <v>162</v>
      </c>
      <c r="B185" s="170" t="s">
        <v>240</v>
      </c>
      <c r="C185" s="166" t="s">
        <v>241</v>
      </c>
      <c r="D185" s="57">
        <v>105854323.65000001</v>
      </c>
      <c r="E185" s="52">
        <f t="shared" si="116"/>
        <v>1.2586973935028345E-3</v>
      </c>
      <c r="F185" s="51">
        <v>2.7951999999999999</v>
      </c>
      <c r="G185" s="51">
        <v>2.8094999999999999</v>
      </c>
      <c r="H185" s="53">
        <v>113</v>
      </c>
      <c r="I185" s="75">
        <v>-3.0000000000000001E-5</v>
      </c>
      <c r="J185" s="75">
        <v>2.3999999999999998E-3</v>
      </c>
      <c r="K185" s="57">
        <v>105691276.62</v>
      </c>
      <c r="L185" s="79">
        <f t="shared" si="117"/>
        <v>1.2008009230333318E-3</v>
      </c>
      <c r="M185" s="51">
        <v>2.8090000000000002</v>
      </c>
      <c r="N185" s="51">
        <v>2.8235000000000001</v>
      </c>
      <c r="O185" s="53">
        <v>113</v>
      </c>
      <c r="P185" s="75">
        <v>5.0000000000000002E-5</v>
      </c>
      <c r="Q185" s="75">
        <v>7.3999999999999996E-5</v>
      </c>
      <c r="R185" s="81">
        <f t="shared" si="118"/>
        <v>-1.540296365589231E-3</v>
      </c>
      <c r="S185" s="81">
        <f t="shared" si="119"/>
        <v>4.9830930770600589E-3</v>
      </c>
      <c r="T185" s="81">
        <f t="shared" si="119"/>
        <v>0</v>
      </c>
      <c r="U185" s="81">
        <f>P185-I185</f>
        <v>8.0000000000000007E-5</v>
      </c>
      <c r="V185" s="82">
        <f>Q185-J185</f>
        <v>-2.3259999999999999E-3</v>
      </c>
    </row>
    <row r="186" spans="1:22">
      <c r="A186" s="188">
        <v>163</v>
      </c>
      <c r="B186" s="170" t="s">
        <v>242</v>
      </c>
      <c r="C186" s="166" t="s">
        <v>151</v>
      </c>
      <c r="D186" s="57">
        <v>973167115.20000005</v>
      </c>
      <c r="E186" s="52">
        <f t="shared" si="116"/>
        <v>1.1571779678976888E-2</v>
      </c>
      <c r="F186" s="51">
        <v>364.63</v>
      </c>
      <c r="G186" s="51">
        <v>369.01</v>
      </c>
      <c r="H186" s="53">
        <v>158</v>
      </c>
      <c r="I186" s="75">
        <v>1.37E-2</v>
      </c>
      <c r="J186" s="75">
        <v>0.44629999999999997</v>
      </c>
      <c r="K186" s="57">
        <v>1071763848.9</v>
      </c>
      <c r="L186" s="79">
        <f t="shared" si="117"/>
        <v>1.2176738328746248E-2</v>
      </c>
      <c r="M186" s="51">
        <v>366.1</v>
      </c>
      <c r="N186" s="51">
        <v>370.86</v>
      </c>
      <c r="O186" s="53">
        <v>158</v>
      </c>
      <c r="P186" s="75">
        <v>1.37E-2</v>
      </c>
      <c r="Q186" s="75">
        <v>0.44629999999999997</v>
      </c>
      <c r="R186" s="81">
        <f t="shared" si="118"/>
        <v>0.10131531590002078</v>
      </c>
      <c r="S186" s="81">
        <f t="shared" si="119"/>
        <v>5.0134142706160338E-3</v>
      </c>
      <c r="T186" s="81">
        <f t="shared" si="119"/>
        <v>0</v>
      </c>
      <c r="U186" s="81">
        <f t="shared" si="120"/>
        <v>0</v>
      </c>
      <c r="V186" s="82">
        <f t="shared" si="120"/>
        <v>0</v>
      </c>
    </row>
    <row r="187" spans="1:22">
      <c r="A187" s="188">
        <v>164</v>
      </c>
      <c r="B187" s="170" t="s">
        <v>243</v>
      </c>
      <c r="C187" s="166" t="s">
        <v>34</v>
      </c>
      <c r="D187" s="57">
        <v>2176568832.1300001</v>
      </c>
      <c r="E187" s="52">
        <f t="shared" si="116"/>
        <v>2.5881243404284313E-2</v>
      </c>
      <c r="F187" s="51">
        <v>552.22</v>
      </c>
      <c r="G187" s="51">
        <v>552.22</v>
      </c>
      <c r="H187" s="53">
        <v>823</v>
      </c>
      <c r="I187" s="75">
        <v>-4.45E-3</v>
      </c>
      <c r="J187" s="75">
        <v>1.166E-2</v>
      </c>
      <c r="K187" s="57">
        <v>2232806078.5999999</v>
      </c>
      <c r="L187" s="79">
        <f t="shared" si="117"/>
        <v>2.5367804097750465E-2</v>
      </c>
      <c r="M187" s="51">
        <v>552.22</v>
      </c>
      <c r="N187" s="51">
        <v>552.22</v>
      </c>
      <c r="O187" s="53">
        <v>823</v>
      </c>
      <c r="P187" s="75">
        <v>2.58E-2</v>
      </c>
      <c r="Q187" s="75">
        <v>1.72E-2</v>
      </c>
      <c r="R187" s="81">
        <f t="shared" si="118"/>
        <v>2.5837568580344764E-2</v>
      </c>
      <c r="S187" s="81">
        <f t="shared" si="119"/>
        <v>0</v>
      </c>
      <c r="T187" s="81">
        <f t="shared" si="119"/>
        <v>0</v>
      </c>
      <c r="U187" s="81">
        <f t="shared" si="120"/>
        <v>3.0249999999999999E-2</v>
      </c>
      <c r="V187" s="82">
        <f t="shared" si="120"/>
        <v>5.5399999999999998E-3</v>
      </c>
    </row>
    <row r="188" spans="1:22">
      <c r="A188" s="188">
        <v>165</v>
      </c>
      <c r="B188" s="170" t="s">
        <v>244</v>
      </c>
      <c r="C188" s="166" t="s">
        <v>106</v>
      </c>
      <c r="D188" s="51">
        <v>46788641.880000003</v>
      </c>
      <c r="E188" s="52">
        <f t="shared" si="116"/>
        <v>5.5635650532913838E-4</v>
      </c>
      <c r="F188" s="51">
        <v>2.64</v>
      </c>
      <c r="G188" s="51">
        <v>2.64</v>
      </c>
      <c r="H188" s="53">
        <v>8</v>
      </c>
      <c r="I188" s="75">
        <v>9.9850000000000008E-3</v>
      </c>
      <c r="J188" s="75">
        <v>5.3959999999999998E-3</v>
      </c>
      <c r="K188" s="51">
        <v>48901895.210000001</v>
      </c>
      <c r="L188" s="79">
        <f t="shared" si="117"/>
        <v>5.5559401668855784E-4</v>
      </c>
      <c r="M188" s="51">
        <v>2.76</v>
      </c>
      <c r="N188" s="51">
        <v>2.76</v>
      </c>
      <c r="O188" s="53">
        <v>8</v>
      </c>
      <c r="P188" s="75">
        <v>4.5165999999999998E-2</v>
      </c>
      <c r="Q188" s="75">
        <v>5.0805000000000003E-2</v>
      </c>
      <c r="R188" s="81">
        <f t="shared" si="118"/>
        <v>4.5165947227532525E-2</v>
      </c>
      <c r="S188" s="81">
        <f t="shared" si="119"/>
        <v>4.5454545454545324E-2</v>
      </c>
      <c r="T188" s="81">
        <f t="shared" si="119"/>
        <v>0</v>
      </c>
      <c r="U188" s="81">
        <f t="shared" si="120"/>
        <v>3.5180999999999997E-2</v>
      </c>
      <c r="V188" s="82">
        <f t="shared" si="120"/>
        <v>4.5409000000000005E-2</v>
      </c>
    </row>
    <row r="189" spans="1:22">
      <c r="A189" s="188">
        <v>166</v>
      </c>
      <c r="B189" s="170" t="s">
        <v>245</v>
      </c>
      <c r="C189" s="166" t="s">
        <v>46</v>
      </c>
      <c r="D189" s="51">
        <v>400822307.22000003</v>
      </c>
      <c r="E189" s="52">
        <f t="shared" si="116"/>
        <v>4.7661160731020018E-3</v>
      </c>
      <c r="F189" s="51">
        <v>3.37</v>
      </c>
      <c r="G189" s="51">
        <v>3.44</v>
      </c>
      <c r="H189" s="53">
        <v>138</v>
      </c>
      <c r="I189" s="75">
        <v>0.28539999999999999</v>
      </c>
      <c r="J189" s="75">
        <v>0.2888</v>
      </c>
      <c r="K189" s="51">
        <v>417601786.88</v>
      </c>
      <c r="L189" s="79">
        <f t="shared" si="117"/>
        <v>4.7445411502483629E-3</v>
      </c>
      <c r="M189" s="51">
        <v>3.5114339999999999</v>
      </c>
      <c r="N189" s="51">
        <v>3.5836100000000002</v>
      </c>
      <c r="O189" s="53">
        <v>138</v>
      </c>
      <c r="P189" s="75">
        <v>1.3100000000000001E-2</v>
      </c>
      <c r="Q189" s="75">
        <v>4.1799999999999997E-2</v>
      </c>
      <c r="R189" s="81">
        <f t="shared" si="118"/>
        <v>4.1862639273692381E-2</v>
      </c>
      <c r="S189" s="81">
        <f t="shared" si="119"/>
        <v>4.1747093023255882E-2</v>
      </c>
      <c r="T189" s="81">
        <f t="shared" si="119"/>
        <v>0</v>
      </c>
      <c r="U189" s="81">
        <f t="shared" si="120"/>
        <v>-0.27229999999999999</v>
      </c>
      <c r="V189" s="82">
        <f t="shared" si="120"/>
        <v>-0.247</v>
      </c>
    </row>
    <row r="190" spans="1:22">
      <c r="A190" s="188">
        <v>167</v>
      </c>
      <c r="B190" s="170" t="s">
        <v>327</v>
      </c>
      <c r="C190" s="166" t="s">
        <v>328</v>
      </c>
      <c r="D190" s="51">
        <v>209660954.94768</v>
      </c>
      <c r="E190" s="52">
        <f t="shared" si="116"/>
        <v>2.4930459938937036E-3</v>
      </c>
      <c r="F190" s="51">
        <v>116.81</v>
      </c>
      <c r="G190" s="51">
        <v>117.43</v>
      </c>
      <c r="H190" s="53">
        <v>106</v>
      </c>
      <c r="I190" s="75">
        <v>1.47E-2</v>
      </c>
      <c r="J190" s="75">
        <v>9.4000000000000004E-3</v>
      </c>
      <c r="K190" s="51">
        <v>207702000.14588699</v>
      </c>
      <c r="L190" s="52">
        <f t="shared" si="117"/>
        <v>2.3597856083030283E-3</v>
      </c>
      <c r="M190" s="51">
        <v>117.07</v>
      </c>
      <c r="N190" s="51">
        <v>116.44</v>
      </c>
      <c r="O190" s="53">
        <v>106</v>
      </c>
      <c r="P190" s="75">
        <v>-3.0999999999999999E-3</v>
      </c>
      <c r="Q190" s="75">
        <v>1.01E-2</v>
      </c>
      <c r="R190" s="81">
        <f t="shared" ref="R190" si="126">((K190-D190)/D190)</f>
        <v>-9.3434411871388158E-3</v>
      </c>
      <c r="S190" s="81">
        <f t="shared" ref="S190" si="127">((N190-G190)/G190)</f>
        <v>-8.4305543728179257E-3</v>
      </c>
      <c r="T190" s="81">
        <f t="shared" ref="T190" si="128">((O190-H190)/H190)</f>
        <v>0</v>
      </c>
      <c r="U190" s="81">
        <f t="shared" ref="U190" si="129">P190-I190</f>
        <v>-1.78E-2</v>
      </c>
      <c r="V190" s="82">
        <f t="shared" ref="V190" si="130">Q190-J190</f>
        <v>6.9999999999999923E-4</v>
      </c>
    </row>
    <row r="191" spans="1:22">
      <c r="A191" s="180">
        <v>168</v>
      </c>
      <c r="B191" s="183" t="s">
        <v>246</v>
      </c>
      <c r="C191" s="166" t="s">
        <v>50</v>
      </c>
      <c r="D191" s="57">
        <v>5067063768.29</v>
      </c>
      <c r="E191" s="52">
        <f t="shared" si="116"/>
        <v>6.0251671712034723E-2</v>
      </c>
      <c r="F191" s="51">
        <v>9714.36</v>
      </c>
      <c r="G191" s="51">
        <v>9800.06</v>
      </c>
      <c r="H191" s="53">
        <v>3826</v>
      </c>
      <c r="I191" s="75">
        <v>6.1999999999999998E-3</v>
      </c>
      <c r="J191" s="75">
        <v>7.0000000000000001E-3</v>
      </c>
      <c r="K191" s="57">
        <v>5357867002.6000004</v>
      </c>
      <c r="L191" s="52">
        <f t="shared" si="117"/>
        <v>6.0872872842132497E-2</v>
      </c>
      <c r="M191" s="51">
        <v>10000.52</v>
      </c>
      <c r="N191" s="51">
        <v>10088.98</v>
      </c>
      <c r="O191" s="53">
        <v>3969</v>
      </c>
      <c r="P191" s="75">
        <v>2.9499999999999998E-2</v>
      </c>
      <c r="Q191" s="75">
        <v>3.6700000000000003E-2</v>
      </c>
      <c r="R191" s="81">
        <f t="shared" si="118"/>
        <v>5.7390877164377747E-2</v>
      </c>
      <c r="S191" s="81">
        <f t="shared" si="119"/>
        <v>2.9481452154374574E-2</v>
      </c>
      <c r="T191" s="81">
        <f t="shared" si="119"/>
        <v>3.7375849451123891E-2</v>
      </c>
      <c r="U191" s="81">
        <f t="shared" si="120"/>
        <v>2.3299999999999998E-2</v>
      </c>
      <c r="V191" s="82">
        <f t="shared" si="120"/>
        <v>2.9700000000000004E-2</v>
      </c>
    </row>
    <row r="192" spans="1:22">
      <c r="A192" s="188">
        <v>169</v>
      </c>
      <c r="B192" s="170" t="s">
        <v>247</v>
      </c>
      <c r="C192" s="170" t="s">
        <v>116</v>
      </c>
      <c r="D192" s="57">
        <v>167556367.59999999</v>
      </c>
      <c r="E192" s="52">
        <f t="shared" si="116"/>
        <v>1.9923868566791673E-3</v>
      </c>
      <c r="F192" s="51">
        <v>1448.47</v>
      </c>
      <c r="G192" s="51">
        <v>1468.96</v>
      </c>
      <c r="H192" s="53">
        <v>59</v>
      </c>
      <c r="I192" s="75">
        <v>2.8199999999999999E-2</v>
      </c>
      <c r="J192" s="75">
        <v>4.0000000000000001E-3</v>
      </c>
      <c r="K192" s="57">
        <v>164527837.41</v>
      </c>
      <c r="L192" s="52">
        <f t="shared" si="117"/>
        <v>1.8692666542095735E-3</v>
      </c>
      <c r="M192" s="51">
        <v>1478.59</v>
      </c>
      <c r="N192" s="51">
        <v>1468.96</v>
      </c>
      <c r="O192" s="53">
        <v>59</v>
      </c>
      <c r="P192" s="75">
        <v>-2.2100000000000002E-2</v>
      </c>
      <c r="Q192" s="75">
        <v>2.5000000000000001E-2</v>
      </c>
      <c r="R192" s="81">
        <f t="shared" si="118"/>
        <v>-1.8074694703515391E-2</v>
      </c>
      <c r="S192" s="81">
        <f t="shared" si="119"/>
        <v>0</v>
      </c>
      <c r="T192" s="81">
        <f t="shared" si="119"/>
        <v>0</v>
      </c>
      <c r="U192" s="81">
        <f t="shared" si="120"/>
        <v>-5.0299999999999997E-2</v>
      </c>
      <c r="V192" s="82">
        <f t="shared" si="120"/>
        <v>2.1000000000000001E-2</v>
      </c>
    </row>
    <row r="193" spans="1:22">
      <c r="A193" s="188">
        <v>170</v>
      </c>
      <c r="B193" s="170" t="s">
        <v>248</v>
      </c>
      <c r="C193" s="170" t="s">
        <v>96</v>
      </c>
      <c r="D193" s="57">
        <v>802464928.70000005</v>
      </c>
      <c r="E193" s="52">
        <f t="shared" si="116"/>
        <v>9.5419863762185395E-3</v>
      </c>
      <c r="F193" s="51">
        <v>1.5253000000000001</v>
      </c>
      <c r="G193" s="51">
        <v>1.5253000000000001</v>
      </c>
      <c r="H193" s="53">
        <v>46</v>
      </c>
      <c r="I193" s="75">
        <v>2.0999999999999999E-3</v>
      </c>
      <c r="J193" s="75">
        <v>0.13830000000000001</v>
      </c>
      <c r="K193" s="57">
        <v>804842186.61000001</v>
      </c>
      <c r="L193" s="52">
        <f t="shared" si="117"/>
        <v>9.1441344213508188E-3</v>
      </c>
      <c r="M193" s="51">
        <v>1.5329999999999999</v>
      </c>
      <c r="N193" s="51">
        <v>1.5329999999999999</v>
      </c>
      <c r="O193" s="53">
        <v>46</v>
      </c>
      <c r="P193" s="75">
        <v>3.0000000000000001E-3</v>
      </c>
      <c r="Q193" s="75">
        <v>0.1416</v>
      </c>
      <c r="R193" s="81">
        <f t="shared" si="118"/>
        <v>2.9624446190454012E-3</v>
      </c>
      <c r="S193" s="81">
        <f t="shared" si="119"/>
        <v>5.0481872418539422E-3</v>
      </c>
      <c r="T193" s="81">
        <f t="shared" si="119"/>
        <v>0</v>
      </c>
      <c r="U193" s="81">
        <f t="shared" si="120"/>
        <v>9.0000000000000019E-4</v>
      </c>
      <c r="V193" s="82">
        <f t="shared" si="120"/>
        <v>3.2999999999999974E-3</v>
      </c>
    </row>
    <row r="194" spans="1:22">
      <c r="A194" s="188">
        <v>171</v>
      </c>
      <c r="B194" s="170" t="s">
        <v>249</v>
      </c>
      <c r="C194" s="166" t="s">
        <v>53</v>
      </c>
      <c r="D194" s="51">
        <v>3665024390.4699998</v>
      </c>
      <c r="E194" s="52">
        <f t="shared" si="116"/>
        <v>4.3580238277861817E-2</v>
      </c>
      <c r="F194" s="51">
        <v>2.2189000000000001</v>
      </c>
      <c r="G194" s="51">
        <v>2.2355999999999998</v>
      </c>
      <c r="H194" s="53">
        <v>2955</v>
      </c>
      <c r="I194" s="75">
        <v>4.7999999999999996E-3</v>
      </c>
      <c r="J194" s="75">
        <v>-8.9999999999999998E-4</v>
      </c>
      <c r="K194" s="51">
        <v>3971919543.02</v>
      </c>
      <c r="L194" s="79">
        <f t="shared" si="117"/>
        <v>4.5126568681922934E-2</v>
      </c>
      <c r="M194" s="51">
        <v>2.3144999999999998</v>
      </c>
      <c r="N194" s="51">
        <v>2.3315999999999999</v>
      </c>
      <c r="O194" s="53">
        <v>2971</v>
      </c>
      <c r="P194" s="75">
        <v>4.3099999999999999E-2</v>
      </c>
      <c r="Q194" s="75">
        <v>4.2099999999999999E-2</v>
      </c>
      <c r="R194" s="81">
        <f t="shared" si="118"/>
        <v>8.3736182860885189E-2</v>
      </c>
      <c r="S194" s="81">
        <f t="shared" si="119"/>
        <v>4.2941492216854581E-2</v>
      </c>
      <c r="T194" s="81">
        <f t="shared" si="119"/>
        <v>5.4145516074450084E-3</v>
      </c>
      <c r="U194" s="81">
        <f t="shared" si="120"/>
        <v>3.8300000000000001E-2</v>
      </c>
      <c r="V194" s="82">
        <f t="shared" si="120"/>
        <v>4.2999999999999997E-2</v>
      </c>
    </row>
    <row r="195" spans="1:22">
      <c r="A195" s="188">
        <v>172</v>
      </c>
      <c r="B195" s="170" t="s">
        <v>250</v>
      </c>
      <c r="C195" s="166" t="s">
        <v>53</v>
      </c>
      <c r="D195" s="51">
        <v>2469569838.4499998</v>
      </c>
      <c r="E195" s="52">
        <f t="shared" si="116"/>
        <v>2.9365273061571637E-2</v>
      </c>
      <c r="F195" s="51">
        <v>1.7912999999999999</v>
      </c>
      <c r="G195" s="51">
        <v>1.8035000000000001</v>
      </c>
      <c r="H195" s="53">
        <v>1492</v>
      </c>
      <c r="I195" s="75">
        <v>8.9999999999999993E-3</v>
      </c>
      <c r="J195" s="75">
        <v>2.0999999999999999E-3</v>
      </c>
      <c r="K195" s="51">
        <v>2637079462.1799998</v>
      </c>
      <c r="L195" s="79">
        <f t="shared" si="117"/>
        <v>2.9960915920082355E-2</v>
      </c>
      <c r="M195" s="51">
        <v>1.8526</v>
      </c>
      <c r="N195" s="51">
        <v>1.8652</v>
      </c>
      <c r="O195" s="53">
        <v>1505</v>
      </c>
      <c r="P195" s="75">
        <v>3.4200000000000001E-2</v>
      </c>
      <c r="Q195" s="75">
        <v>3.6400000000000002E-2</v>
      </c>
      <c r="R195" s="81">
        <f t="shared" si="118"/>
        <v>6.7829474235535578E-2</v>
      </c>
      <c r="S195" s="81">
        <f t="shared" si="119"/>
        <v>3.4211255891322352E-2</v>
      </c>
      <c r="T195" s="81">
        <f t="shared" si="119"/>
        <v>8.7131367292225207E-3</v>
      </c>
      <c r="U195" s="81">
        <f t="shared" si="120"/>
        <v>2.52E-2</v>
      </c>
      <c r="V195" s="82">
        <f t="shared" si="120"/>
        <v>3.4300000000000004E-2</v>
      </c>
    </row>
    <row r="196" spans="1:22">
      <c r="A196" s="188">
        <v>173</v>
      </c>
      <c r="B196" s="170" t="s">
        <v>251</v>
      </c>
      <c r="C196" s="166" t="s">
        <v>121</v>
      </c>
      <c r="D196" s="57">
        <v>10822797228.629999</v>
      </c>
      <c r="E196" s="52">
        <f t="shared" si="116"/>
        <v>0.12869220823826291</v>
      </c>
      <c r="F196" s="51">
        <v>691.65</v>
      </c>
      <c r="G196" s="51">
        <v>699.28</v>
      </c>
      <c r="H196" s="53">
        <v>37</v>
      </c>
      <c r="I196" s="75">
        <v>7.1000000000000004E-3</v>
      </c>
      <c r="J196" s="75">
        <v>5.7999999999999996E-3</v>
      </c>
      <c r="K196" s="57">
        <v>11120005795.110001</v>
      </c>
      <c r="L196" s="79">
        <f t="shared" si="117"/>
        <v>0.12633883940027374</v>
      </c>
      <c r="M196" s="51">
        <v>710.53</v>
      </c>
      <c r="N196" s="51">
        <v>718.55</v>
      </c>
      <c r="O196" s="53">
        <v>37</v>
      </c>
      <c r="P196" s="75">
        <v>2.75E-2</v>
      </c>
      <c r="Q196" s="75">
        <v>3.3399999999999999E-2</v>
      </c>
      <c r="R196" s="81">
        <f t="shared" si="118"/>
        <v>2.7461344807771432E-2</v>
      </c>
      <c r="S196" s="81">
        <f t="shared" si="119"/>
        <v>2.7556915684704242E-2</v>
      </c>
      <c r="T196" s="81">
        <f t="shared" si="119"/>
        <v>0</v>
      </c>
      <c r="U196" s="81">
        <f t="shared" si="120"/>
        <v>2.0400000000000001E-2</v>
      </c>
      <c r="V196" s="82">
        <f t="shared" si="120"/>
        <v>2.76E-2</v>
      </c>
    </row>
    <row r="197" spans="1:22">
      <c r="A197" s="60"/>
      <c r="B197" s="61"/>
      <c r="C197" s="62" t="s">
        <v>56</v>
      </c>
      <c r="D197" s="104">
        <f>SUM(D168:D196)</f>
        <v>84098310043.701248</v>
      </c>
      <c r="E197" s="64">
        <f>(D197/$D$231)</f>
        <v>1.0785454554729679E-2</v>
      </c>
      <c r="F197" s="65"/>
      <c r="G197" s="105"/>
      <c r="H197" s="67">
        <f>SUM(H168:H196)</f>
        <v>79407</v>
      </c>
      <c r="I197" s="123"/>
      <c r="J197" s="123"/>
      <c r="K197" s="104">
        <f>SUM(K168:K196)</f>
        <v>88017317935.611069</v>
      </c>
      <c r="L197" s="64">
        <f>(K197/$K$231)</f>
        <v>1.1109631556742538E-2</v>
      </c>
      <c r="M197" s="65"/>
      <c r="N197" s="105"/>
      <c r="O197" s="67">
        <f>SUM(O168:O196)</f>
        <v>79933</v>
      </c>
      <c r="P197" s="123"/>
      <c r="Q197" s="123"/>
      <c r="R197" s="81">
        <f t="shared" ref="R197" si="131">((K197-D197)/D197)</f>
        <v>4.6600316818177778E-2</v>
      </c>
      <c r="S197" s="81" t="e">
        <f t="shared" ref="S197" si="132">((N197-G197)/G197)</f>
        <v>#DIV/0!</v>
      </c>
      <c r="T197" s="81">
        <f t="shared" ref="T197" si="133">((O197-H197)/H197)</f>
        <v>6.6241011497726902E-3</v>
      </c>
      <c r="U197" s="81">
        <f t="shared" ref="U197" si="134">P197-I197</f>
        <v>0</v>
      </c>
      <c r="V197" s="82">
        <f t="shared" ref="V197" si="135">Q197-J197</f>
        <v>0</v>
      </c>
    </row>
    <row r="198" spans="1:22" ht="5.25" customHeight="1">
      <c r="A198" s="60"/>
      <c r="B198" s="197"/>
      <c r="C198" s="197"/>
      <c r="D198" s="197"/>
      <c r="E198" s="197"/>
      <c r="F198" s="197"/>
      <c r="G198" s="197"/>
      <c r="H198" s="197"/>
      <c r="I198" s="197"/>
      <c r="J198" s="197"/>
      <c r="K198" s="197"/>
      <c r="L198" s="197"/>
      <c r="M198" s="197"/>
      <c r="N198" s="197"/>
      <c r="O198" s="197"/>
      <c r="P198" s="197"/>
      <c r="Q198" s="197"/>
      <c r="R198" s="197"/>
      <c r="S198" s="197"/>
      <c r="T198" s="197"/>
      <c r="U198" s="197"/>
      <c r="V198" s="197"/>
    </row>
    <row r="199" spans="1:22" ht="15" customHeight="1">
      <c r="A199" s="199" t="s">
        <v>252</v>
      </c>
      <c r="B199" s="199"/>
      <c r="C199" s="199"/>
      <c r="D199" s="199"/>
      <c r="E199" s="199"/>
      <c r="F199" s="199"/>
      <c r="G199" s="199"/>
      <c r="H199" s="199"/>
      <c r="I199" s="199"/>
      <c r="J199" s="199"/>
      <c r="K199" s="199"/>
      <c r="L199" s="199"/>
      <c r="M199" s="199"/>
      <c r="N199" s="199"/>
      <c r="O199" s="199"/>
      <c r="P199" s="199"/>
      <c r="Q199" s="199"/>
      <c r="R199" s="199"/>
      <c r="S199" s="199"/>
      <c r="T199" s="199"/>
      <c r="U199" s="199"/>
      <c r="V199" s="199"/>
    </row>
    <row r="200" spans="1:22">
      <c r="A200" s="181">
        <v>174</v>
      </c>
      <c r="B200" s="170" t="s">
        <v>253</v>
      </c>
      <c r="C200" s="166" t="s">
        <v>254</v>
      </c>
      <c r="D200" s="106">
        <v>1453018142.52</v>
      </c>
      <c r="E200" s="52">
        <f>(D200/$D$202)</f>
        <v>0.17189251510675108</v>
      </c>
      <c r="F200" s="107">
        <v>40.178899999999999</v>
      </c>
      <c r="G200" s="107">
        <v>40.551900000000003</v>
      </c>
      <c r="H200" s="53">
        <v>1504</v>
      </c>
      <c r="I200" s="75">
        <v>1.17E-2</v>
      </c>
      <c r="J200" s="75">
        <v>1.0999999999999999E-2</v>
      </c>
      <c r="K200" s="106">
        <v>1516634772.72</v>
      </c>
      <c r="L200" s="79">
        <f>(K200/$K$202)</f>
        <v>0.16971354045109568</v>
      </c>
      <c r="M200" s="107">
        <v>41.3155</v>
      </c>
      <c r="N200" s="107">
        <v>41.711100000000002</v>
      </c>
      <c r="O200" s="53">
        <v>1509</v>
      </c>
      <c r="P200" s="75">
        <v>4.4900000000000002E-2</v>
      </c>
      <c r="Q200" s="75">
        <v>3.32E-2</v>
      </c>
      <c r="R200" s="81">
        <f>((K200-D200)/D200)</f>
        <v>4.3782405971661428E-2</v>
      </c>
      <c r="S200" s="81">
        <f t="shared" ref="S200:T202" si="136">((N200-G200)/G200)</f>
        <v>2.858559031759297E-2</v>
      </c>
      <c r="T200" s="81">
        <f t="shared" si="136"/>
        <v>3.324468085106383E-3</v>
      </c>
      <c r="U200" s="81">
        <f t="shared" ref="U200:V202" si="137">P200-I200</f>
        <v>3.32E-2</v>
      </c>
      <c r="V200" s="82">
        <f t="shared" si="137"/>
        <v>2.2200000000000001E-2</v>
      </c>
    </row>
    <row r="201" spans="1:22">
      <c r="A201" s="182">
        <v>175</v>
      </c>
      <c r="B201" s="183" t="s">
        <v>255</v>
      </c>
      <c r="C201" s="166" t="s">
        <v>50</v>
      </c>
      <c r="D201" s="69">
        <v>7000044177.3699999</v>
      </c>
      <c r="E201" s="52">
        <f>(D201/$D$202)</f>
        <v>0.82810748489324904</v>
      </c>
      <c r="F201" s="107">
        <v>4.53</v>
      </c>
      <c r="G201" s="107">
        <v>4.59</v>
      </c>
      <c r="H201" s="53">
        <v>11831</v>
      </c>
      <c r="I201" s="75">
        <v>1.77E-2</v>
      </c>
      <c r="J201" s="75">
        <v>1.32E-2</v>
      </c>
      <c r="K201" s="69">
        <v>7419804645.6599998</v>
      </c>
      <c r="L201" s="79">
        <f>(K201/$K$202)</f>
        <v>0.83028645954890434</v>
      </c>
      <c r="M201" s="107">
        <v>4.75</v>
      </c>
      <c r="N201" s="107">
        <v>4.8099999999999996</v>
      </c>
      <c r="O201" s="53">
        <v>11919</v>
      </c>
      <c r="P201" s="75">
        <v>4.7899999999999998E-2</v>
      </c>
      <c r="Q201" s="75">
        <v>6.1800000000000001E-2</v>
      </c>
      <c r="R201" s="81">
        <f>((K201-D201)/D201)</f>
        <v>5.9965402739459418E-2</v>
      </c>
      <c r="S201" s="81">
        <f t="shared" si="136"/>
        <v>4.7930283224400821E-2</v>
      </c>
      <c r="T201" s="81">
        <f t="shared" si="136"/>
        <v>7.438086383230496E-3</v>
      </c>
      <c r="U201" s="81">
        <f t="shared" si="137"/>
        <v>3.0199999999999998E-2</v>
      </c>
      <c r="V201" s="82">
        <f t="shared" si="137"/>
        <v>4.8600000000000004E-2</v>
      </c>
    </row>
    <row r="202" spans="1:22">
      <c r="A202" s="60"/>
      <c r="B202" s="61"/>
      <c r="C202" s="96" t="s">
        <v>56</v>
      </c>
      <c r="D202" s="104">
        <f>SUM(D200:D201)</f>
        <v>8453062319.8899994</v>
      </c>
      <c r="E202" s="64">
        <f>(D202/$D$231)</f>
        <v>1.084089792673543E-3</v>
      </c>
      <c r="F202" s="65"/>
      <c r="G202" s="105"/>
      <c r="H202" s="67">
        <f>SUM(H200:H201)</f>
        <v>13335</v>
      </c>
      <c r="I202" s="123"/>
      <c r="J202" s="123"/>
      <c r="K202" s="104">
        <f>SUM(K200:K201)</f>
        <v>8936439418.3799992</v>
      </c>
      <c r="L202" s="64">
        <f>(K202/$K$231)</f>
        <v>1.1279660832199056E-3</v>
      </c>
      <c r="M202" s="65"/>
      <c r="N202" s="105"/>
      <c r="O202" s="67">
        <f>SUM(O200:O201)</f>
        <v>13428</v>
      </c>
      <c r="P202" s="123"/>
      <c r="Q202" s="123"/>
      <c r="R202" s="81">
        <f>((K202-D202)/D202)</f>
        <v>5.7183666723078175E-2</v>
      </c>
      <c r="S202" s="81" t="e">
        <f t="shared" si="136"/>
        <v>#DIV/0!</v>
      </c>
      <c r="T202" s="81">
        <f t="shared" si="136"/>
        <v>6.9741282339707538E-3</v>
      </c>
      <c r="U202" s="81">
        <f t="shared" si="137"/>
        <v>0</v>
      </c>
      <c r="V202" s="82">
        <f t="shared" si="137"/>
        <v>0</v>
      </c>
    </row>
    <row r="203" spans="1:22" ht="6" customHeight="1">
      <c r="A203" s="60"/>
      <c r="B203" s="197"/>
      <c r="C203" s="197"/>
      <c r="D203" s="197"/>
      <c r="E203" s="197"/>
      <c r="F203" s="197"/>
      <c r="G203" s="197"/>
      <c r="H203" s="197"/>
      <c r="I203" s="197"/>
      <c r="J203" s="197"/>
      <c r="K203" s="197"/>
      <c r="L203" s="197"/>
      <c r="M203" s="197"/>
      <c r="N203" s="197"/>
      <c r="O203" s="197"/>
      <c r="P203" s="197"/>
      <c r="Q203" s="197"/>
      <c r="R203" s="197"/>
      <c r="S203" s="197"/>
      <c r="T203" s="197"/>
      <c r="U203" s="197"/>
      <c r="V203" s="197"/>
    </row>
    <row r="204" spans="1:22" ht="15" customHeight="1">
      <c r="A204" s="195" t="s">
        <v>256</v>
      </c>
      <c r="B204" s="195"/>
      <c r="C204" s="195"/>
      <c r="D204" s="195"/>
      <c r="E204" s="195"/>
      <c r="F204" s="195"/>
      <c r="G204" s="195"/>
      <c r="H204" s="195"/>
      <c r="I204" s="195"/>
      <c r="J204" s="195"/>
      <c r="K204" s="195"/>
      <c r="L204" s="195"/>
      <c r="M204" s="195"/>
      <c r="N204" s="195"/>
      <c r="O204" s="195"/>
      <c r="P204" s="195"/>
      <c r="Q204" s="195"/>
      <c r="R204" s="195"/>
      <c r="S204" s="195"/>
      <c r="T204" s="195"/>
      <c r="U204" s="195"/>
      <c r="V204" s="195"/>
    </row>
    <row r="205" spans="1:22">
      <c r="A205" s="198" t="s">
        <v>257</v>
      </c>
      <c r="B205" s="198"/>
      <c r="C205" s="198"/>
      <c r="D205" s="198"/>
      <c r="E205" s="198"/>
      <c r="F205" s="198"/>
      <c r="G205" s="198"/>
      <c r="H205" s="198"/>
      <c r="I205" s="198"/>
      <c r="J205" s="198"/>
      <c r="K205" s="198"/>
      <c r="L205" s="198"/>
      <c r="M205" s="198"/>
      <c r="N205" s="198"/>
      <c r="O205" s="198"/>
      <c r="P205" s="198"/>
      <c r="Q205" s="198"/>
      <c r="R205" s="198"/>
      <c r="S205" s="198"/>
      <c r="T205" s="198"/>
      <c r="U205" s="198"/>
      <c r="V205" s="198"/>
    </row>
    <row r="206" spans="1:22">
      <c r="A206" s="181">
        <v>176</v>
      </c>
      <c r="B206" s="170" t="s">
        <v>258</v>
      </c>
      <c r="C206" s="166" t="s">
        <v>259</v>
      </c>
      <c r="D206" s="73">
        <v>8689638837.0900002</v>
      </c>
      <c r="E206" s="52">
        <f>(D206/$D$230)</f>
        <v>0.10895542742961525</v>
      </c>
      <c r="F206" s="108">
        <v>2.98</v>
      </c>
      <c r="G206" s="108">
        <v>3.03</v>
      </c>
      <c r="H206" s="71">
        <v>15481</v>
      </c>
      <c r="I206" s="78">
        <v>0</v>
      </c>
      <c r="J206" s="78">
        <v>7.0000000000000001E-3</v>
      </c>
      <c r="K206" s="73">
        <v>9011494796.6299992</v>
      </c>
      <c r="L206" s="52">
        <f>(K206/$K$230)</f>
        <v>0.10940060585422381</v>
      </c>
      <c r="M206" s="108">
        <v>3.05</v>
      </c>
      <c r="N206" s="108">
        <v>3.1</v>
      </c>
      <c r="O206" s="71">
        <v>15511</v>
      </c>
      <c r="P206" s="78">
        <v>2.2800000000000001E-2</v>
      </c>
      <c r="Q206" s="78">
        <v>3.0499999999999999E-2</v>
      </c>
      <c r="R206" s="80">
        <f>((K206-D206)/D206)</f>
        <v>3.7039049099051237E-2</v>
      </c>
      <c r="S206" s="80">
        <f>((N206-G206)/G206)</f>
        <v>2.3102310231023198E-2</v>
      </c>
      <c r="T206" s="80">
        <f>((O206-H206)/H206)</f>
        <v>1.9378593114139913E-3</v>
      </c>
      <c r="U206" s="80">
        <f>P206-I206</f>
        <v>2.2800000000000001E-2</v>
      </c>
      <c r="V206" s="127">
        <f>Q206-J206</f>
        <v>2.35E-2</v>
      </c>
    </row>
    <row r="207" spans="1:22">
      <c r="A207" s="182">
        <v>177</v>
      </c>
      <c r="B207" s="183" t="s">
        <v>260</v>
      </c>
      <c r="C207" s="166" t="s">
        <v>50</v>
      </c>
      <c r="D207" s="73">
        <v>4853612957.6499996</v>
      </c>
      <c r="E207" s="52">
        <f>(D207/$D$230)</f>
        <v>6.085724439104185E-2</v>
      </c>
      <c r="F207" s="108">
        <v>946.43</v>
      </c>
      <c r="G207" s="108">
        <v>959.42</v>
      </c>
      <c r="H207" s="71">
        <v>2710</v>
      </c>
      <c r="I207" s="78">
        <v>1.67E-2</v>
      </c>
      <c r="J207" s="78">
        <v>9.1000000000000004E-3</v>
      </c>
      <c r="K207" s="73">
        <v>5573354743.5299997</v>
      </c>
      <c r="L207" s="52">
        <f>(K207/$K$230)</f>
        <v>6.7661181562321093E-2</v>
      </c>
      <c r="M207" s="108">
        <v>986.19</v>
      </c>
      <c r="N207" s="108">
        <v>998.62</v>
      </c>
      <c r="O207" s="71">
        <v>2861</v>
      </c>
      <c r="P207" s="78">
        <v>4.0899999999999999E-2</v>
      </c>
      <c r="Q207" s="78">
        <v>5.0299999999999997E-2</v>
      </c>
      <c r="R207" s="80">
        <f>((K207-D207)/D207)</f>
        <v>0.14828990118496829</v>
      </c>
      <c r="S207" s="80">
        <f>((N207-G207)/G207)</f>
        <v>4.0858018386108322E-2</v>
      </c>
      <c r="T207" s="80">
        <f>((O207-H207)/H207)</f>
        <v>5.5719557195571957E-2</v>
      </c>
      <c r="U207" s="80">
        <f>P207-I207</f>
        <v>2.4199999999999999E-2</v>
      </c>
      <c r="V207" s="127">
        <f>Q207-J207</f>
        <v>4.1200000000000001E-2</v>
      </c>
    </row>
    <row r="208" spans="1:22" ht="6" customHeight="1">
      <c r="A208" s="95"/>
      <c r="B208" s="197"/>
      <c r="C208" s="197"/>
      <c r="D208" s="197"/>
      <c r="E208" s="197"/>
      <c r="F208" s="197"/>
      <c r="G208" s="197"/>
      <c r="H208" s="197"/>
      <c r="I208" s="197"/>
      <c r="J208" s="197"/>
      <c r="K208" s="197"/>
      <c r="L208" s="197"/>
      <c r="M208" s="197"/>
      <c r="N208" s="197"/>
      <c r="O208" s="197"/>
      <c r="P208" s="197"/>
      <c r="Q208" s="197"/>
      <c r="R208" s="197"/>
      <c r="S208" s="197"/>
      <c r="T208" s="197"/>
      <c r="U208" s="197"/>
      <c r="V208" s="197"/>
    </row>
    <row r="209" spans="1:24" ht="15" customHeight="1">
      <c r="A209" s="198" t="s">
        <v>193</v>
      </c>
      <c r="B209" s="198"/>
      <c r="C209" s="198"/>
      <c r="D209" s="198"/>
      <c r="E209" s="198"/>
      <c r="F209" s="198"/>
      <c r="G209" s="198"/>
      <c r="H209" s="198"/>
      <c r="I209" s="198"/>
      <c r="J209" s="198"/>
      <c r="K209" s="198"/>
      <c r="L209" s="198"/>
      <c r="M209" s="198"/>
      <c r="N209" s="198"/>
      <c r="O209" s="198"/>
      <c r="P209" s="198"/>
      <c r="Q209" s="198"/>
      <c r="R209" s="198"/>
      <c r="S209" s="198"/>
      <c r="T209" s="198"/>
      <c r="U209" s="198"/>
      <c r="V209" s="198"/>
    </row>
    <row r="210" spans="1:24">
      <c r="A210" s="181">
        <v>178</v>
      </c>
      <c r="B210" s="170" t="s">
        <v>261</v>
      </c>
      <c r="C210" s="166" t="s">
        <v>24</v>
      </c>
      <c r="D210" s="57">
        <v>1273815291.3900001</v>
      </c>
      <c r="E210" s="52">
        <f>(D210/$D$230)</f>
        <v>1.5971790328889582E-2</v>
      </c>
      <c r="F210" s="107">
        <v>1.1495</v>
      </c>
      <c r="G210" s="107">
        <v>1.1495</v>
      </c>
      <c r="H210" s="53">
        <v>747</v>
      </c>
      <c r="I210" s="75">
        <v>0.13639999999999999</v>
      </c>
      <c r="J210" s="75">
        <v>0.13500000000000001</v>
      </c>
      <c r="K210" s="57">
        <v>1292589347.4400001</v>
      </c>
      <c r="L210" s="52">
        <f t="shared" ref="L210:L223" si="138">(K210/$K$230)</f>
        <v>1.5692186581912525E-2</v>
      </c>
      <c r="M210" s="107">
        <v>1.1389</v>
      </c>
      <c r="N210" s="107">
        <v>1.1399999999999999</v>
      </c>
      <c r="O210" s="53">
        <v>769</v>
      </c>
      <c r="P210" s="75">
        <v>0.13769999999999999</v>
      </c>
      <c r="Q210" s="75">
        <v>0.15010000000000001</v>
      </c>
      <c r="R210" s="81">
        <f>((K210-D210)/D210)</f>
        <v>1.473844455856195E-2</v>
      </c>
      <c r="S210" s="81">
        <f>((N210-G210)/G210)</f>
        <v>-8.2644628099174111E-3</v>
      </c>
      <c r="T210" s="81">
        <f>((O210-H210)/H210)</f>
        <v>2.9451137884872823E-2</v>
      </c>
      <c r="U210" s="81">
        <f>P210-I210</f>
        <v>1.2999999999999956E-3</v>
      </c>
      <c r="V210" s="82">
        <f>Q210-J210</f>
        <v>1.5100000000000002E-2</v>
      </c>
      <c r="X210" s="128"/>
    </row>
    <row r="211" spans="1:24">
      <c r="A211" s="181">
        <v>179</v>
      </c>
      <c r="B211" s="170" t="s">
        <v>262</v>
      </c>
      <c r="C211" s="166" t="s">
        <v>263</v>
      </c>
      <c r="D211" s="57">
        <v>369647520.50999999</v>
      </c>
      <c r="E211" s="52">
        <f>(D211/$D$230)</f>
        <v>4.6348420631198419E-3</v>
      </c>
      <c r="F211" s="107">
        <v>1117.18</v>
      </c>
      <c r="G211" s="107">
        <v>1117.18</v>
      </c>
      <c r="H211" s="53">
        <v>17</v>
      </c>
      <c r="I211" s="75">
        <v>-0.1118</v>
      </c>
      <c r="J211" s="75">
        <v>6.9999999999999999E-4</v>
      </c>
      <c r="K211" s="57">
        <v>370642622.04000002</v>
      </c>
      <c r="L211" s="52">
        <f t="shared" si="138"/>
        <v>4.499644989168489E-3</v>
      </c>
      <c r="M211" s="107">
        <v>1120.43</v>
      </c>
      <c r="N211" s="107">
        <v>1120.43</v>
      </c>
      <c r="O211" s="53">
        <v>17</v>
      </c>
      <c r="P211" s="75">
        <v>2.5999999999999999E-3</v>
      </c>
      <c r="Q211" s="75">
        <v>3.3E-3</v>
      </c>
      <c r="R211" s="81">
        <f>((K211-D211)/D211)</f>
        <v>2.6920281478612293E-3</v>
      </c>
      <c r="S211" s="81">
        <f>((N211-G211)/G211)</f>
        <v>2.909110438783365E-3</v>
      </c>
      <c r="T211" s="81">
        <f>((O211-H211)/H211)</f>
        <v>0</v>
      </c>
      <c r="U211" s="81">
        <f>P211-I211</f>
        <v>0.1144</v>
      </c>
      <c r="V211" s="82">
        <f>Q211-J211</f>
        <v>2.5999999999999999E-3</v>
      </c>
      <c r="X211" s="128"/>
    </row>
    <row r="212" spans="1:24">
      <c r="A212" s="181">
        <v>180</v>
      </c>
      <c r="B212" s="170" t="s">
        <v>264</v>
      </c>
      <c r="C212" s="166" t="s">
        <v>73</v>
      </c>
      <c r="D212" s="57">
        <v>316416892.43000001</v>
      </c>
      <c r="E212" s="52">
        <f>(D212/$D$230)</f>
        <v>3.967407438558908E-3</v>
      </c>
      <c r="F212" s="107">
        <v>122.65</v>
      </c>
      <c r="G212" s="107">
        <v>122.65</v>
      </c>
      <c r="H212" s="53">
        <v>79</v>
      </c>
      <c r="I212" s="75">
        <v>1E-3</v>
      </c>
      <c r="J212" s="75">
        <v>0.13389999999999999</v>
      </c>
      <c r="K212" s="57">
        <v>317176441.56</v>
      </c>
      <c r="L212" s="52">
        <f t="shared" si="138"/>
        <v>3.850559274841639E-3</v>
      </c>
      <c r="M212" s="107">
        <v>122.95</v>
      </c>
      <c r="N212" s="107">
        <v>122.95</v>
      </c>
      <c r="O212" s="53">
        <v>81</v>
      </c>
      <c r="P212" s="75">
        <v>2.3999999999999998E-3</v>
      </c>
      <c r="Q212" s="75">
        <v>0.13389999999999999</v>
      </c>
      <c r="R212" s="81">
        <f t="shared" ref="R212:R231" si="139">((K212-D212)/D212)</f>
        <v>2.4004695961927129E-3</v>
      </c>
      <c r="S212" s="81">
        <f t="shared" ref="S212:S230" si="140">((N212-G212)/G212)</f>
        <v>2.4459845087647547E-3</v>
      </c>
      <c r="T212" s="81">
        <f t="shared" ref="T212:T230" si="141">((O212-H212)/H212)</f>
        <v>2.5316455696202531E-2</v>
      </c>
      <c r="U212" s="81">
        <f t="shared" ref="U212:U230" si="142">P212-I212</f>
        <v>1.3999999999999998E-3</v>
      </c>
      <c r="V212" s="82">
        <f t="shared" ref="V212:V230" si="143">Q212-J212</f>
        <v>0</v>
      </c>
    </row>
    <row r="213" spans="1:24">
      <c r="A213" s="181">
        <v>181</v>
      </c>
      <c r="B213" s="191" t="s">
        <v>265</v>
      </c>
      <c r="C213" s="166" t="s">
        <v>266</v>
      </c>
      <c r="D213" s="57">
        <v>55113720.64373</v>
      </c>
      <c r="E213" s="52">
        <v>0</v>
      </c>
      <c r="F213" s="107">
        <v>105.83</v>
      </c>
      <c r="G213" s="107">
        <v>105.83</v>
      </c>
      <c r="H213" s="53">
        <v>14</v>
      </c>
      <c r="I213" s="75">
        <v>2.8999999999999998E-3</v>
      </c>
      <c r="J213" s="75">
        <v>5.8299999999999998E-2</v>
      </c>
      <c r="K213" s="57">
        <v>55271331.4296875</v>
      </c>
      <c r="L213" s="52">
        <f t="shared" si="138"/>
        <v>6.710004589958468E-4</v>
      </c>
      <c r="M213" s="107">
        <v>106.14</v>
      </c>
      <c r="N213" s="107">
        <v>105.83</v>
      </c>
      <c r="O213" s="53">
        <v>14</v>
      </c>
      <c r="P213" s="75">
        <v>3.0999999999999999E-3</v>
      </c>
      <c r="Q213" s="75">
        <v>6.1400000000000003E-2</v>
      </c>
      <c r="R213" s="81">
        <f t="shared" si="139"/>
        <v>2.8597377225961407E-3</v>
      </c>
      <c r="S213" s="81">
        <f t="shared" si="140"/>
        <v>0</v>
      </c>
      <c r="T213" s="81">
        <f t="shared" si="141"/>
        <v>0</v>
      </c>
      <c r="U213" s="81">
        <f t="shared" si="142"/>
        <v>2.0000000000000009E-4</v>
      </c>
      <c r="V213" s="82">
        <f t="shared" si="143"/>
        <v>3.1000000000000055E-3</v>
      </c>
    </row>
    <row r="214" spans="1:24">
      <c r="A214" s="181">
        <v>182</v>
      </c>
      <c r="B214" s="191" t="s">
        <v>267</v>
      </c>
      <c r="C214" s="166" t="s">
        <v>79</v>
      </c>
      <c r="D214" s="69">
        <v>68407383.920000002</v>
      </c>
      <c r="E214" s="52">
        <f>(D214/$D$230)</f>
        <v>8.5772906033012772E-4</v>
      </c>
      <c r="F214" s="107">
        <v>103.93</v>
      </c>
      <c r="G214" s="107">
        <v>103.93</v>
      </c>
      <c r="H214" s="53">
        <v>15</v>
      </c>
      <c r="I214" s="75">
        <v>1.1999999999999999E-3</v>
      </c>
      <c r="J214" s="75">
        <v>4.0000000000000002E-4</v>
      </c>
      <c r="K214" s="69">
        <v>64735803.439999998</v>
      </c>
      <c r="L214" s="52">
        <f t="shared" si="138"/>
        <v>7.8590026145766961E-4</v>
      </c>
      <c r="M214" s="107">
        <v>98.36</v>
      </c>
      <c r="N214" s="107">
        <v>98.36</v>
      </c>
      <c r="O214" s="53">
        <v>15</v>
      </c>
      <c r="P214" s="75">
        <v>4.0000000000000002E-4</v>
      </c>
      <c r="Q214" s="75">
        <v>8.0000000000000004E-4</v>
      </c>
      <c r="R214" s="81">
        <f t="shared" si="139"/>
        <v>-5.3672283160159824E-2</v>
      </c>
      <c r="S214" s="81">
        <f t="shared" si="140"/>
        <v>-5.3593765034157671E-2</v>
      </c>
      <c r="T214" s="81">
        <f t="shared" si="141"/>
        <v>0</v>
      </c>
      <c r="U214" s="81">
        <f t="shared" si="142"/>
        <v>-7.9999999999999993E-4</v>
      </c>
      <c r="V214" s="82">
        <f t="shared" si="143"/>
        <v>4.0000000000000002E-4</v>
      </c>
    </row>
    <row r="215" spans="1:24">
      <c r="A215" s="181">
        <v>183</v>
      </c>
      <c r="B215" s="170" t="s">
        <v>268</v>
      </c>
      <c r="C215" s="166" t="s">
        <v>82</v>
      </c>
      <c r="D215" s="69">
        <v>265660149.46000001</v>
      </c>
      <c r="E215" s="52">
        <v>0</v>
      </c>
      <c r="F215" s="107">
        <v>1.1567000000000001</v>
      </c>
      <c r="G215" s="107">
        <v>1.1567000000000001</v>
      </c>
      <c r="H215" s="53">
        <v>55</v>
      </c>
      <c r="I215" s="75">
        <v>1.8E-3</v>
      </c>
      <c r="J215" s="75">
        <v>0.13458300000000001</v>
      </c>
      <c r="K215" s="69">
        <v>267852882.16</v>
      </c>
      <c r="L215" s="52">
        <f t="shared" si="138"/>
        <v>3.2517654672632634E-3</v>
      </c>
      <c r="M215" s="107">
        <v>1.18</v>
      </c>
      <c r="N215" s="107">
        <v>1.18</v>
      </c>
      <c r="O215" s="53">
        <v>54</v>
      </c>
      <c r="P215" s="75">
        <v>1.8E-3</v>
      </c>
      <c r="Q215" s="75">
        <v>0.13439999999999999</v>
      </c>
      <c r="R215" s="81">
        <f t="shared" ref="R215:R216" si="144">((K215-D215)/D215)</f>
        <v>8.2539014769700877E-3</v>
      </c>
      <c r="S215" s="81">
        <f t="shared" ref="S215:S216" si="145">((N215-G215)/G215)</f>
        <v>2.014351171435971E-2</v>
      </c>
      <c r="T215" s="81">
        <f t="shared" ref="T215" si="146">((O215-H215)/H215)</f>
        <v>-1.8181818181818181E-2</v>
      </c>
      <c r="U215" s="81">
        <f t="shared" ref="U215" si="147">P215-I215</f>
        <v>0</v>
      </c>
      <c r="V215" s="82">
        <f t="shared" ref="V215" si="148">Q215-J215</f>
        <v>-1.8300000000001648E-4</v>
      </c>
    </row>
    <row r="216" spans="1:24">
      <c r="A216" s="181">
        <v>184</v>
      </c>
      <c r="B216" s="170" t="s">
        <v>269</v>
      </c>
      <c r="C216" s="166" t="s">
        <v>32</v>
      </c>
      <c r="D216" s="57">
        <v>5090094685.0799999</v>
      </c>
      <c r="E216" s="52">
        <f t="shared" ref="E216:E223" si="149">(D216/$D$230)</f>
        <v>6.3822381167665115E-2</v>
      </c>
      <c r="F216" s="107">
        <v>142.4</v>
      </c>
      <c r="G216" s="107">
        <v>142.4</v>
      </c>
      <c r="H216" s="53">
        <v>765</v>
      </c>
      <c r="I216" s="75">
        <v>2.7000000000000001E-3</v>
      </c>
      <c r="J216" s="75">
        <v>8.0000000000000004E-4</v>
      </c>
      <c r="K216" s="57">
        <v>5221534484.6700001</v>
      </c>
      <c r="L216" s="52">
        <f t="shared" si="138"/>
        <v>6.3390042274145769E-2</v>
      </c>
      <c r="M216" s="107">
        <v>142.77000000000001</v>
      </c>
      <c r="N216" s="107">
        <v>142.77000000000001</v>
      </c>
      <c r="O216" s="53">
        <v>765</v>
      </c>
      <c r="P216" s="75">
        <v>2.5999999999999999E-3</v>
      </c>
      <c r="Q216" s="75">
        <v>3.3999999999999998E-3</v>
      </c>
      <c r="R216" s="81">
        <f t="shared" si="144"/>
        <v>2.5822662980174865E-2</v>
      </c>
      <c r="S216" s="81">
        <f t="shared" si="145"/>
        <v>2.5983146067416049E-3</v>
      </c>
      <c r="T216" s="81">
        <f t="shared" si="141"/>
        <v>0</v>
      </c>
      <c r="U216" s="81">
        <f t="shared" si="142"/>
        <v>-1.0000000000000026E-4</v>
      </c>
      <c r="V216" s="82">
        <f t="shared" si="143"/>
        <v>2.5999999999999999E-3</v>
      </c>
    </row>
    <row r="217" spans="1:24">
      <c r="A217" s="181">
        <v>185</v>
      </c>
      <c r="B217" s="170" t="s">
        <v>270</v>
      </c>
      <c r="C217" s="166" t="s">
        <v>71</v>
      </c>
      <c r="D217" s="57">
        <v>993360239.93244505</v>
      </c>
      <c r="E217" s="52">
        <f t="shared" si="149"/>
        <v>1.2455292050972008E-2</v>
      </c>
      <c r="F217" s="56">
        <v>1325.66797135149</v>
      </c>
      <c r="G217" s="56">
        <v>1325.66797135149</v>
      </c>
      <c r="H217" s="53">
        <v>297</v>
      </c>
      <c r="I217" s="75">
        <v>0.1134</v>
      </c>
      <c r="J217" s="75">
        <v>0.1116</v>
      </c>
      <c r="K217" s="57">
        <v>1024428620.94282</v>
      </c>
      <c r="L217" s="52">
        <f t="shared" si="138"/>
        <v>1.2436683848218293E-2</v>
      </c>
      <c r="M217" s="56">
        <v>1328.59</v>
      </c>
      <c r="N217" s="56">
        <v>1328.59</v>
      </c>
      <c r="O217" s="53">
        <v>315</v>
      </c>
      <c r="P217" s="75">
        <v>0.1147</v>
      </c>
      <c r="Q217" s="75">
        <v>0.11409999999999999</v>
      </c>
      <c r="R217" s="81">
        <f t="shared" si="139"/>
        <v>3.127604645469579E-2</v>
      </c>
      <c r="S217" s="81">
        <f t="shared" si="140"/>
        <v>2.2041934418397216E-3</v>
      </c>
      <c r="T217" s="81">
        <f t="shared" si="141"/>
        <v>6.0606060606060608E-2</v>
      </c>
      <c r="U217" s="81">
        <f t="shared" si="142"/>
        <v>1.2999999999999956E-3</v>
      </c>
      <c r="V217" s="82">
        <f t="shared" si="143"/>
        <v>2.4999999999999883E-3</v>
      </c>
    </row>
    <row r="218" spans="1:24">
      <c r="A218" s="181">
        <v>186</v>
      </c>
      <c r="B218" s="170" t="s">
        <v>271</v>
      </c>
      <c r="C218" s="166" t="s">
        <v>259</v>
      </c>
      <c r="D218" s="57">
        <v>41467607064.129997</v>
      </c>
      <c r="E218" s="52">
        <f t="shared" si="149"/>
        <v>0.51994345643813344</v>
      </c>
      <c r="F218" s="56">
        <v>1301.6500000000001</v>
      </c>
      <c r="G218" s="56">
        <v>1301.6500000000001</v>
      </c>
      <c r="H218" s="53">
        <v>11838</v>
      </c>
      <c r="I218" s="75">
        <v>5.9999999999999995E-4</v>
      </c>
      <c r="J218" s="75">
        <v>5.9999999999999995E-4</v>
      </c>
      <c r="K218" s="57">
        <v>42006990404.160004</v>
      </c>
      <c r="L218" s="52">
        <f t="shared" si="138"/>
        <v>0.50996980013196802</v>
      </c>
      <c r="M218" s="56">
        <v>1304.57</v>
      </c>
      <c r="N218" s="56">
        <v>1304.57</v>
      </c>
      <c r="O218" s="53">
        <v>11877</v>
      </c>
      <c r="P218" s="75">
        <v>2.2000000000000001E-3</v>
      </c>
      <c r="Q218" s="75">
        <v>2.8999999999999998E-3</v>
      </c>
      <c r="R218" s="81">
        <f t="shared" si="139"/>
        <v>1.3007341831802487E-2</v>
      </c>
      <c r="S218" s="81">
        <f t="shared" si="140"/>
        <v>2.2433065724271847E-3</v>
      </c>
      <c r="T218" s="81">
        <f t="shared" si="141"/>
        <v>3.2944754181449569E-3</v>
      </c>
      <c r="U218" s="81">
        <f t="shared" si="142"/>
        <v>1.6000000000000003E-3</v>
      </c>
      <c r="V218" s="82">
        <f t="shared" si="143"/>
        <v>2.3E-3</v>
      </c>
    </row>
    <row r="219" spans="1:24">
      <c r="A219" s="181">
        <v>187</v>
      </c>
      <c r="B219" s="170" t="s">
        <v>272</v>
      </c>
      <c r="C219" s="166" t="s">
        <v>273</v>
      </c>
      <c r="D219" s="57">
        <v>329136424.20999998</v>
      </c>
      <c r="E219" s="52">
        <f t="shared" si="149"/>
        <v>4.1268918599227959E-3</v>
      </c>
      <c r="F219" s="108">
        <v>121.24</v>
      </c>
      <c r="G219" s="108">
        <v>122</v>
      </c>
      <c r="H219" s="71">
        <v>130</v>
      </c>
      <c r="I219" s="75">
        <v>-1E-4</v>
      </c>
      <c r="J219" s="75">
        <v>5.9999999999999995E-4</v>
      </c>
      <c r="K219" s="57">
        <v>334983047.99000001</v>
      </c>
      <c r="L219" s="52">
        <f t="shared" si="138"/>
        <v>4.0667335695189471E-3</v>
      </c>
      <c r="M219" s="108">
        <v>123.35</v>
      </c>
      <c r="N219" s="108">
        <v>124.14</v>
      </c>
      <c r="O219" s="71">
        <v>130</v>
      </c>
      <c r="P219" s="75">
        <v>1.7000000000000001E-2</v>
      </c>
      <c r="Q219" s="75">
        <v>1.7600000000000001E-2</v>
      </c>
      <c r="R219" s="81">
        <f t="shared" si="139"/>
        <v>1.7763527066423042E-2</v>
      </c>
      <c r="S219" s="81">
        <f t="shared" si="140"/>
        <v>1.754098360655738E-2</v>
      </c>
      <c r="T219" s="81">
        <f t="shared" si="141"/>
        <v>0</v>
      </c>
      <c r="U219" s="81">
        <f t="shared" si="142"/>
        <v>1.7100000000000001E-2</v>
      </c>
      <c r="V219" s="82">
        <f t="shared" si="143"/>
        <v>1.7000000000000001E-2</v>
      </c>
    </row>
    <row r="220" spans="1:24">
      <c r="A220" s="181">
        <v>188</v>
      </c>
      <c r="B220" s="170" t="s">
        <v>274</v>
      </c>
      <c r="C220" s="166" t="s">
        <v>273</v>
      </c>
      <c r="D220" s="57">
        <v>463260976.80000001</v>
      </c>
      <c r="E220" s="52">
        <f t="shared" si="149"/>
        <v>5.8086185956616994E-3</v>
      </c>
      <c r="F220" s="108">
        <v>135.78</v>
      </c>
      <c r="G220" s="108">
        <v>135.78</v>
      </c>
      <c r="H220" s="71">
        <v>145</v>
      </c>
      <c r="I220" s="75">
        <v>0</v>
      </c>
      <c r="J220" s="75">
        <v>1.1000000000000001E-3</v>
      </c>
      <c r="K220" s="57">
        <v>568182368.24000001</v>
      </c>
      <c r="L220" s="52">
        <f t="shared" si="138"/>
        <v>6.897800722737951E-3</v>
      </c>
      <c r="M220" s="108">
        <v>136.25</v>
      </c>
      <c r="N220" s="108">
        <v>136.25</v>
      </c>
      <c r="O220" s="71">
        <v>147</v>
      </c>
      <c r="P220" s="75">
        <v>3.5999999999999999E-3</v>
      </c>
      <c r="Q220" s="75">
        <v>4.5999999999999999E-3</v>
      </c>
      <c r="R220" s="81">
        <f t="shared" si="139"/>
        <v>0.22648441525282384</v>
      </c>
      <c r="S220" s="81">
        <f t="shared" si="140"/>
        <v>3.4614818088083582E-3</v>
      </c>
      <c r="T220" s="81">
        <f t="shared" si="141"/>
        <v>1.3793103448275862E-2</v>
      </c>
      <c r="U220" s="81">
        <f t="shared" si="142"/>
        <v>3.5999999999999999E-3</v>
      </c>
      <c r="V220" s="82">
        <f t="shared" si="143"/>
        <v>3.4999999999999996E-3</v>
      </c>
    </row>
    <row r="221" spans="1:24" ht="13.5" customHeight="1">
      <c r="A221" s="181">
        <v>189</v>
      </c>
      <c r="B221" s="170" t="s">
        <v>275</v>
      </c>
      <c r="C221" s="166" t="s">
        <v>104</v>
      </c>
      <c r="D221" s="57">
        <v>2366777063</v>
      </c>
      <c r="E221" s="52">
        <f t="shared" si="149"/>
        <v>2.9675940665001382E-2</v>
      </c>
      <c r="F221" s="85">
        <v>103.91</v>
      </c>
      <c r="G221" s="85">
        <v>103.91</v>
      </c>
      <c r="H221" s="53">
        <v>769</v>
      </c>
      <c r="I221" s="75">
        <v>3.8E-3</v>
      </c>
      <c r="J221" s="75">
        <v>0.15570000000000001</v>
      </c>
      <c r="K221" s="57">
        <v>2473340392</v>
      </c>
      <c r="L221" s="52">
        <f t="shared" si="138"/>
        <v>3.0026643023720465E-2</v>
      </c>
      <c r="M221" s="85">
        <v>104.25</v>
      </c>
      <c r="N221" s="85">
        <v>104.25</v>
      </c>
      <c r="O221" s="53">
        <v>773</v>
      </c>
      <c r="P221" s="75">
        <v>3.3E-3</v>
      </c>
      <c r="Q221" s="75">
        <v>0.1658</v>
      </c>
      <c r="R221" s="81">
        <f t="shared" si="139"/>
        <v>4.5024658496954514E-2</v>
      </c>
      <c r="S221" s="81">
        <f t="shared" si="140"/>
        <v>3.272062361659161E-3</v>
      </c>
      <c r="T221" s="81">
        <f t="shared" si="141"/>
        <v>5.2015604681404422E-3</v>
      </c>
      <c r="U221" s="81">
        <f t="shared" si="142"/>
        <v>-5.0000000000000001E-4</v>
      </c>
      <c r="V221" s="82">
        <f t="shared" si="143"/>
        <v>1.0099999999999998E-2</v>
      </c>
    </row>
    <row r="222" spans="1:24" ht="15.75" customHeight="1">
      <c r="A222" s="182">
        <v>190</v>
      </c>
      <c r="B222" s="183" t="s">
        <v>276</v>
      </c>
      <c r="C222" s="166" t="s">
        <v>50</v>
      </c>
      <c r="D222" s="57">
        <v>3838205909.2800002</v>
      </c>
      <c r="E222" s="52">
        <f t="shared" si="149"/>
        <v>4.8125517440782702E-2</v>
      </c>
      <c r="F222" s="85">
        <v>144.52000000000001</v>
      </c>
      <c r="G222" s="85">
        <v>144.52000000000001</v>
      </c>
      <c r="H222" s="53">
        <v>1909</v>
      </c>
      <c r="I222" s="75">
        <v>2.5999999999999999E-3</v>
      </c>
      <c r="J222" s="75">
        <v>6.9999999999999999E-4</v>
      </c>
      <c r="K222" s="57">
        <v>3791624136.8200002</v>
      </c>
      <c r="L222" s="52">
        <f t="shared" si="138"/>
        <v>4.603076260940972E-2</v>
      </c>
      <c r="M222" s="85">
        <v>144.87</v>
      </c>
      <c r="N222" s="85">
        <v>144.87</v>
      </c>
      <c r="O222" s="53">
        <v>1949</v>
      </c>
      <c r="P222" s="75">
        <v>2.3999999999999998E-3</v>
      </c>
      <c r="Q222" s="75">
        <v>3.0999999999999999E-3</v>
      </c>
      <c r="R222" s="81">
        <f t="shared" si="139"/>
        <v>-1.2136340144590679E-2</v>
      </c>
      <c r="S222" s="81">
        <f t="shared" si="140"/>
        <v>2.421810130085762E-3</v>
      </c>
      <c r="T222" s="81">
        <f t="shared" si="141"/>
        <v>2.0953378732320588E-2</v>
      </c>
      <c r="U222" s="81">
        <f t="shared" si="142"/>
        <v>-2.0000000000000009E-4</v>
      </c>
      <c r="V222" s="82">
        <f t="shared" si="143"/>
        <v>2.3999999999999998E-3</v>
      </c>
    </row>
    <row r="223" spans="1:24">
      <c r="A223" s="188">
        <v>191</v>
      </c>
      <c r="B223" s="170" t="s">
        <v>277</v>
      </c>
      <c r="C223" s="166" t="s">
        <v>53</v>
      </c>
      <c r="D223" s="57">
        <v>4018774856.4899998</v>
      </c>
      <c r="E223" s="52">
        <f t="shared" si="149"/>
        <v>5.0389589307591104E-2</v>
      </c>
      <c r="F223" s="85">
        <v>1.2310000000000001</v>
      </c>
      <c r="G223" s="85">
        <v>1.2310000000000001</v>
      </c>
      <c r="H223" s="53">
        <v>2037</v>
      </c>
      <c r="I223" s="75">
        <v>9.7000000000000003E-3</v>
      </c>
      <c r="J223" s="75">
        <v>0.1094</v>
      </c>
      <c r="K223" s="57">
        <v>4020813369.4000001</v>
      </c>
      <c r="L223" s="52">
        <f t="shared" si="138"/>
        <v>4.8813146827052865E-2</v>
      </c>
      <c r="M223" s="85">
        <v>1.2238</v>
      </c>
      <c r="N223" s="85">
        <v>1.2238</v>
      </c>
      <c r="O223" s="53">
        <v>2047</v>
      </c>
      <c r="P223" s="75">
        <v>-5.7999999999999996E-3</v>
      </c>
      <c r="Q223" s="75">
        <v>-0.1933</v>
      </c>
      <c r="R223" s="81">
        <f t="shared" si="139"/>
        <v>5.0724735343366878E-4</v>
      </c>
      <c r="S223" s="81">
        <f t="shared" si="140"/>
        <v>-5.848903330625585E-3</v>
      </c>
      <c r="T223" s="81">
        <f t="shared" si="141"/>
        <v>4.9091801669121256E-3</v>
      </c>
      <c r="U223" s="81">
        <f t="shared" si="142"/>
        <v>-1.55E-2</v>
      </c>
      <c r="V223" s="82">
        <f t="shared" si="143"/>
        <v>-0.30269999999999997</v>
      </c>
    </row>
    <row r="224" spans="1:24" ht="6" customHeight="1">
      <c r="A224" s="60"/>
      <c r="B224" s="197"/>
      <c r="C224" s="197"/>
      <c r="D224" s="197"/>
      <c r="E224" s="197"/>
      <c r="F224" s="197"/>
      <c r="G224" s="197"/>
      <c r="H224" s="197"/>
      <c r="I224" s="197"/>
      <c r="J224" s="197"/>
      <c r="K224" s="197"/>
      <c r="L224" s="197"/>
      <c r="M224" s="197"/>
      <c r="N224" s="197"/>
      <c r="O224" s="197"/>
      <c r="P224" s="197"/>
      <c r="Q224" s="197"/>
      <c r="R224" s="197"/>
      <c r="S224" s="197"/>
      <c r="T224" s="197"/>
      <c r="U224" s="197"/>
      <c r="V224" s="197"/>
    </row>
    <row r="225" spans="1:22">
      <c r="A225" s="198" t="s">
        <v>278</v>
      </c>
      <c r="B225" s="198"/>
      <c r="C225" s="198"/>
      <c r="D225" s="198"/>
      <c r="E225" s="198"/>
      <c r="F225" s="198"/>
      <c r="G225" s="198"/>
      <c r="H225" s="198"/>
      <c r="I225" s="198"/>
      <c r="J225" s="198"/>
      <c r="K225" s="198"/>
      <c r="L225" s="198"/>
      <c r="M225" s="198"/>
      <c r="N225" s="198"/>
      <c r="O225" s="198"/>
      <c r="P225" s="198"/>
      <c r="Q225" s="198"/>
      <c r="R225" s="198"/>
      <c r="S225" s="198"/>
      <c r="T225" s="198"/>
      <c r="U225" s="198"/>
      <c r="V225" s="198"/>
    </row>
    <row r="226" spans="1:22">
      <c r="A226" s="181">
        <v>192</v>
      </c>
      <c r="B226" s="170" t="s">
        <v>279</v>
      </c>
      <c r="C226" s="166" t="s">
        <v>20</v>
      </c>
      <c r="D226" s="106">
        <v>396467921.77999997</v>
      </c>
      <c r="E226" s="52">
        <f>(D226/$D$202)</f>
        <v>4.6902283075225128E-2</v>
      </c>
      <c r="F226" s="107">
        <v>104.9372</v>
      </c>
      <c r="G226" s="107">
        <v>104.9372</v>
      </c>
      <c r="H226" s="55">
        <v>112</v>
      </c>
      <c r="I226" s="76">
        <v>5.0000000000000001E-4</v>
      </c>
      <c r="J226" s="76">
        <v>5.0000000000000001E-4</v>
      </c>
      <c r="K226" s="106">
        <v>374642712.22000003</v>
      </c>
      <c r="L226" s="79">
        <f>(K226/K227)</f>
        <v>7.2588509078781102E-2</v>
      </c>
      <c r="M226" s="107">
        <v>106.1057</v>
      </c>
      <c r="N226" s="107">
        <v>106.11</v>
      </c>
      <c r="O226" s="55">
        <v>112</v>
      </c>
      <c r="P226" s="76">
        <v>1.11E-2</v>
      </c>
      <c r="Q226" s="76">
        <v>1.17E-2</v>
      </c>
      <c r="R226" s="81">
        <f>((K226-D226)/D226)</f>
        <v>-5.5049118380151703E-2</v>
      </c>
      <c r="S226" s="81">
        <f t="shared" ref="S226" si="150">((N226-G226)/G226)</f>
        <v>1.1176208246455929E-2</v>
      </c>
      <c r="T226" s="81">
        <f t="shared" ref="T226" si="151">((O226-H226)/H226)</f>
        <v>0</v>
      </c>
      <c r="U226" s="81">
        <f t="shared" ref="U226" si="152">P226-I226</f>
        <v>1.06E-2</v>
      </c>
      <c r="V226" s="82">
        <f t="shared" ref="V226" si="153">Q226-J226</f>
        <v>1.12E-2</v>
      </c>
    </row>
    <row r="227" spans="1:22">
      <c r="A227" s="181">
        <v>193</v>
      </c>
      <c r="B227" s="170" t="s">
        <v>280</v>
      </c>
      <c r="C227" s="166" t="s">
        <v>24</v>
      </c>
      <c r="D227" s="106">
        <v>4461560086.7600002</v>
      </c>
      <c r="E227" s="52">
        <f>(D227/$D$202)</f>
        <v>0.52780399787920396</v>
      </c>
      <c r="F227" s="107">
        <v>104.0981</v>
      </c>
      <c r="G227" s="107">
        <v>107.2367</v>
      </c>
      <c r="H227" s="55">
        <v>3710</v>
      </c>
      <c r="I227" s="76">
        <v>-4.3999999999999997E-2</v>
      </c>
      <c r="J227" s="76">
        <v>0.51959999999999995</v>
      </c>
      <c r="K227" s="106">
        <v>5161184834.5500002</v>
      </c>
      <c r="L227" s="79">
        <f>(K227/$K$202)</f>
        <v>0.57754376132565133</v>
      </c>
      <c r="M227" s="107">
        <v>108.6121</v>
      </c>
      <c r="N227" s="107">
        <v>111.88679999999999</v>
      </c>
      <c r="O227" s="55">
        <v>3823</v>
      </c>
      <c r="P227" s="76">
        <v>1.9528000000000001</v>
      </c>
      <c r="Q227" s="76">
        <v>1.7444</v>
      </c>
      <c r="R227" s="81">
        <f>((K227-D227)/D227)</f>
        <v>0.15681168339886009</v>
      </c>
      <c r="S227" s="81">
        <f t="shared" ref="S227" si="154">((N227-G227)/G227)</f>
        <v>4.3362953168085132E-2</v>
      </c>
      <c r="T227" s="81">
        <f t="shared" ref="T227" si="155">((O227-H227)/H227)</f>
        <v>3.0458221024258759E-2</v>
      </c>
      <c r="U227" s="81">
        <f t="shared" ref="U227" si="156">P227-I227</f>
        <v>1.9968000000000001</v>
      </c>
      <c r="V227" s="82">
        <f t="shared" ref="V227" si="157">Q227-J227</f>
        <v>1.2248000000000001</v>
      </c>
    </row>
    <row r="228" spans="1:22">
      <c r="A228" s="181">
        <v>194</v>
      </c>
      <c r="B228" s="170" t="s">
        <v>281</v>
      </c>
      <c r="C228" s="166" t="s">
        <v>259</v>
      </c>
      <c r="D228" s="57">
        <v>287576485.25</v>
      </c>
      <c r="E228" s="52">
        <f t="shared" ref="E228" si="158">(D228/$D$230)</f>
        <v>3.6057906958550934E-3</v>
      </c>
      <c r="F228" s="56">
        <v>1265.33</v>
      </c>
      <c r="G228" s="56">
        <v>1265.33</v>
      </c>
      <c r="H228" s="53">
        <v>167</v>
      </c>
      <c r="I228" s="75">
        <v>0</v>
      </c>
      <c r="J228" s="75">
        <v>0</v>
      </c>
      <c r="K228" s="57">
        <v>288670931.85000002</v>
      </c>
      <c r="L228" s="52">
        <f t="shared" ref="L228" si="159">(K228/$K$230)</f>
        <v>3.5044990370191992E-3</v>
      </c>
      <c r="M228" s="56">
        <v>1269.05</v>
      </c>
      <c r="N228" s="56">
        <v>1269.05</v>
      </c>
      <c r="O228" s="53">
        <v>167</v>
      </c>
      <c r="P228" s="75">
        <v>1.83E-2</v>
      </c>
      <c r="Q228" s="75">
        <v>1.83E-2</v>
      </c>
      <c r="R228" s="81">
        <f t="shared" ref="R228" si="160">((K228-D228)/D228)</f>
        <v>3.8057583152133743E-3</v>
      </c>
      <c r="S228" s="81">
        <f t="shared" ref="S228" si="161">((N228-G228)/G228)</f>
        <v>2.939944520401814E-3</v>
      </c>
      <c r="T228" s="81">
        <f t="shared" ref="T228" si="162">((O228-H228)/H228)</f>
        <v>0</v>
      </c>
      <c r="U228" s="81">
        <f t="shared" ref="U228" si="163">P228-I228</f>
        <v>1.83E-2</v>
      </c>
      <c r="V228" s="82">
        <f t="shared" ref="V228" si="164">Q228-J228</f>
        <v>1.83E-2</v>
      </c>
    </row>
    <row r="229" spans="1:22">
      <c r="A229" s="181">
        <v>195</v>
      </c>
      <c r="B229" s="170" t="s">
        <v>282</v>
      </c>
      <c r="C229" s="166" t="s">
        <v>283</v>
      </c>
      <c r="D229" s="57">
        <v>148936002.16999999</v>
      </c>
      <c r="E229" s="52">
        <f t="shared" ref="E229" si="165">(D229/$D$230)</f>
        <v>1.8674407625351558E-3</v>
      </c>
      <c r="F229" s="56">
        <v>115.98</v>
      </c>
      <c r="G229" s="56">
        <v>118.37</v>
      </c>
      <c r="H229" s="53">
        <v>314</v>
      </c>
      <c r="I229" s="75">
        <v>3.0000000000000001E-3</v>
      </c>
      <c r="J229" s="75">
        <v>0.1008</v>
      </c>
      <c r="K229" s="57">
        <v>152012245.31999999</v>
      </c>
      <c r="L229" s="52">
        <f t="shared" ref="L229" si="166">(K229/$K$230)</f>
        <v>1.8454465225334264E-3</v>
      </c>
      <c r="M229" s="56">
        <v>116.93</v>
      </c>
      <c r="N229" s="56">
        <v>119.34</v>
      </c>
      <c r="O229" s="53">
        <v>312</v>
      </c>
      <c r="P229" s="75">
        <v>3.8999999999999998E-3</v>
      </c>
      <c r="Q229" s="75">
        <v>0.1002</v>
      </c>
      <c r="R229" s="81">
        <f t="shared" ref="R229" si="167">((K229-D229)/D229)</f>
        <v>2.0654798740258183E-2</v>
      </c>
      <c r="S229" s="81">
        <f t="shared" ref="S229" si="168">((N229-G229)/G229)</f>
        <v>8.19464391315366E-3</v>
      </c>
      <c r="T229" s="81">
        <f t="shared" ref="T229" si="169">((O229-H229)/H229)</f>
        <v>-6.369426751592357E-3</v>
      </c>
      <c r="U229" s="81">
        <f t="shared" ref="U229" si="170">P229-I229</f>
        <v>8.9999999999999976E-4</v>
      </c>
      <c r="V229" s="82">
        <f t="shared" ref="V229" si="171">Q229-J229</f>
        <v>-6.0000000000000331E-4</v>
      </c>
    </row>
    <row r="230" spans="1:22">
      <c r="A230" s="60"/>
      <c r="B230" s="61"/>
      <c r="C230" s="96" t="s">
        <v>56</v>
      </c>
      <c r="D230" s="84">
        <f>SUM(D206:D229)</f>
        <v>79754070467.976181</v>
      </c>
      <c r="E230" s="64">
        <f>(D230/$D$231)</f>
        <v>1.0228313769207437E-2</v>
      </c>
      <c r="F230" s="65"/>
      <c r="G230" s="99"/>
      <c r="H230" s="109">
        <f>SUM(H206:H229)</f>
        <v>41311</v>
      </c>
      <c r="I230" s="101"/>
      <c r="J230" s="101"/>
      <c r="K230" s="84">
        <f>SUM(K206:K229)</f>
        <v>82371525516.392532</v>
      </c>
      <c r="L230" s="64">
        <f>(K230/$K$231)</f>
        <v>1.0397014141278313E-2</v>
      </c>
      <c r="M230" s="65"/>
      <c r="N230" s="99"/>
      <c r="O230" s="67">
        <f>SUM(O206:O229)</f>
        <v>41739</v>
      </c>
      <c r="P230" s="101"/>
      <c r="Q230" s="101"/>
      <c r="R230" s="81">
        <f t="shared" si="139"/>
        <v>3.2819077860951854E-2</v>
      </c>
      <c r="S230" s="81" t="e">
        <f t="shared" si="140"/>
        <v>#DIV/0!</v>
      </c>
      <c r="T230" s="81">
        <f t="shared" si="141"/>
        <v>1.0360436687565056E-2</v>
      </c>
      <c r="U230" s="81">
        <f t="shared" si="142"/>
        <v>0</v>
      </c>
      <c r="V230" s="82">
        <f t="shared" si="143"/>
        <v>0</v>
      </c>
    </row>
    <row r="231" spans="1:22">
      <c r="A231" s="110"/>
      <c r="B231" s="110"/>
      <c r="C231" s="111" t="s">
        <v>284</v>
      </c>
      <c r="D231" s="112">
        <f>SUM(D26,D72,D114,D156,D165,D197,D202,D230)</f>
        <v>7797382077589.1299</v>
      </c>
      <c r="E231" s="113"/>
      <c r="F231" s="113"/>
      <c r="G231" s="114"/>
      <c r="H231" s="112">
        <f>SUM(H26,H72,H114,H156,H165,H197,H202,H230)</f>
        <v>1114582</v>
      </c>
      <c r="I231" s="124"/>
      <c r="J231" s="124"/>
      <c r="K231" s="112">
        <f>SUM(K26,K72,K114,K156,K165,K197,K202,K230)</f>
        <v>7922613588584.0918</v>
      </c>
      <c r="L231" s="113"/>
      <c r="M231" s="113"/>
      <c r="N231" s="114"/>
      <c r="O231" s="112">
        <f>SUM(O26,O72,O114,O156,O165,O197,O202,O230)</f>
        <v>1135288</v>
      </c>
      <c r="P231" s="125"/>
      <c r="Q231" s="112"/>
      <c r="R231" s="129">
        <f t="shared" si="139"/>
        <v>1.6060712396651237E-2</v>
      </c>
      <c r="S231" s="129"/>
      <c r="T231" s="129"/>
      <c r="U231" s="129"/>
      <c r="V231" s="129"/>
    </row>
    <row r="232" spans="1:22" ht="6.75" customHeight="1">
      <c r="A232" s="60"/>
      <c r="B232" s="197"/>
      <c r="C232" s="197"/>
      <c r="D232" s="197"/>
      <c r="E232" s="197"/>
      <c r="F232" s="197"/>
      <c r="G232" s="197"/>
      <c r="H232" s="197"/>
      <c r="I232" s="197"/>
      <c r="J232" s="197"/>
      <c r="K232" s="197"/>
      <c r="L232" s="197"/>
      <c r="M232" s="197"/>
      <c r="N232" s="197"/>
      <c r="O232" s="197"/>
      <c r="P232" s="197"/>
      <c r="Q232" s="197"/>
      <c r="R232" s="197"/>
      <c r="S232" s="197"/>
      <c r="T232" s="197"/>
      <c r="U232" s="197"/>
      <c r="V232" s="61"/>
    </row>
    <row r="233" spans="1:22" ht="14.4" customHeight="1">
      <c r="A233" s="195" t="s">
        <v>285</v>
      </c>
      <c r="B233" s="195"/>
      <c r="C233" s="195"/>
      <c r="D233" s="195"/>
      <c r="E233" s="195"/>
      <c r="F233" s="195"/>
      <c r="G233" s="195"/>
      <c r="H233" s="195"/>
      <c r="I233" s="195"/>
      <c r="J233" s="195"/>
      <c r="K233" s="195"/>
      <c r="L233" s="195"/>
      <c r="M233" s="195"/>
      <c r="N233" s="195"/>
      <c r="O233" s="195"/>
      <c r="P233" s="195"/>
      <c r="Q233" s="195"/>
      <c r="R233" s="195"/>
      <c r="S233" s="195"/>
      <c r="T233" s="195"/>
      <c r="U233" s="195"/>
      <c r="V233" s="195"/>
    </row>
    <row r="234" spans="1:22" ht="14.4" customHeight="1">
      <c r="A234" s="181">
        <v>1</v>
      </c>
      <c r="B234" s="170" t="s">
        <v>286</v>
      </c>
      <c r="C234" s="166" t="s">
        <v>24</v>
      </c>
      <c r="D234" s="57">
        <v>1865188118.7011969</v>
      </c>
      <c r="E234" s="52">
        <f t="shared" ref="E234:E237" si="172">(D234/$D$230)</f>
        <v>2.338674512481629E-2</v>
      </c>
      <c r="F234" s="56">
        <v>1496.3807338200002</v>
      </c>
      <c r="G234" s="56">
        <v>1496.3807338200002</v>
      </c>
      <c r="H234" s="53">
        <v>50</v>
      </c>
      <c r="I234" s="75">
        <v>7.4899999999999994E-2</v>
      </c>
      <c r="J234" s="75">
        <v>6.4799999999999996E-2</v>
      </c>
      <c r="K234" s="57">
        <f>1305714.29*W137</f>
        <v>1858250011.242146</v>
      </c>
      <c r="L234" s="52">
        <f>(K234/$K$239)</f>
        <v>9.9070532790413293E-2</v>
      </c>
      <c r="M234" s="56">
        <f>1.0363*W137</f>
        <v>1474.82837662</v>
      </c>
      <c r="N234" s="56">
        <f>1.0363*W137</f>
        <v>1474.82837662</v>
      </c>
      <c r="O234" s="53">
        <v>51</v>
      </c>
      <c r="P234" s="75">
        <v>-1.5100000000000001E-2</v>
      </c>
      <c r="Q234" s="75">
        <v>-1.17E-2</v>
      </c>
      <c r="R234" s="81">
        <f t="shared" ref="R234" si="173">((K234-D234)/D234)</f>
        <v>-3.7197896498944931E-3</v>
      </c>
      <c r="S234" s="81">
        <f t="shared" ref="S234" si="174">((N234-G234)/G234)</f>
        <v>-1.4402990303798394E-2</v>
      </c>
      <c r="T234" s="81">
        <f t="shared" ref="T234" si="175">((O234-H234)/H234)</f>
        <v>0.02</v>
      </c>
      <c r="U234" s="81">
        <f t="shared" ref="U234" si="176">P234-I234</f>
        <v>-0.09</v>
      </c>
      <c r="V234" s="82">
        <f t="shared" ref="V234" si="177">Q234-J234</f>
        <v>-7.6499999999999999E-2</v>
      </c>
    </row>
    <row r="235" spans="1:22" ht="14.4" customHeight="1">
      <c r="A235" s="181">
        <v>2</v>
      </c>
      <c r="B235" s="170" t="s">
        <v>287</v>
      </c>
      <c r="C235" s="166" t="s">
        <v>215</v>
      </c>
      <c r="D235" s="57">
        <v>4121235456.77</v>
      </c>
      <c r="E235" s="52">
        <f t="shared" ref="E235" si="178">(D235/$D$230)</f>
        <v>5.1674296153007115E-2</v>
      </c>
      <c r="F235" s="56">
        <v>123.2</v>
      </c>
      <c r="G235" s="56">
        <v>123.2</v>
      </c>
      <c r="H235" s="53">
        <v>9</v>
      </c>
      <c r="I235" s="75">
        <v>5.3E-3</v>
      </c>
      <c r="J235" s="75">
        <v>0.18920000000000001</v>
      </c>
      <c r="K235" s="57">
        <v>4148720830.6900001</v>
      </c>
      <c r="L235" s="52">
        <f>(K235/$K$239)</f>
        <v>0.2211844372977568</v>
      </c>
      <c r="M235" s="56">
        <v>123.2</v>
      </c>
      <c r="N235" s="56">
        <v>123.2</v>
      </c>
      <c r="O235" s="53">
        <v>9</v>
      </c>
      <c r="P235" s="75">
        <v>6.7000000000000002E-3</v>
      </c>
      <c r="Q235" s="75">
        <v>8.6E-3</v>
      </c>
      <c r="R235" s="81">
        <f t="shared" ref="R235" si="179">((K235-D235)/D235)</f>
        <v>6.6692073792701031E-3</v>
      </c>
      <c r="S235" s="81">
        <f t="shared" ref="S235" si="180">((N235-G235)/G235)</f>
        <v>0</v>
      </c>
      <c r="T235" s="81">
        <f t="shared" ref="T235" si="181">((O235-H235)/H235)</f>
        <v>0</v>
      </c>
      <c r="U235" s="81">
        <f t="shared" ref="U235" si="182">P235-I235</f>
        <v>1.4000000000000002E-3</v>
      </c>
      <c r="V235" s="82">
        <f t="shared" ref="V235" si="183">Q235-J235</f>
        <v>-0.18060000000000001</v>
      </c>
    </row>
    <row r="236" spans="1:22" ht="14.4" customHeight="1">
      <c r="A236" s="181">
        <v>3</v>
      </c>
      <c r="B236" s="170" t="s">
        <v>288</v>
      </c>
      <c r="C236" s="166" t="s">
        <v>32</v>
      </c>
      <c r="D236" s="57">
        <v>710874096.92214298</v>
      </c>
      <c r="E236" s="52">
        <f>(D236/$D$230)</f>
        <v>8.9133268402592919E-3</v>
      </c>
      <c r="F236" s="56">
        <v>160054.646094</v>
      </c>
      <c r="G236" s="56">
        <v>160054.646094</v>
      </c>
      <c r="H236" s="53">
        <v>7</v>
      </c>
      <c r="I236" s="75">
        <v>2.2000000000000001E-3</v>
      </c>
      <c r="J236" s="75">
        <v>5.9999999999999995E-4</v>
      </c>
      <c r="K236" s="57">
        <f>492340.62*W137</f>
        <v>700683120.07978797</v>
      </c>
      <c r="L236" s="52">
        <f>(K236/$K$239)</f>
        <v>3.7356141317686282E-2</v>
      </c>
      <c r="M236" s="56">
        <f>110.85*W137</f>
        <v>157758.10629</v>
      </c>
      <c r="N236" s="56">
        <f>110.85*W137</f>
        <v>157758.10629</v>
      </c>
      <c r="O236" s="53">
        <v>7</v>
      </c>
      <c r="P236" s="75">
        <v>9.1000000000000004E-3</v>
      </c>
      <c r="Q236" s="75">
        <v>-8.3999999999999995E-3</v>
      </c>
      <c r="R236" s="81">
        <f t="shared" ref="R236:R237" si="184">((K236-D236)/D236)</f>
        <v>-1.4335839337062183E-2</v>
      </c>
      <c r="S236" s="81">
        <f t="shared" ref="S236:S237" si="185">((N236-G236)/G236)</f>
        <v>-1.4348473224896224E-2</v>
      </c>
      <c r="T236" s="81">
        <f t="shared" ref="T236:T237" si="186">((O236-H236)/H236)</f>
        <v>0</v>
      </c>
      <c r="U236" s="81">
        <f t="shared" ref="U236:U237" si="187">P236-I236</f>
        <v>6.8999999999999999E-3</v>
      </c>
      <c r="V236" s="82">
        <f t="shared" ref="V236:V237" si="188">Q236-J236</f>
        <v>-8.9999999999999993E-3</v>
      </c>
    </row>
    <row r="237" spans="1:22" ht="14.4" customHeight="1">
      <c r="A237" s="181">
        <v>4</v>
      </c>
      <c r="B237" s="170" t="s">
        <v>289</v>
      </c>
      <c r="C237" s="166" t="s">
        <v>42</v>
      </c>
      <c r="D237" s="57">
        <v>11870779356.99</v>
      </c>
      <c r="E237" s="52">
        <f t="shared" si="172"/>
        <v>0.14884230093003842</v>
      </c>
      <c r="F237" s="56">
        <v>1.28</v>
      </c>
      <c r="G237" s="56">
        <v>1.28</v>
      </c>
      <c r="H237" s="53">
        <v>16</v>
      </c>
      <c r="I237" s="75">
        <v>3.0499999999999999E-2</v>
      </c>
      <c r="J237" s="75">
        <v>8.6499999999999994E-2</v>
      </c>
      <c r="K237" s="57">
        <v>11865165773.17</v>
      </c>
      <c r="L237" s="52">
        <f>(K237/$K$239)</f>
        <v>0.63257811795129415</v>
      </c>
      <c r="M237" s="56">
        <v>1.28</v>
      </c>
      <c r="N237" s="56">
        <v>1.28</v>
      </c>
      <c r="O237" s="53">
        <v>16</v>
      </c>
      <c r="P237" s="75">
        <v>0.03</v>
      </c>
      <c r="Q237" s="75">
        <v>0.1676</v>
      </c>
      <c r="R237" s="81">
        <f t="shared" si="184"/>
        <v>-4.7289092410720174E-4</v>
      </c>
      <c r="S237" s="81">
        <f t="shared" si="185"/>
        <v>0</v>
      </c>
      <c r="T237" s="81">
        <f t="shared" si="186"/>
        <v>0</v>
      </c>
      <c r="U237" s="81">
        <f t="shared" si="187"/>
        <v>-5.0000000000000044E-4</v>
      </c>
      <c r="V237" s="82">
        <f t="shared" si="188"/>
        <v>8.1100000000000005E-2</v>
      </c>
    </row>
    <row r="238" spans="1:22" ht="14.4" customHeight="1">
      <c r="A238" s="181">
        <v>5</v>
      </c>
      <c r="B238" s="170" t="s">
        <v>290</v>
      </c>
      <c r="C238" s="166" t="s">
        <v>53</v>
      </c>
      <c r="D238" s="57">
        <v>172887848.87</v>
      </c>
      <c r="E238" s="52">
        <f t="shared" ref="E238" si="189">(D238/$D$230)</f>
        <v>2.1677620697669597E-3</v>
      </c>
      <c r="F238" s="56">
        <v>1.131</v>
      </c>
      <c r="G238" s="56">
        <v>1.131</v>
      </c>
      <c r="H238" s="53">
        <v>15</v>
      </c>
      <c r="I238" s="75">
        <v>4.1999999999999997E-3</v>
      </c>
      <c r="J238" s="75">
        <v>1.43E-2</v>
      </c>
      <c r="K238" s="57">
        <v>184019043.24000001</v>
      </c>
      <c r="L238" s="52">
        <f>(K238/$K$239)</f>
        <v>9.8107706428493396E-3</v>
      </c>
      <c r="M238" s="56">
        <v>1.1768000000000001</v>
      </c>
      <c r="N238" s="56">
        <v>1.18</v>
      </c>
      <c r="O238" s="53">
        <v>17</v>
      </c>
      <c r="P238" s="75">
        <v>4.0099999999999997E-2</v>
      </c>
      <c r="Q238" s="75">
        <v>5.5300000000000002E-2</v>
      </c>
      <c r="R238" s="81">
        <f t="shared" ref="R238:R239" si="190">((K238-D238)/D238)</f>
        <v>6.4383902297089207E-2</v>
      </c>
      <c r="S238" s="81">
        <f t="shared" ref="S238" si="191">((N238-G238)/G238)</f>
        <v>4.3324491600353607E-2</v>
      </c>
      <c r="T238" s="81">
        <f t="shared" ref="T238" si="192">((O238-H238)/H238)</f>
        <v>0.13333333333333333</v>
      </c>
      <c r="U238" s="81">
        <f t="shared" ref="U238" si="193">P238-I238</f>
        <v>3.5899999999999994E-2</v>
      </c>
      <c r="V238" s="82">
        <f t="shared" ref="V238" si="194">Q238-J238</f>
        <v>4.1000000000000002E-2</v>
      </c>
    </row>
    <row r="239" spans="1:22" ht="14.4" customHeight="1">
      <c r="A239" s="115"/>
      <c r="B239" s="115"/>
      <c r="C239" s="115" t="s">
        <v>56</v>
      </c>
      <c r="D239" s="115">
        <f>SUM(D234:D238)</f>
        <v>18740964878.253338</v>
      </c>
      <c r="E239" s="115"/>
      <c r="F239" s="115"/>
      <c r="G239" s="115"/>
      <c r="H239" s="115">
        <f>SUM(H234:H238)</f>
        <v>97</v>
      </c>
      <c r="I239" s="115"/>
      <c r="J239" s="115"/>
      <c r="K239" s="115">
        <f>SUM(K234:K238)</f>
        <v>18756838778.421936</v>
      </c>
      <c r="L239" s="64"/>
      <c r="M239" s="115"/>
      <c r="N239" s="115"/>
      <c r="O239" s="115">
        <f>SUM(O234:O238)</f>
        <v>100</v>
      </c>
      <c r="P239" s="115"/>
      <c r="Q239" s="115"/>
      <c r="R239" s="129">
        <f t="shared" si="190"/>
        <v>8.4701616334695491E-4</v>
      </c>
      <c r="S239" s="115"/>
      <c r="T239" s="115"/>
      <c r="U239" s="115"/>
      <c r="V239" s="115"/>
    </row>
    <row r="240" spans="1:22" ht="6" customHeight="1">
      <c r="A240" s="60"/>
      <c r="B240" s="68"/>
      <c r="C240" s="96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  <c r="S240" s="68"/>
      <c r="T240" s="68"/>
      <c r="U240" s="68"/>
      <c r="V240" s="61"/>
    </row>
    <row r="241" spans="1:22" ht="15.6">
      <c r="A241" s="195" t="s">
        <v>291</v>
      </c>
      <c r="B241" s="195"/>
      <c r="C241" s="195"/>
      <c r="D241" s="195"/>
      <c r="E241" s="195"/>
      <c r="F241" s="195"/>
      <c r="G241" s="195"/>
      <c r="H241" s="195"/>
      <c r="I241" s="195"/>
      <c r="J241" s="195"/>
      <c r="K241" s="195"/>
      <c r="L241" s="195"/>
      <c r="M241" s="195"/>
      <c r="N241" s="195"/>
      <c r="O241" s="195"/>
      <c r="P241" s="195"/>
      <c r="Q241" s="195"/>
      <c r="R241" s="195"/>
      <c r="S241" s="195"/>
      <c r="T241" s="195"/>
      <c r="U241" s="195"/>
      <c r="V241" s="195"/>
    </row>
    <row r="242" spans="1:22">
      <c r="A242" s="181">
        <v>1</v>
      </c>
      <c r="B242" s="170" t="s">
        <v>292</v>
      </c>
      <c r="C242" s="166" t="s">
        <v>293</v>
      </c>
      <c r="D242" s="57">
        <v>133144840826</v>
      </c>
      <c r="E242" s="52">
        <f>(D242/$D$244)</f>
        <v>0.89680351975540151</v>
      </c>
      <c r="F242" s="85">
        <v>108.35</v>
      </c>
      <c r="G242" s="85">
        <v>108.35</v>
      </c>
      <c r="H242" s="53">
        <v>0</v>
      </c>
      <c r="I242" s="75">
        <v>0.18099999999999999</v>
      </c>
      <c r="J242" s="75">
        <v>0.18099999999999999</v>
      </c>
      <c r="K242" s="57">
        <v>130673357691</v>
      </c>
      <c r="L242" s="52">
        <f>(K242/$K$244)</f>
        <v>0.89478625190019667</v>
      </c>
      <c r="M242" s="85">
        <v>108.35</v>
      </c>
      <c r="N242" s="85">
        <v>108.35</v>
      </c>
      <c r="O242" s="53">
        <v>0</v>
      </c>
      <c r="P242" s="75">
        <v>0.20979999999999999</v>
      </c>
      <c r="Q242" s="75">
        <v>0.20979999999999999</v>
      </c>
      <c r="R242" s="81">
        <f>((K242-D242)/D242)</f>
        <v>-1.8562365012924922E-2</v>
      </c>
      <c r="S242" s="81">
        <f>((N242-G242)/G242)</f>
        <v>0</v>
      </c>
      <c r="T242" s="81" t="e">
        <f>((O242-H242)/H242)</f>
        <v>#DIV/0!</v>
      </c>
      <c r="U242" s="81">
        <f>P242-I242</f>
        <v>2.8799999999999992E-2</v>
      </c>
      <c r="V242" s="82">
        <f>Q242-J242</f>
        <v>2.8799999999999992E-2</v>
      </c>
    </row>
    <row r="243" spans="1:22" ht="14.4" customHeight="1">
      <c r="A243" s="181">
        <v>2</v>
      </c>
      <c r="B243" s="170" t="s">
        <v>294</v>
      </c>
      <c r="C243" s="166" t="s">
        <v>53</v>
      </c>
      <c r="D243" s="57">
        <v>15321169724.799999</v>
      </c>
      <c r="E243" s="52">
        <f>(D243/$D$244)</f>
        <v>0.10319648024459861</v>
      </c>
      <c r="F243" s="116">
        <v>1000000</v>
      </c>
      <c r="G243" s="116">
        <v>1000000</v>
      </c>
      <c r="H243" s="53">
        <v>26</v>
      </c>
      <c r="I243" s="75">
        <v>2.0999999999999999E-3</v>
      </c>
      <c r="J243" s="75">
        <v>0.20580000000000001</v>
      </c>
      <c r="K243" s="57">
        <v>15365271549.780001</v>
      </c>
      <c r="L243" s="52">
        <f>(K243/$K$244)</f>
        <v>0.10521374809980334</v>
      </c>
      <c r="M243" s="116">
        <v>1000000</v>
      </c>
      <c r="N243" s="116">
        <v>1000000</v>
      </c>
      <c r="O243" s="53">
        <v>26</v>
      </c>
      <c r="P243" s="75">
        <v>0.20530000000000001</v>
      </c>
      <c r="Q243" s="75">
        <v>0.20530000000000001</v>
      </c>
      <c r="R243" s="81">
        <f>((K243-D243)/D243)</f>
        <v>2.878489421640889E-3</v>
      </c>
      <c r="S243" s="81">
        <f>((N243-G243)/G243)</f>
        <v>0</v>
      </c>
      <c r="T243" s="81">
        <f>((O243-H243)/H243)</f>
        <v>0</v>
      </c>
      <c r="U243" s="81">
        <f>P243-I243</f>
        <v>0.20320000000000002</v>
      </c>
      <c r="V243" s="82">
        <f>Q243-J243</f>
        <v>-5.0000000000000044E-4</v>
      </c>
    </row>
    <row r="244" spans="1:22" ht="15" customHeight="1">
      <c r="A244" s="110"/>
      <c r="B244" s="110"/>
      <c r="C244" s="111" t="s">
        <v>295</v>
      </c>
      <c r="D244" s="115">
        <f>SUM(D242:D243)</f>
        <v>148466010550.79999</v>
      </c>
      <c r="E244" s="117"/>
      <c r="F244" s="118"/>
      <c r="G244" s="118"/>
      <c r="H244" s="115">
        <f>SUM(H242:H243)</f>
        <v>26</v>
      </c>
      <c r="I244" s="126"/>
      <c r="J244" s="126"/>
      <c r="K244" s="115">
        <f>SUM(K242:K243)</f>
        <v>146038629240.78</v>
      </c>
      <c r="L244" s="117"/>
      <c r="M244" s="118"/>
      <c r="N244" s="118"/>
      <c r="O244" s="115">
        <f>SUM(O242:O243)</f>
        <v>26</v>
      </c>
      <c r="P244" s="126"/>
      <c r="Q244" s="115"/>
      <c r="R244" s="129">
        <f>((K244-D244)/D244)</f>
        <v>-1.6349744301840875E-2</v>
      </c>
      <c r="S244" s="130"/>
      <c r="T244" s="130"/>
      <c r="U244" s="129"/>
      <c r="V244" s="131"/>
    </row>
    <row r="245" spans="1:22" ht="4.5" customHeight="1">
      <c r="A245" s="60"/>
      <c r="B245" s="196"/>
      <c r="C245" s="196"/>
      <c r="D245" s="196"/>
      <c r="E245" s="196"/>
      <c r="F245" s="196"/>
      <c r="G245" s="196"/>
      <c r="H245" s="196"/>
      <c r="I245" s="196"/>
      <c r="J245" s="196"/>
      <c r="K245" s="196"/>
      <c r="L245" s="196"/>
      <c r="M245" s="196"/>
      <c r="N245" s="196"/>
      <c r="O245" s="196"/>
      <c r="P245" s="196"/>
      <c r="Q245" s="196"/>
      <c r="R245" s="196"/>
      <c r="S245" s="196"/>
      <c r="T245" s="196"/>
      <c r="U245" s="196"/>
      <c r="V245" s="196"/>
    </row>
    <row r="246" spans="1:22" ht="15.6">
      <c r="A246" s="195" t="s">
        <v>296</v>
      </c>
      <c r="B246" s="195"/>
      <c r="C246" s="195"/>
      <c r="D246" s="195"/>
      <c r="E246" s="195"/>
      <c r="F246" s="195"/>
      <c r="G246" s="195"/>
      <c r="H246" s="195"/>
      <c r="I246" s="195"/>
      <c r="J246" s="195"/>
      <c r="K246" s="195"/>
      <c r="L246" s="195"/>
      <c r="M246" s="195"/>
      <c r="N246" s="195"/>
      <c r="O246" s="195"/>
      <c r="P246" s="195"/>
      <c r="Q246" s="195"/>
      <c r="R246" s="195"/>
      <c r="S246" s="195"/>
      <c r="T246" s="195"/>
      <c r="U246" s="195"/>
      <c r="V246" s="195"/>
    </row>
    <row r="247" spans="1:22">
      <c r="A247" s="181">
        <v>1</v>
      </c>
      <c r="B247" s="170" t="s">
        <v>297</v>
      </c>
      <c r="C247" s="166" t="s">
        <v>94</v>
      </c>
      <c r="D247" s="119">
        <v>1444369840.23</v>
      </c>
      <c r="E247" s="120">
        <f t="shared" ref="E247:E258" si="195">(D247/$D$259)</f>
        <v>7.8950364479492052E-2</v>
      </c>
      <c r="F247" s="116">
        <v>352.92</v>
      </c>
      <c r="G247" s="116">
        <v>352.92</v>
      </c>
      <c r="H247" s="121">
        <v>266</v>
      </c>
      <c r="I247" s="77">
        <v>1.4E-3</v>
      </c>
      <c r="J247" s="77">
        <v>-2.0000000000000001E-4</v>
      </c>
      <c r="K247" s="119">
        <v>1444319189.98</v>
      </c>
      <c r="L247" s="120">
        <f t="shared" ref="L247:L258" si="196">(K247/$K$259)</f>
        <v>7.75301497341917E-2</v>
      </c>
      <c r="M247" s="116">
        <v>352.91</v>
      </c>
      <c r="N247" s="116">
        <v>352.91</v>
      </c>
      <c r="O247" s="121">
        <v>12</v>
      </c>
      <c r="P247" s="77">
        <v>0</v>
      </c>
      <c r="Q247" s="77">
        <v>-2.9999999999999997E-4</v>
      </c>
      <c r="R247" s="81">
        <f>((K247-D247)/D247)</f>
        <v>-3.5067368889352124E-5</v>
      </c>
      <c r="S247" s="81">
        <f>((N247-G247)/G247)</f>
        <v>-2.8335033435313683E-5</v>
      </c>
      <c r="T247" s="81">
        <f>((O247-H247)/H247)</f>
        <v>-0.95488721804511278</v>
      </c>
      <c r="U247" s="81">
        <f>P247-I247</f>
        <v>-1.4E-3</v>
      </c>
      <c r="V247" s="82">
        <f>Q247-J247</f>
        <v>-9.9999999999999964E-5</v>
      </c>
    </row>
    <row r="248" spans="1:22">
      <c r="A248" s="181">
        <v>2</v>
      </c>
      <c r="B248" s="170" t="s">
        <v>298</v>
      </c>
      <c r="C248" s="166" t="s">
        <v>259</v>
      </c>
      <c r="D248" s="119">
        <v>2082212079.02</v>
      </c>
      <c r="E248" s="120">
        <f t="shared" si="195"/>
        <v>0.11381531099822215</v>
      </c>
      <c r="F248" s="116">
        <v>59.22</v>
      </c>
      <c r="G248" s="116">
        <v>65.459999999999994</v>
      </c>
      <c r="H248" s="121">
        <v>547</v>
      </c>
      <c r="I248" s="77">
        <v>8.9999999999999998E-4</v>
      </c>
      <c r="J248" s="77">
        <v>8.9999999999999998E-4</v>
      </c>
      <c r="K248" s="119">
        <v>2188528248.21</v>
      </c>
      <c r="L248" s="120">
        <f t="shared" si="196"/>
        <v>0.11747882598138097</v>
      </c>
      <c r="M248" s="116">
        <v>62.25</v>
      </c>
      <c r="N248" s="116">
        <v>68.8</v>
      </c>
      <c r="O248" s="121">
        <v>547</v>
      </c>
      <c r="P248" s="77">
        <v>5.1200000000000002E-2</v>
      </c>
      <c r="Q248" s="77">
        <v>6.1499999999999999E-2</v>
      </c>
      <c r="R248" s="81">
        <f t="shared" ref="R248:R259" si="197">((K248-D248)/D248)</f>
        <v>5.1059241400634905E-2</v>
      </c>
      <c r="S248" s="81">
        <f t="shared" ref="S248:S259" si="198">((N248-G248)/G248)</f>
        <v>5.102352581729306E-2</v>
      </c>
      <c r="T248" s="81">
        <f t="shared" ref="T248:T259" si="199">((O248-H248)/H248)</f>
        <v>0</v>
      </c>
      <c r="U248" s="81">
        <f t="shared" ref="U248:U259" si="200">P248-I248</f>
        <v>5.0300000000000004E-2</v>
      </c>
      <c r="V248" s="82">
        <f t="shared" ref="V248:V259" si="201">Q248-J248</f>
        <v>6.0600000000000001E-2</v>
      </c>
    </row>
    <row r="249" spans="1:22">
      <c r="A249" s="181">
        <v>3</v>
      </c>
      <c r="B249" s="170" t="s">
        <v>299</v>
      </c>
      <c r="C249" s="166" t="s">
        <v>44</v>
      </c>
      <c r="D249" s="119">
        <v>485253962.30000001</v>
      </c>
      <c r="E249" s="120">
        <f t="shared" si="195"/>
        <v>2.6524354165829225E-2</v>
      </c>
      <c r="F249" s="116">
        <v>40.428215000000002</v>
      </c>
      <c r="G249" s="116">
        <v>40.793002000000001</v>
      </c>
      <c r="H249" s="121">
        <v>218</v>
      </c>
      <c r="I249" s="77">
        <v>5.5999999999999999E-3</v>
      </c>
      <c r="J249" s="77">
        <v>0.10970000000000001</v>
      </c>
      <c r="K249" s="119">
        <v>407181655.70999998</v>
      </c>
      <c r="L249" s="120">
        <f t="shared" si="196"/>
        <v>2.1857256315101329E-2</v>
      </c>
      <c r="M249" s="116">
        <v>33.92</v>
      </c>
      <c r="N249" s="116">
        <v>34.01</v>
      </c>
      <c r="O249" s="121">
        <v>218</v>
      </c>
      <c r="P249" s="77">
        <v>-0.1067</v>
      </c>
      <c r="Q249" s="77">
        <v>-0.1067</v>
      </c>
      <c r="R249" s="81">
        <f t="shared" si="197"/>
        <v>-0.16088958082887977</v>
      </c>
      <c r="S249" s="81">
        <f t="shared" si="198"/>
        <v>-0.16627856905456487</v>
      </c>
      <c r="T249" s="81">
        <f t="shared" si="199"/>
        <v>0</v>
      </c>
      <c r="U249" s="81">
        <f t="shared" si="200"/>
        <v>-0.1123</v>
      </c>
      <c r="V249" s="82">
        <f t="shared" si="201"/>
        <v>-0.21640000000000001</v>
      </c>
    </row>
    <row r="250" spans="1:22">
      <c r="A250" s="181">
        <v>4</v>
      </c>
      <c r="B250" s="170" t="s">
        <v>300</v>
      </c>
      <c r="C250" s="166" t="s">
        <v>44</v>
      </c>
      <c r="D250" s="119">
        <v>981009393.29999995</v>
      </c>
      <c r="E250" s="120">
        <f t="shared" si="195"/>
        <v>5.3622726674012473E-2</v>
      </c>
      <c r="F250" s="116">
        <v>83.302661000000001</v>
      </c>
      <c r="G250" s="116">
        <v>83.774466000000004</v>
      </c>
      <c r="H250" s="121">
        <v>261</v>
      </c>
      <c r="I250" s="77">
        <v>2.18E-2</v>
      </c>
      <c r="J250" s="77">
        <v>0.2661</v>
      </c>
      <c r="K250" s="119">
        <v>876298100.48000002</v>
      </c>
      <c r="L250" s="120">
        <f t="shared" si="196"/>
        <v>4.7039133325468691E-2</v>
      </c>
      <c r="M250" s="116">
        <v>74.41</v>
      </c>
      <c r="N250" s="116">
        <v>74.59</v>
      </c>
      <c r="O250" s="121">
        <v>261</v>
      </c>
      <c r="P250" s="77">
        <v>-0.16089999999999999</v>
      </c>
      <c r="Q250" s="77">
        <v>-0.16089999999999999</v>
      </c>
      <c r="R250" s="81">
        <f t="shared" si="197"/>
        <v>-0.10673831824154455</v>
      </c>
      <c r="S250" s="81">
        <f t="shared" si="198"/>
        <v>-0.10963323836644927</v>
      </c>
      <c r="T250" s="81">
        <f t="shared" si="199"/>
        <v>0</v>
      </c>
      <c r="U250" s="81">
        <f t="shared" si="200"/>
        <v>-0.18269999999999997</v>
      </c>
      <c r="V250" s="82">
        <f t="shared" si="201"/>
        <v>-0.42699999999999999</v>
      </c>
    </row>
    <row r="251" spans="1:22">
      <c r="A251" s="181">
        <v>5</v>
      </c>
      <c r="B251" s="170" t="s">
        <v>301</v>
      </c>
      <c r="C251" s="166" t="s">
        <v>302</v>
      </c>
      <c r="D251" s="119">
        <v>1941665474.3299999</v>
      </c>
      <c r="E251" s="120">
        <f t="shared" si="195"/>
        <v>0.10613292567171627</v>
      </c>
      <c r="F251" s="116">
        <v>57312</v>
      </c>
      <c r="G251" s="116">
        <v>61906</v>
      </c>
      <c r="H251" s="121">
        <v>320</v>
      </c>
      <c r="I251" s="77">
        <v>-3.4000000000000002E-2</v>
      </c>
      <c r="J251" s="77">
        <v>0.54</v>
      </c>
      <c r="K251" s="119">
        <v>1996400319.4300001</v>
      </c>
      <c r="L251" s="120">
        <f t="shared" si="196"/>
        <v>0.10716551906849575</v>
      </c>
      <c r="M251" s="116">
        <v>58900</v>
      </c>
      <c r="N251" s="116">
        <v>64150</v>
      </c>
      <c r="O251" s="121">
        <v>326</v>
      </c>
      <c r="P251" s="77">
        <v>2.8000000000000001E-2</v>
      </c>
      <c r="Q251" s="77">
        <v>0.02</v>
      </c>
      <c r="R251" s="81">
        <f t="shared" si="197"/>
        <v>2.8189637104654809E-2</v>
      </c>
      <c r="S251" s="81">
        <f t="shared" si="198"/>
        <v>3.6248505799114789E-2</v>
      </c>
      <c r="T251" s="81">
        <f t="shared" si="199"/>
        <v>1.8749999999999999E-2</v>
      </c>
      <c r="U251" s="81">
        <f t="shared" si="200"/>
        <v>6.2E-2</v>
      </c>
      <c r="V251" s="82">
        <f t="shared" si="201"/>
        <v>-0.52</v>
      </c>
    </row>
    <row r="252" spans="1:22">
      <c r="A252" s="182">
        <v>6</v>
      </c>
      <c r="B252" s="183" t="s">
        <v>303</v>
      </c>
      <c r="C252" s="166" t="s">
        <v>304</v>
      </c>
      <c r="D252" s="119">
        <v>958438320.59000003</v>
      </c>
      <c r="E252" s="120">
        <f t="shared" si="195"/>
        <v>5.2388974509218006E-2</v>
      </c>
      <c r="F252" s="116">
        <v>1954</v>
      </c>
      <c r="G252" s="116">
        <v>1954</v>
      </c>
      <c r="H252" s="121">
        <v>174</v>
      </c>
      <c r="I252" s="77">
        <v>2.53E-2</v>
      </c>
      <c r="J252" s="77">
        <v>4.65E-2</v>
      </c>
      <c r="K252" s="119">
        <v>991206962.49000001</v>
      </c>
      <c r="L252" s="120">
        <f t="shared" si="196"/>
        <v>5.3207369086113974E-2</v>
      </c>
      <c r="M252" s="116">
        <v>2299</v>
      </c>
      <c r="N252" s="116">
        <v>2299</v>
      </c>
      <c r="O252" s="121">
        <v>214</v>
      </c>
      <c r="P252" s="77">
        <v>3.4200000000000001E-2</v>
      </c>
      <c r="Q252" s="77">
        <v>8.1199999999999994E-2</v>
      </c>
      <c r="R252" s="81">
        <f t="shared" si="197"/>
        <v>3.4189619922362975E-2</v>
      </c>
      <c r="S252" s="81">
        <f t="shared" si="198"/>
        <v>0.17656090071647901</v>
      </c>
      <c r="T252" s="81">
        <f t="shared" si="199"/>
        <v>0.22988505747126436</v>
      </c>
      <c r="U252" s="81">
        <f t="shared" si="200"/>
        <v>8.9000000000000017E-3</v>
      </c>
      <c r="V252" s="82">
        <f t="shared" si="201"/>
        <v>3.4699999999999995E-2</v>
      </c>
    </row>
    <row r="253" spans="1:22">
      <c r="A253" s="182">
        <v>7</v>
      </c>
      <c r="B253" s="183" t="s">
        <v>305</v>
      </c>
      <c r="C253" s="166" t="s">
        <v>304</v>
      </c>
      <c r="D253" s="119">
        <v>1070978827.6900001</v>
      </c>
      <c r="E253" s="120">
        <f t="shared" si="195"/>
        <v>5.8540525037881083E-2</v>
      </c>
      <c r="F253" s="116">
        <v>1066.1400000000001</v>
      </c>
      <c r="G253" s="116">
        <v>1066.1400000000001</v>
      </c>
      <c r="H253" s="121">
        <v>1793</v>
      </c>
      <c r="I253" s="77">
        <v>1.9699999999999999E-2</v>
      </c>
      <c r="J253" s="77">
        <v>1.9400000000000001E-2</v>
      </c>
      <c r="K253" s="119">
        <v>1103826401.47</v>
      </c>
      <c r="L253" s="120">
        <f t="shared" si="196"/>
        <v>5.9252710052068308E-2</v>
      </c>
      <c r="M253" s="116">
        <v>1678</v>
      </c>
      <c r="N253" s="116">
        <v>1678</v>
      </c>
      <c r="O253" s="121">
        <v>2463</v>
      </c>
      <c r="P253" s="77">
        <v>3.0700000000000002E-2</v>
      </c>
      <c r="Q253" s="77">
        <v>5.0200000000000002E-2</v>
      </c>
      <c r="R253" s="81">
        <f t="shared" si="197"/>
        <v>3.0670609848421633E-2</v>
      </c>
      <c r="S253" s="81">
        <f t="shared" si="198"/>
        <v>0.57390211416887071</v>
      </c>
      <c r="T253" s="81">
        <f t="shared" si="199"/>
        <v>0.37367540435025098</v>
      </c>
      <c r="U253" s="81">
        <f t="shared" si="200"/>
        <v>1.1000000000000003E-2</v>
      </c>
      <c r="V253" s="82">
        <f t="shared" si="201"/>
        <v>3.0800000000000001E-2</v>
      </c>
    </row>
    <row r="254" spans="1:22">
      <c r="A254" s="181">
        <v>8</v>
      </c>
      <c r="B254" s="170" t="s">
        <v>306</v>
      </c>
      <c r="C254" s="166" t="s">
        <v>307</v>
      </c>
      <c r="D254" s="119">
        <v>181354169.63999999</v>
      </c>
      <c r="E254" s="120">
        <f t="shared" si="195"/>
        <v>9.9129581594376483E-3</v>
      </c>
      <c r="F254" s="116">
        <v>39.79</v>
      </c>
      <c r="G254" s="116">
        <v>39.89</v>
      </c>
      <c r="H254" s="121">
        <v>313</v>
      </c>
      <c r="I254" s="77">
        <v>0.04</v>
      </c>
      <c r="J254" s="77">
        <v>0</v>
      </c>
      <c r="K254" s="119">
        <v>185639708.13</v>
      </c>
      <c r="L254" s="120">
        <f t="shared" si="196"/>
        <v>9.965023291098031E-3</v>
      </c>
      <c r="M254" s="116">
        <v>40.89</v>
      </c>
      <c r="N254" s="116">
        <v>40.99</v>
      </c>
      <c r="O254" s="121">
        <v>348</v>
      </c>
      <c r="P254" s="77">
        <v>7.6899999999999996E-2</v>
      </c>
      <c r="Q254" s="77">
        <v>7.6899999999999996E-2</v>
      </c>
      <c r="R254" s="81">
        <f t="shared" si="197"/>
        <v>2.363076900027767E-2</v>
      </c>
      <c r="S254" s="81">
        <f t="shared" si="198"/>
        <v>2.7575833542241197E-2</v>
      </c>
      <c r="T254" s="81">
        <f t="shared" si="199"/>
        <v>0.11182108626198083</v>
      </c>
      <c r="U254" s="81">
        <f t="shared" si="200"/>
        <v>3.6899999999999995E-2</v>
      </c>
      <c r="V254" s="82">
        <f t="shared" si="201"/>
        <v>7.6899999999999996E-2</v>
      </c>
    </row>
    <row r="255" spans="1:22">
      <c r="A255" s="181">
        <v>9</v>
      </c>
      <c r="B255" s="170" t="s">
        <v>308</v>
      </c>
      <c r="C255" s="166" t="s">
        <v>307</v>
      </c>
      <c r="D255" s="122">
        <v>951216882.70000005</v>
      </c>
      <c r="E255" s="120">
        <f t="shared" si="195"/>
        <v>5.1994245169403812E-2</v>
      </c>
      <c r="F255" s="116">
        <v>15.46</v>
      </c>
      <c r="G255" s="116">
        <v>15.56</v>
      </c>
      <c r="H255" s="121">
        <v>409</v>
      </c>
      <c r="I255" s="77">
        <v>3.5700000000000003E-2</v>
      </c>
      <c r="J255" s="77">
        <v>-3.3300000000000003E-2</v>
      </c>
      <c r="K255" s="122">
        <v>974498023.75999999</v>
      </c>
      <c r="L255" s="120">
        <f t="shared" si="196"/>
        <v>5.2310443717661123E-2</v>
      </c>
      <c r="M255" s="116">
        <v>15.94</v>
      </c>
      <c r="N255" s="116">
        <v>16.04</v>
      </c>
      <c r="O255" s="121">
        <v>434</v>
      </c>
      <c r="P255" s="77">
        <v>0.13789999999999999</v>
      </c>
      <c r="Q255" s="77">
        <v>0.1</v>
      </c>
      <c r="R255" s="81">
        <f t="shared" si="197"/>
        <v>2.4475113387303571E-2</v>
      </c>
      <c r="S255" s="81">
        <f t="shared" si="198"/>
        <v>3.08483290488431E-2</v>
      </c>
      <c r="T255" s="81">
        <f t="shared" si="199"/>
        <v>6.1124694376528114E-2</v>
      </c>
      <c r="U255" s="81">
        <f t="shared" si="200"/>
        <v>0.10219999999999999</v>
      </c>
      <c r="V255" s="82">
        <f t="shared" si="201"/>
        <v>0.1333</v>
      </c>
    </row>
    <row r="256" spans="1:22" ht="15" customHeight="1">
      <c r="A256" s="181">
        <v>10</v>
      </c>
      <c r="B256" s="170" t="s">
        <v>309</v>
      </c>
      <c r="C256" s="166" t="s">
        <v>307</v>
      </c>
      <c r="D256" s="119">
        <v>150191412.72999999</v>
      </c>
      <c r="E256" s="120">
        <f t="shared" si="195"/>
        <v>8.2095779394252087E-3</v>
      </c>
      <c r="F256" s="116">
        <v>145.37</v>
      </c>
      <c r="G256" s="116">
        <v>147.37</v>
      </c>
      <c r="H256" s="121">
        <v>407</v>
      </c>
      <c r="I256" s="77">
        <v>-8.1699999999999995E-2</v>
      </c>
      <c r="J256" s="77">
        <v>-7.6200000000000004E-2</v>
      </c>
      <c r="K256" s="119">
        <v>149791187.56</v>
      </c>
      <c r="L256" s="120">
        <f t="shared" si="196"/>
        <v>8.0406971540342171E-3</v>
      </c>
      <c r="M256" s="116">
        <v>144.97999999999999</v>
      </c>
      <c r="N256" s="116">
        <v>146.97999999999999</v>
      </c>
      <c r="O256" s="121">
        <v>407</v>
      </c>
      <c r="P256" s="77">
        <v>0.15</v>
      </c>
      <c r="Q256" s="77">
        <v>6.2399999999999997E-2</v>
      </c>
      <c r="R256" s="81">
        <f t="shared" si="197"/>
        <v>-2.6647673307359731E-3</v>
      </c>
      <c r="S256" s="81">
        <f t="shared" si="198"/>
        <v>-2.6464002171406307E-3</v>
      </c>
      <c r="T256" s="81">
        <f t="shared" si="199"/>
        <v>0</v>
      </c>
      <c r="U256" s="81">
        <f t="shared" si="200"/>
        <v>0.23169999999999999</v>
      </c>
      <c r="V256" s="82">
        <f t="shared" si="201"/>
        <v>0.1386</v>
      </c>
    </row>
    <row r="257" spans="1:26">
      <c r="A257" s="181">
        <v>11</v>
      </c>
      <c r="B257" s="170" t="s">
        <v>310</v>
      </c>
      <c r="C257" s="166" t="s">
        <v>307</v>
      </c>
      <c r="D257" s="119">
        <v>7948598628.8500004</v>
      </c>
      <c r="E257" s="120">
        <f t="shared" si="195"/>
        <v>0.43447650412651145</v>
      </c>
      <c r="F257" s="116">
        <v>57.26</v>
      </c>
      <c r="G257" s="116">
        <v>57.46</v>
      </c>
      <c r="H257" s="121">
        <v>818</v>
      </c>
      <c r="I257" s="77">
        <v>-6.7799999999999999E-2</v>
      </c>
      <c r="J257" s="77">
        <v>1.83E-2</v>
      </c>
      <c r="K257" s="119">
        <v>8207404407.3900003</v>
      </c>
      <c r="L257" s="120">
        <f t="shared" si="196"/>
        <v>0.44056832938903412</v>
      </c>
      <c r="M257" s="116">
        <v>59.19</v>
      </c>
      <c r="N257" s="116">
        <v>59.19</v>
      </c>
      <c r="O257" s="121">
        <v>842</v>
      </c>
      <c r="P257" s="77">
        <v>0.2109</v>
      </c>
      <c r="Q257" s="77">
        <v>0.2331</v>
      </c>
      <c r="R257" s="81">
        <f t="shared" si="197"/>
        <v>3.2559925418884042E-2</v>
      </c>
      <c r="S257" s="81">
        <f t="shared" si="198"/>
        <v>3.0107901148625077E-2</v>
      </c>
      <c r="T257" s="81">
        <f t="shared" si="199"/>
        <v>2.9339853300733496E-2</v>
      </c>
      <c r="U257" s="81">
        <f t="shared" si="200"/>
        <v>0.2787</v>
      </c>
      <c r="V257" s="82">
        <f t="shared" si="201"/>
        <v>0.21479999999999999</v>
      </c>
    </row>
    <row r="258" spans="1:26">
      <c r="A258" s="181">
        <v>12</v>
      </c>
      <c r="B258" s="170" t="s">
        <v>311</v>
      </c>
      <c r="C258" s="166" t="s">
        <v>307</v>
      </c>
      <c r="D258" s="122">
        <v>99368034.620000005</v>
      </c>
      <c r="E258" s="120">
        <f t="shared" si="195"/>
        <v>5.4315330688506566E-3</v>
      </c>
      <c r="F258" s="116">
        <v>56.67</v>
      </c>
      <c r="G258" s="116">
        <v>56.87</v>
      </c>
      <c r="H258" s="121">
        <v>400</v>
      </c>
      <c r="I258" s="77">
        <v>-4.3099999999999999E-2</v>
      </c>
      <c r="J258" s="77">
        <v>0</v>
      </c>
      <c r="K258" s="122">
        <v>104035171.92</v>
      </c>
      <c r="L258" s="120">
        <f t="shared" si="196"/>
        <v>5.5845428853518635E-3</v>
      </c>
      <c r="M258" s="116">
        <v>59.36</v>
      </c>
      <c r="N258" s="116">
        <v>59.56</v>
      </c>
      <c r="O258" s="121">
        <v>423</v>
      </c>
      <c r="P258" s="77">
        <v>3.3500000000000002E-2</v>
      </c>
      <c r="Q258" s="77">
        <v>3.3500000000000002E-2</v>
      </c>
      <c r="R258" s="81">
        <f t="shared" si="197"/>
        <v>4.6968195736666336E-2</v>
      </c>
      <c r="S258" s="81">
        <f t="shared" si="198"/>
        <v>4.7300861614207927E-2</v>
      </c>
      <c r="T258" s="81">
        <f t="shared" si="199"/>
        <v>5.7500000000000002E-2</v>
      </c>
      <c r="U258" s="81">
        <f t="shared" si="200"/>
        <v>7.6600000000000001E-2</v>
      </c>
      <c r="V258" s="82">
        <f t="shared" si="201"/>
        <v>3.3500000000000002E-2</v>
      </c>
    </row>
    <row r="259" spans="1:26">
      <c r="A259" s="132"/>
      <c r="B259" s="132"/>
      <c r="C259" s="133" t="s">
        <v>312</v>
      </c>
      <c r="D259" s="115">
        <f>SUM(D247:D258)</f>
        <v>18294657026</v>
      </c>
      <c r="E259" s="117"/>
      <c r="F259" s="117"/>
      <c r="G259" s="118"/>
      <c r="H259" s="115">
        <f>SUM(H247:H258)</f>
        <v>5926</v>
      </c>
      <c r="I259" s="126"/>
      <c r="J259" s="126"/>
      <c r="K259" s="115">
        <f>SUM(K247:K258)</f>
        <v>18629129376.529999</v>
      </c>
      <c r="L259" s="117"/>
      <c r="M259" s="117"/>
      <c r="N259" s="118"/>
      <c r="O259" s="115">
        <f>SUM(O247:O258)</f>
        <v>6495</v>
      </c>
      <c r="P259" s="126"/>
      <c r="Q259" s="126"/>
      <c r="R259" s="81">
        <f t="shared" si="197"/>
        <v>1.8282515493712365E-2</v>
      </c>
      <c r="S259" s="81" t="e">
        <f t="shared" si="198"/>
        <v>#DIV/0!</v>
      </c>
      <c r="T259" s="81">
        <f t="shared" si="199"/>
        <v>9.6017549780627737E-2</v>
      </c>
      <c r="U259" s="81">
        <f t="shared" si="200"/>
        <v>0</v>
      </c>
      <c r="V259" s="82">
        <f t="shared" si="201"/>
        <v>0</v>
      </c>
      <c r="Z259" s="90"/>
    </row>
    <row r="260" spans="1:26">
      <c r="A260" s="134"/>
      <c r="B260" s="134"/>
      <c r="C260" s="135" t="s">
        <v>313</v>
      </c>
      <c r="D260" s="136">
        <f>SUM(D231,D239,D244,D259)</f>
        <v>7982883710044.1826</v>
      </c>
      <c r="E260" s="137"/>
      <c r="F260" s="137"/>
      <c r="G260" s="138"/>
      <c r="H260" s="136">
        <f>SUM(H231,H239,H244,H259)</f>
        <v>1120631</v>
      </c>
      <c r="I260" s="149"/>
      <c r="J260" s="149"/>
      <c r="K260" s="136">
        <f>SUM(K231,K239,K244,K259)</f>
        <v>8106038185979.8242</v>
      </c>
      <c r="L260" s="137"/>
      <c r="M260" s="137"/>
      <c r="N260" s="136"/>
      <c r="O260" s="136">
        <f>SUM(O231,O239,O244,O259)</f>
        <v>1141909</v>
      </c>
      <c r="P260" s="150"/>
      <c r="Q260" s="136"/>
      <c r="R260" s="154"/>
      <c r="S260" s="155"/>
      <c r="T260" s="155"/>
      <c r="U260" s="156"/>
      <c r="V260" s="156"/>
      <c r="Z260" s="90"/>
    </row>
    <row r="261" spans="1:26">
      <c r="A261" s="139" t="s">
        <v>314</v>
      </c>
      <c r="B261" s="140" t="s">
        <v>334</v>
      </c>
      <c r="C261" s="141"/>
      <c r="D261" s="141"/>
      <c r="E261" s="141"/>
      <c r="F261" s="141"/>
      <c r="G261" s="141"/>
      <c r="H261" s="141"/>
      <c r="I261" s="141"/>
      <c r="J261" s="141"/>
      <c r="K261" s="141"/>
      <c r="L261" s="141"/>
      <c r="M261" s="141"/>
      <c r="N261" s="141"/>
      <c r="O261" s="141"/>
      <c r="P261" s="141"/>
      <c r="Q261" s="141"/>
      <c r="R261" s="141"/>
      <c r="S261" s="141"/>
      <c r="T261" s="141"/>
      <c r="U261" s="141"/>
      <c r="V261" s="141"/>
    </row>
    <row r="262" spans="1:26">
      <c r="B262" s="142"/>
    </row>
    <row r="263" spans="1:26">
      <c r="B263" s="142"/>
      <c r="C263" s="143"/>
      <c r="D263" s="144"/>
      <c r="K263" s="144"/>
    </row>
    <row r="264" spans="1:26" ht="15">
      <c r="B264" s="145"/>
      <c r="C264" s="146"/>
      <c r="D264" s="147"/>
      <c r="F264" s="148"/>
      <c r="G264" s="148"/>
      <c r="I264" s="151"/>
      <c r="J264" s="152"/>
    </row>
    <row r="265" spans="1:26">
      <c r="C265" s="142"/>
    </row>
    <row r="266" spans="1:26">
      <c r="K266" s="128"/>
    </row>
    <row r="267" spans="1:26">
      <c r="B267" s="143"/>
    </row>
    <row r="268" spans="1:26">
      <c r="K268" s="153"/>
    </row>
  </sheetData>
  <sheetProtection algorithmName="SHA-512" hashValue="r7oTstuqDpcOT4yay39+B49JwfslhVjdkjvEyQ/ka25Wj6yEtahVpPNNJhnYAwo5rEXzSJOXBqkHtou4YtHUMg==" saltValue="vGvb39cMRgw4XK6qYeX62A==" spinCount="100000" sheet="1" objects="1" scenarios="1"/>
  <sortState ref="A150:C177">
    <sortCondition descending="1" ref="A149"/>
  </sortState>
  <mergeCells count="34">
    <mergeCell ref="A1:V1"/>
    <mergeCell ref="D2:J2"/>
    <mergeCell ref="K2:Q2"/>
    <mergeCell ref="R2:T2"/>
    <mergeCell ref="U2:V2"/>
    <mergeCell ref="B4:V4"/>
    <mergeCell ref="A5:V5"/>
    <mergeCell ref="B27:V27"/>
    <mergeCell ref="A28:V28"/>
    <mergeCell ref="B73:V73"/>
    <mergeCell ref="A74:V74"/>
    <mergeCell ref="B115:V115"/>
    <mergeCell ref="A116:V116"/>
    <mergeCell ref="A117:V117"/>
    <mergeCell ref="B135:V135"/>
    <mergeCell ref="A136:V136"/>
    <mergeCell ref="B157:V157"/>
    <mergeCell ref="A158:V158"/>
    <mergeCell ref="B166:V166"/>
    <mergeCell ref="A167:V167"/>
    <mergeCell ref="B198:V198"/>
    <mergeCell ref="A199:V199"/>
    <mergeCell ref="B203:V203"/>
    <mergeCell ref="A204:V204"/>
    <mergeCell ref="A205:V205"/>
    <mergeCell ref="A233:V233"/>
    <mergeCell ref="A241:V241"/>
    <mergeCell ref="B245:V245"/>
    <mergeCell ref="A246:V246"/>
    <mergeCell ref="B208:V208"/>
    <mergeCell ref="A209:V209"/>
    <mergeCell ref="B224:V224"/>
    <mergeCell ref="A225:V225"/>
    <mergeCell ref="B232:U232"/>
  </mergeCells>
  <pageMargins left="0.7" right="0.7" top="0.75" bottom="0.75" header="0.3" footer="0.3"/>
  <pageSetup paperSize="9" orientation="portrait" horizontalDpi="300" verticalDpi="300" r:id="rId1"/>
  <ignoredErrors>
    <ignoredError sqref="E99 E79 L51 E51 L35 E35 L141 E141" formula="1"/>
    <ignoredError sqref="S165 S26 S72 S114 S156 S197 S202 S230 S259 T242:T243 R52:T52 R141 R129:T129 R47:T47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G29"/>
  <sheetViews>
    <sheetView workbookViewId="0">
      <selection activeCell="B9" sqref="B9"/>
    </sheetView>
  </sheetViews>
  <sheetFormatPr defaultColWidth="9" defaultRowHeight="14.4"/>
  <cols>
    <col min="1" max="1" width="34" style="20" customWidth="1"/>
    <col min="2" max="2" width="15.6640625" style="20" customWidth="1"/>
    <col min="3" max="3" width="16.109375" style="20" customWidth="1"/>
    <col min="4" max="5" width="9" style="20"/>
  </cols>
  <sheetData>
    <row r="1" spans="1:7">
      <c r="F1" s="15"/>
      <c r="G1" s="15"/>
    </row>
    <row r="2" spans="1:7" ht="27.6">
      <c r="A2" s="30" t="s">
        <v>315</v>
      </c>
      <c r="B2" s="31" t="s">
        <v>331</v>
      </c>
      <c r="C2" s="31" t="s">
        <v>335</v>
      </c>
      <c r="D2" s="173"/>
      <c r="F2" s="15"/>
      <c r="G2" s="15"/>
    </row>
    <row r="3" spans="1:7">
      <c r="A3" s="32" t="s">
        <v>18</v>
      </c>
      <c r="B3" s="33">
        <f t="shared" ref="B3:C10" si="0">B13</f>
        <v>81.634147241387197</v>
      </c>
      <c r="C3" s="33">
        <f t="shared" si="0"/>
        <v>88.746718359350893</v>
      </c>
      <c r="D3" s="173"/>
      <c r="F3" s="15"/>
      <c r="G3" s="15"/>
    </row>
    <row r="4" spans="1:7" ht="15.6" customHeight="1">
      <c r="A4" s="30" t="s">
        <v>57</v>
      </c>
      <c r="B4" s="34">
        <f t="shared" si="0"/>
        <v>4861.6973217289278</v>
      </c>
      <c r="C4" s="34">
        <f t="shared" si="0"/>
        <v>4966.7559626115844</v>
      </c>
      <c r="D4" s="173"/>
      <c r="F4" s="15"/>
      <c r="G4" s="15"/>
    </row>
    <row r="5" spans="1:7" ht="16.2" customHeight="1">
      <c r="A5" s="30" t="s">
        <v>316</v>
      </c>
      <c r="B5" s="33">
        <f t="shared" si="0"/>
        <v>241.49102191276637</v>
      </c>
      <c r="C5" s="33">
        <f t="shared" si="0"/>
        <v>242.70240314686171</v>
      </c>
      <c r="D5" s="173"/>
      <c r="F5" s="15"/>
      <c r="G5" s="15"/>
    </row>
    <row r="6" spans="1:7">
      <c r="A6" s="30" t="s">
        <v>174</v>
      </c>
      <c r="B6" s="34">
        <f t="shared" si="0"/>
        <v>1957.3930435863615</v>
      </c>
      <c r="C6" s="34">
        <f t="shared" si="0"/>
        <v>1941.0641464720418</v>
      </c>
      <c r="D6" s="173"/>
      <c r="F6" s="15"/>
      <c r="G6" s="15"/>
    </row>
    <row r="7" spans="1:7">
      <c r="A7" s="30" t="s">
        <v>317</v>
      </c>
      <c r="B7" s="33">
        <f t="shared" si="0"/>
        <v>482.86110028811964</v>
      </c>
      <c r="C7" s="33">
        <f t="shared" si="0"/>
        <v>504.01907512386998</v>
      </c>
      <c r="D7" s="173"/>
      <c r="F7" s="15"/>
      <c r="G7" s="15"/>
    </row>
    <row r="8" spans="1:7">
      <c r="A8" s="30" t="s">
        <v>220</v>
      </c>
      <c r="B8" s="35">
        <f t="shared" si="0"/>
        <v>84.098310043701247</v>
      </c>
      <c r="C8" s="35">
        <f t="shared" si="0"/>
        <v>88.017317935611075</v>
      </c>
      <c r="D8" s="173"/>
      <c r="F8" s="15"/>
      <c r="G8" s="15"/>
    </row>
    <row r="9" spans="1:7">
      <c r="A9" s="30" t="s">
        <v>252</v>
      </c>
      <c r="B9" s="33">
        <f t="shared" si="0"/>
        <v>8.4530623198899999</v>
      </c>
      <c r="C9" s="33">
        <f t="shared" si="0"/>
        <v>8.9364394183799991</v>
      </c>
      <c r="D9" s="173"/>
      <c r="F9" s="15"/>
      <c r="G9" s="15"/>
    </row>
    <row r="10" spans="1:7">
      <c r="A10" s="30" t="s">
        <v>318</v>
      </c>
      <c r="B10" s="33">
        <f t="shared" si="0"/>
        <v>79.754070467976177</v>
      </c>
      <c r="C10" s="33">
        <f t="shared" si="0"/>
        <v>82.371525516392538</v>
      </c>
      <c r="D10" s="173"/>
      <c r="F10" s="15"/>
      <c r="G10" s="15"/>
    </row>
    <row r="11" spans="1:7">
      <c r="A11" s="30" t="s">
        <v>285</v>
      </c>
      <c r="B11" s="33">
        <f>B21</f>
        <v>18.740964878253337</v>
      </c>
      <c r="C11" s="33">
        <f>C21</f>
        <v>18.756838778421937</v>
      </c>
      <c r="D11" s="173"/>
      <c r="F11" s="15"/>
      <c r="G11" s="15"/>
    </row>
    <row r="12" spans="1:7">
      <c r="F12" s="15"/>
      <c r="G12" s="15"/>
    </row>
    <row r="13" spans="1:7">
      <c r="A13" s="36" t="s">
        <v>18</v>
      </c>
      <c r="B13" s="37">
        <f>'Weekly Valuation'!D26/1000000000</f>
        <v>81.634147241387197</v>
      </c>
      <c r="C13" s="38">
        <f>'Weekly Valuation'!K26/1000000000</f>
        <v>88.746718359350893</v>
      </c>
      <c r="F13" s="15"/>
      <c r="G13" s="15"/>
    </row>
    <row r="14" spans="1:7">
      <c r="A14" s="39" t="s">
        <v>57</v>
      </c>
      <c r="B14" s="37">
        <f>'Weekly Valuation'!D72/1000000000</f>
        <v>4861.6973217289278</v>
      </c>
      <c r="C14" s="40">
        <f>'Weekly Valuation'!K72/1000000000</f>
        <v>4966.7559626115844</v>
      </c>
      <c r="F14" s="15"/>
      <c r="G14" s="15"/>
    </row>
    <row r="15" spans="1:7">
      <c r="A15" s="39" t="s">
        <v>316</v>
      </c>
      <c r="B15" s="37">
        <f>'Weekly Valuation'!D114/1000000000</f>
        <v>241.49102191276637</v>
      </c>
      <c r="C15" s="38">
        <f>'Weekly Valuation'!K114/1000000000</f>
        <v>242.70240314686171</v>
      </c>
      <c r="F15" s="15"/>
      <c r="G15" s="15"/>
    </row>
    <row r="16" spans="1:7">
      <c r="A16" s="39" t="s">
        <v>174</v>
      </c>
      <c r="B16" s="37">
        <f>'Weekly Valuation'!D156/1000000000</f>
        <v>1957.3930435863615</v>
      </c>
      <c r="C16" s="40">
        <f>'Weekly Valuation'!K156/1000000000</f>
        <v>1941.0641464720418</v>
      </c>
      <c r="F16" s="15"/>
      <c r="G16" s="15"/>
    </row>
    <row r="17" spans="1:7">
      <c r="A17" s="39" t="s">
        <v>317</v>
      </c>
      <c r="B17" s="37">
        <f>'Weekly Valuation'!D165/1000000000</f>
        <v>482.86110028811964</v>
      </c>
      <c r="C17" s="38">
        <f>'Weekly Valuation'!K165/1000000000</f>
        <v>504.01907512386998</v>
      </c>
      <c r="F17" s="15"/>
      <c r="G17" s="15"/>
    </row>
    <row r="18" spans="1:7">
      <c r="A18" s="39" t="s">
        <v>220</v>
      </c>
      <c r="B18" s="37">
        <f>'Weekly Valuation'!D197/1000000000</f>
        <v>84.098310043701247</v>
      </c>
      <c r="C18" s="41">
        <f>'Weekly Valuation'!K197/1000000000</f>
        <v>88.017317935611075</v>
      </c>
      <c r="F18" s="15"/>
      <c r="G18" s="15"/>
    </row>
    <row r="19" spans="1:7">
      <c r="A19" s="39" t="s">
        <v>252</v>
      </c>
      <c r="B19" s="37">
        <f>'Weekly Valuation'!D202/1000000000</f>
        <v>8.4530623198899999</v>
      </c>
      <c r="C19" s="38">
        <f>'Weekly Valuation'!K202/1000000000</f>
        <v>8.9364394183799991</v>
      </c>
      <c r="F19" s="15"/>
      <c r="G19" s="15"/>
    </row>
    <row r="20" spans="1:7">
      <c r="A20" s="39" t="s">
        <v>318</v>
      </c>
      <c r="B20" s="37">
        <f>'Weekly Valuation'!D230/1000000000</f>
        <v>79.754070467976177</v>
      </c>
      <c r="C20" s="38">
        <f>'Weekly Valuation'!K230/1000000000</f>
        <v>82.371525516392538</v>
      </c>
      <c r="F20" s="15"/>
      <c r="G20" s="15"/>
    </row>
    <row r="21" spans="1:7">
      <c r="A21" s="39" t="s">
        <v>285</v>
      </c>
      <c r="B21" s="37">
        <f>'Weekly Valuation'!D239/1000000000</f>
        <v>18.740964878253337</v>
      </c>
      <c r="C21" s="38">
        <f>'Weekly Valuation'!K239/1000000000</f>
        <v>18.756838778421937</v>
      </c>
      <c r="F21" s="15"/>
      <c r="G21" s="15"/>
    </row>
    <row r="22" spans="1:7">
      <c r="A22" s="28"/>
      <c r="C22" s="26"/>
      <c r="F22" s="15"/>
      <c r="G22" s="15"/>
    </row>
    <row r="23" spans="1:7">
      <c r="A23" s="28"/>
      <c r="B23" s="26"/>
      <c r="C23" s="27"/>
      <c r="F23" s="15"/>
      <c r="G23" s="15"/>
    </row>
    <row r="24" spans="1:7">
      <c r="A24" s="28"/>
      <c r="B24" s="26"/>
      <c r="C24" s="26"/>
      <c r="F24" s="15"/>
      <c r="G24" s="15"/>
    </row>
    <row r="25" spans="1:7">
      <c r="A25" s="28"/>
      <c r="B25" s="26"/>
      <c r="C25" s="26"/>
      <c r="F25" s="15"/>
      <c r="G25" s="15"/>
    </row>
    <row r="26" spans="1:7">
      <c r="A26" s="167"/>
      <c r="B26" s="169"/>
      <c r="C26" s="169"/>
      <c r="D26" s="15"/>
      <c r="E26" s="15"/>
      <c r="F26" s="15"/>
      <c r="G26" s="15"/>
    </row>
    <row r="27" spans="1:7">
      <c r="A27" s="167"/>
      <c r="B27" s="169"/>
      <c r="C27" s="169"/>
      <c r="D27" s="15"/>
      <c r="E27" s="15"/>
      <c r="F27" s="15"/>
      <c r="G27" s="15"/>
    </row>
    <row r="28" spans="1:7">
      <c r="A28" s="15"/>
      <c r="B28" s="15"/>
      <c r="C28" s="15"/>
      <c r="D28" s="15"/>
      <c r="E28" s="15"/>
      <c r="F28" s="15"/>
      <c r="G28" s="15"/>
    </row>
    <row r="29" spans="1:7">
      <c r="A29" s="15"/>
      <c r="B29" s="15"/>
      <c r="C29" s="15"/>
      <c r="D29" s="15"/>
      <c r="E29" s="15"/>
      <c r="F29" s="15"/>
      <c r="G29" s="15"/>
    </row>
  </sheetData>
  <sheetProtection algorithmName="SHA-512" hashValue="A2kud1FVxvk2PrqDNzIbM2ArS2WPG+pOOJY76e7PlUA5TR7FQDtjk9lu4ClknebAZugG4PKX1NxJTePhxoQtVQ==" saltValue="iZAGrBfgYszNSH/Nz/GoYA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4"/>
  <sheetViews>
    <sheetView zoomScale="85" zoomScaleNormal="85" workbookViewId="0">
      <selection activeCell="J13" sqref="J13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174" t="s">
        <v>315</v>
      </c>
      <c r="B1" s="175">
        <v>46031</v>
      </c>
      <c r="C1" s="193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77" t="s">
        <v>252</v>
      </c>
      <c r="B2" s="26">
        <f>'Weekly Valuation'!K202</f>
        <v>8936439418.3799992</v>
      </c>
      <c r="C2" s="193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177" t="s">
        <v>285</v>
      </c>
      <c r="B3" s="26">
        <f>'Weekly Valuation'!K239</f>
        <v>18756838778.421936</v>
      </c>
      <c r="C3" s="193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177" t="s">
        <v>18</v>
      </c>
      <c r="B4" s="26">
        <f>'Weekly Valuation'!K26</f>
        <v>88746718359.350891</v>
      </c>
      <c r="C4" s="193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177" t="s">
        <v>318</v>
      </c>
      <c r="B5" s="27">
        <f>'Weekly Valuation'!K230</f>
        <v>82371525516.392532</v>
      </c>
      <c r="C5" s="193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177" t="s">
        <v>220</v>
      </c>
      <c r="B6" s="26">
        <f>'Weekly Valuation'!K197</f>
        <v>88017317935.611069</v>
      </c>
      <c r="C6" s="193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177" t="s">
        <v>317</v>
      </c>
      <c r="B7" s="26">
        <f>'Weekly Valuation'!K165</f>
        <v>504019075123.87</v>
      </c>
      <c r="C7" s="193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177" t="s">
        <v>316</v>
      </c>
      <c r="B8" s="26">
        <f>'Weekly Valuation'!K114</f>
        <v>242702403146.86172</v>
      </c>
      <c r="C8" s="193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177" t="s">
        <v>174</v>
      </c>
      <c r="B9" s="178">
        <f>'Weekly Valuation'!K156</f>
        <v>1941064146472.0417</v>
      </c>
      <c r="C9" s="193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177" t="s">
        <v>57</v>
      </c>
      <c r="B10" s="178">
        <f>'Weekly Valuation'!K72</f>
        <v>4966755962611.584</v>
      </c>
      <c r="C10" s="193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176"/>
      <c r="B11" s="176"/>
      <c r="C11" s="193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177"/>
      <c r="B12" s="179"/>
      <c r="C12" s="193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177"/>
      <c r="B13" s="176"/>
      <c r="C13" s="193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26"/>
      <c r="B14" s="26"/>
      <c r="C14" s="193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>
      <c r="A15" s="169"/>
      <c r="B15" s="169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16.5" customHeight="1">
      <c r="A16" s="167"/>
      <c r="B16" s="194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>
      <c r="A17" s="169"/>
      <c r="B17" s="169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>
      <c r="A18" s="169"/>
      <c r="B18" s="169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>
      <c r="A19" s="168"/>
      <c r="B19" s="169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>
      <c r="A20" s="168"/>
      <c r="B20" s="168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>
      <c r="A21" s="168"/>
      <c r="B21" s="168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>
      <c r="A22" s="167"/>
      <c r="B22" s="168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>
      <c r="A23" s="15"/>
      <c r="B23" s="168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7" ht="16.5" customHeight="1">
      <c r="A33" s="205"/>
      <c r="B33" s="205"/>
      <c r="C33" s="205"/>
      <c r="D33" s="205"/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9"/>
    </row>
    <row r="34" spans="1:17" ht="15" customHeight="1">
      <c r="A34" s="205"/>
      <c r="B34" s="205"/>
      <c r="C34" s="205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9"/>
    </row>
  </sheetData>
  <sheetProtection algorithmName="SHA-512" hashValue="j+Qk8u8/TM1yI4lCJ5yZywPoVFDxP8H/kEamQ5nLzovqDcn788f3P6ZgOYR7F8OctawjE0BrrVsRLuJ7oXGLIg==" saltValue="p4LpxH7eG1PDw61ysVLIUw==" spinCount="100000" sheet="1" selectLockedCells="1" selectUnlockedCells="1"/>
  <sortState ref="A2:B9">
    <sortCondition ref="B2:B9"/>
  </sortState>
  <mergeCells count="1">
    <mergeCell ref="A33:P34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O20"/>
  <sheetViews>
    <sheetView zoomScale="110" zoomScaleNormal="110" workbookViewId="0">
      <selection activeCell="F8" sqref="F8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15"/>
      <c r="M1" s="15"/>
      <c r="N1" s="15"/>
      <c r="O1" s="192"/>
    </row>
    <row r="2" spans="1:15">
      <c r="A2" s="21" t="s">
        <v>319</v>
      </c>
      <c r="B2" s="22">
        <v>45982</v>
      </c>
      <c r="C2" s="22">
        <v>45989</v>
      </c>
      <c r="D2" s="22">
        <v>45996</v>
      </c>
      <c r="E2" s="22">
        <v>46003</v>
      </c>
      <c r="F2" s="22">
        <v>46010</v>
      </c>
      <c r="G2" s="22">
        <v>46015</v>
      </c>
      <c r="H2" s="22">
        <v>46024</v>
      </c>
      <c r="I2" s="22">
        <v>46031</v>
      </c>
      <c r="J2" s="20"/>
      <c r="K2" s="20"/>
      <c r="L2" s="15"/>
      <c r="M2" s="15"/>
      <c r="N2" s="15"/>
      <c r="O2" s="192"/>
    </row>
    <row r="3" spans="1:15">
      <c r="A3" s="21" t="s">
        <v>320</v>
      </c>
      <c r="B3" s="23">
        <f t="shared" ref="B3:I3" si="0">B4</f>
        <v>7259.9310118544208</v>
      </c>
      <c r="C3" s="23">
        <f t="shared" si="0"/>
        <v>7416.5411604761439</v>
      </c>
      <c r="D3" s="23">
        <f t="shared" si="0"/>
        <v>7473.2757425151976</v>
      </c>
      <c r="E3" s="23">
        <f t="shared" si="0"/>
        <v>7522.4259502457116</v>
      </c>
      <c r="F3" s="23">
        <f t="shared" si="0"/>
        <v>7603.1851114640458</v>
      </c>
      <c r="G3" s="23">
        <f t="shared" si="0"/>
        <v>7672.435028174913</v>
      </c>
      <c r="H3" s="23">
        <f t="shared" si="0"/>
        <v>7816.1230424673831</v>
      </c>
      <c r="I3" s="23">
        <f t="shared" si="0"/>
        <v>7941.3704273625135</v>
      </c>
      <c r="J3" s="20"/>
      <c r="K3" s="20"/>
      <c r="L3" s="15"/>
      <c r="M3" s="15"/>
      <c r="N3" s="15"/>
      <c r="O3" s="192"/>
    </row>
    <row r="4" spans="1:15">
      <c r="A4" s="20"/>
      <c r="B4" s="24">
        <f>'NAV Trend'!C11/1000000000</f>
        <v>7259.9310118544208</v>
      </c>
      <c r="C4" s="24">
        <f>'NAV Trend'!D11/1000000000</f>
        <v>7416.5411604761439</v>
      </c>
      <c r="D4" s="24">
        <f>'NAV Trend'!E11/1000000000</f>
        <v>7473.2757425151976</v>
      </c>
      <c r="E4" s="24">
        <f>'NAV Trend'!F11/1000000000</f>
        <v>7522.4259502457116</v>
      </c>
      <c r="F4" s="24">
        <f>'NAV Trend'!G11/1000000000</f>
        <v>7603.1851114640458</v>
      </c>
      <c r="G4" s="24">
        <f>'NAV Trend'!H11/1000000000</f>
        <v>7672.435028174913</v>
      </c>
      <c r="H4" s="25">
        <f>'NAV Trend'!I11/1000000000</f>
        <v>7816.1230424673831</v>
      </c>
      <c r="I4" s="25">
        <f>'NAV Trend'!J11/1000000000</f>
        <v>7941.3704273625135</v>
      </c>
      <c r="J4" s="20"/>
      <c r="K4" s="20"/>
      <c r="L4" s="15"/>
      <c r="M4" s="15"/>
      <c r="N4" s="15"/>
      <c r="O4" s="192"/>
    </row>
    <row r="5" spans="1:1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15"/>
      <c r="M5" s="15"/>
      <c r="N5" s="15"/>
      <c r="O5" s="192"/>
    </row>
    <row r="6" spans="1:1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15"/>
      <c r="M6" s="15"/>
      <c r="N6" s="15"/>
      <c r="O6" s="192"/>
    </row>
    <row r="7" spans="1:1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92"/>
    </row>
    <row r="8" spans="1: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92"/>
    </row>
    <row r="9" spans="1: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92"/>
    </row>
    <row r="10" spans="1: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92"/>
      <c r="O10" s="192"/>
    </row>
    <row r="11" spans="1: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92"/>
      <c r="O11" s="192"/>
    </row>
    <row r="12" spans="1: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92"/>
      <c r="O12" s="192"/>
    </row>
    <row r="13" spans="1: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92"/>
      <c r="O13" s="192"/>
    </row>
    <row r="14" spans="1: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92"/>
      <c r="O14" s="192"/>
    </row>
    <row r="15" spans="1: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92"/>
      <c r="O15" s="192"/>
    </row>
    <row r="16" spans="1: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92"/>
      <c r="N16" s="192"/>
      <c r="O16" s="192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92"/>
      <c r="N17" s="192"/>
      <c r="O17" s="192"/>
    </row>
    <row r="18" spans="1:15"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</row>
    <row r="19" spans="1:15"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</row>
    <row r="20" spans="1:15">
      <c r="C20" s="192"/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</row>
  </sheetData>
  <sheetProtection algorithmName="SHA-512" hashValue="teIv3r6ZjTZ47LFIz/+TjdkY5pZd6d75l199wqSqsH6y9fa/okUNvqD7zLpWXMx3PtmOehh2JlKUzXtrR3IR4w==" saltValue="n18AiKSQulIWrrnuQTo8yg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P20"/>
  <sheetViews>
    <sheetView workbookViewId="0">
      <selection activeCell="E8" sqref="E8"/>
    </sheetView>
  </sheetViews>
  <sheetFormatPr defaultColWidth="9" defaultRowHeight="14.4"/>
  <cols>
    <col min="1" max="1" width="10.664062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6">
      <c r="A1" s="20"/>
      <c r="B1" s="20"/>
      <c r="C1" s="20"/>
      <c r="D1" s="20"/>
      <c r="E1" s="20"/>
      <c r="F1" s="20"/>
      <c r="G1" s="20"/>
      <c r="H1" s="20"/>
      <c r="I1" s="20"/>
      <c r="J1" s="15"/>
      <c r="K1" s="15"/>
      <c r="L1" s="15"/>
      <c r="M1" s="15"/>
      <c r="N1" s="15"/>
      <c r="O1" s="15"/>
      <c r="P1" s="160"/>
    </row>
    <row r="2" spans="1:16">
      <c r="A2" s="21" t="s">
        <v>319</v>
      </c>
      <c r="B2" s="22">
        <v>45982</v>
      </c>
      <c r="C2" s="22">
        <v>45989</v>
      </c>
      <c r="D2" s="22">
        <v>45996</v>
      </c>
      <c r="E2" s="22">
        <v>46003</v>
      </c>
      <c r="F2" s="22">
        <v>46010</v>
      </c>
      <c r="G2" s="22">
        <v>46015</v>
      </c>
      <c r="H2" s="22">
        <v>46024</v>
      </c>
      <c r="I2" s="22">
        <v>46031</v>
      </c>
      <c r="J2" s="15"/>
      <c r="K2" s="15"/>
      <c r="L2" s="15"/>
      <c r="M2" s="15"/>
      <c r="N2" s="15"/>
      <c r="O2" s="15"/>
      <c r="P2" s="160"/>
    </row>
    <row r="3" spans="1:16">
      <c r="A3" s="21" t="s">
        <v>321</v>
      </c>
      <c r="B3" s="23">
        <f t="shared" ref="B3:I3" si="0">B4</f>
        <v>16.915814556049998</v>
      </c>
      <c r="C3" s="23">
        <f t="shared" si="0"/>
        <v>16.97292700869</v>
      </c>
      <c r="D3" s="23">
        <f t="shared" si="0"/>
        <v>17.413222879320003</v>
      </c>
      <c r="E3" s="23">
        <f t="shared" si="0"/>
        <v>17.682838809310002</v>
      </c>
      <c r="F3" s="23">
        <f t="shared" si="0"/>
        <v>17.94056485019</v>
      </c>
      <c r="G3" s="23">
        <f t="shared" si="0"/>
        <v>18.082167415780003</v>
      </c>
      <c r="H3" s="23">
        <f t="shared" si="0"/>
        <v>18.294657025999999</v>
      </c>
      <c r="I3" s="23">
        <f t="shared" si="0"/>
        <v>18.629129376529999</v>
      </c>
      <c r="J3" s="15"/>
      <c r="K3" s="15"/>
      <c r="L3" s="15"/>
      <c r="M3" s="15"/>
      <c r="N3" s="15"/>
      <c r="O3" s="15"/>
      <c r="P3" s="160"/>
    </row>
    <row r="4" spans="1:16">
      <c r="A4" s="20"/>
      <c r="B4" s="24">
        <f>'NAV Trend'!C17/1000000000</f>
        <v>16.915814556049998</v>
      </c>
      <c r="C4" s="24">
        <f>'NAV Trend'!D17/1000000000</f>
        <v>16.97292700869</v>
      </c>
      <c r="D4" s="24">
        <f>'NAV Trend'!E17/1000000000</f>
        <v>17.413222879320003</v>
      </c>
      <c r="E4" s="24">
        <f>'NAV Trend'!F17/1000000000</f>
        <v>17.682838809310002</v>
      </c>
      <c r="F4" s="24">
        <f>'NAV Trend'!G17/1000000000</f>
        <v>17.94056485019</v>
      </c>
      <c r="G4" s="24">
        <f>'NAV Trend'!H17/1000000000</f>
        <v>18.082167415780003</v>
      </c>
      <c r="H4" s="24">
        <f>'NAV Trend'!I17/1000000000</f>
        <v>18.294657025999999</v>
      </c>
      <c r="I4" s="25">
        <f>'NAV Trend'!J17/1000000000</f>
        <v>18.629129376529999</v>
      </c>
      <c r="J4" s="15"/>
      <c r="K4" s="15"/>
      <c r="L4" s="15"/>
      <c r="M4" s="15"/>
      <c r="N4" s="15"/>
      <c r="O4" s="15"/>
      <c r="P4" s="160"/>
    </row>
    <row r="5" spans="1:16">
      <c r="A5" s="20"/>
      <c r="B5" s="20"/>
      <c r="C5" s="20"/>
      <c r="D5" s="20"/>
      <c r="E5" s="20"/>
      <c r="F5" s="20"/>
      <c r="G5" s="20"/>
      <c r="H5" s="20"/>
      <c r="I5" s="20"/>
      <c r="J5" s="15"/>
      <c r="K5" s="15"/>
      <c r="L5" s="15"/>
      <c r="M5" s="15"/>
      <c r="N5" s="15"/>
      <c r="O5" s="15"/>
      <c r="P5" s="160"/>
    </row>
    <row r="6" spans="1:16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8"/>
    </row>
    <row r="7" spans="1:16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8"/>
    </row>
    <row r="8" spans="1:16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8"/>
    </row>
    <row r="9" spans="1:16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8"/>
    </row>
    <row r="10" spans="1:16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8"/>
    </row>
    <row r="11" spans="1:1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8"/>
    </row>
    <row r="12" spans="1:16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8"/>
    </row>
    <row r="13" spans="1:16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8"/>
    </row>
    <row r="14" spans="1:16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8"/>
    </row>
    <row r="15" spans="1:16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8"/>
    </row>
    <row r="16" spans="1:16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8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8"/>
    </row>
    <row r="18" spans="1:15">
      <c r="A18" s="158"/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</row>
    <row r="19" spans="1:15">
      <c r="A19" s="158"/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</row>
    <row r="20" spans="1:15">
      <c r="A20" s="158"/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</row>
  </sheetData>
  <sheetProtection algorithmName="SHA-512" hashValue="5yuzMD0UJRJYzq7rkMK/DfGDcqUWzxbnRIArwlr2ErZwMtiMQ8CyQqDQFg0vILQORppKG49hvVz+BILvYVDJ5Q==" saltValue="rfqEJXk4moHQxRLX3DpPLQ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3"/>
  <sheetViews>
    <sheetView topLeftCell="G1" zoomScale="150" zoomScaleNormal="150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315</v>
      </c>
      <c r="B1" s="2">
        <v>45975</v>
      </c>
      <c r="C1" s="2">
        <v>45982</v>
      </c>
      <c r="D1" s="2">
        <v>45989</v>
      </c>
      <c r="E1" s="2">
        <v>45996</v>
      </c>
      <c r="F1" s="2">
        <v>46003</v>
      </c>
      <c r="G1" s="2">
        <v>46010</v>
      </c>
      <c r="H1" s="2">
        <v>46015</v>
      </c>
      <c r="I1" s="2">
        <v>46024</v>
      </c>
      <c r="J1" s="2">
        <v>46031</v>
      </c>
    </row>
    <row r="2" spans="1:11">
      <c r="A2" s="3" t="s">
        <v>18</v>
      </c>
      <c r="B2" s="4">
        <v>77103229577.115402</v>
      </c>
      <c r="C2" s="4">
        <v>76470658139.095398</v>
      </c>
      <c r="D2" s="4">
        <v>76454466515.944092</v>
      </c>
      <c r="E2" s="4">
        <v>78401377862.474701</v>
      </c>
      <c r="F2" s="4">
        <v>78447194943.245102</v>
      </c>
      <c r="G2" s="4">
        <v>79735701358.92749</v>
      </c>
      <c r="H2" s="4">
        <v>79641660217.847488</v>
      </c>
      <c r="I2" s="4">
        <v>81634147241.387192</v>
      </c>
      <c r="J2" s="4">
        <v>88746718359.350891</v>
      </c>
    </row>
    <row r="3" spans="1:11">
      <c r="A3" s="3" t="s">
        <v>57</v>
      </c>
      <c r="B3" s="4">
        <v>4459546758095.3066</v>
      </c>
      <c r="C3" s="4">
        <v>4500562998487.0645</v>
      </c>
      <c r="D3" s="4">
        <v>4552330092438.3486</v>
      </c>
      <c r="E3" s="4">
        <v>4598078276116.3418</v>
      </c>
      <c r="F3" s="4">
        <v>4642448189370.7549</v>
      </c>
      <c r="G3" s="4">
        <v>4678050109959.2363</v>
      </c>
      <c r="H3" s="4">
        <v>4744967555037.585</v>
      </c>
      <c r="I3" s="4">
        <v>4861697321728.9277</v>
      </c>
      <c r="J3" s="4">
        <v>4966755962611.584</v>
      </c>
    </row>
    <row r="4" spans="1:11">
      <c r="A4" s="3" t="s">
        <v>316</v>
      </c>
      <c r="B4" s="5">
        <v>244019694006.9003</v>
      </c>
      <c r="C4" s="5">
        <v>242652780469.49625</v>
      </c>
      <c r="D4" s="5">
        <v>243665972654.49658</v>
      </c>
      <c r="E4" s="5">
        <v>239569435821.11508</v>
      </c>
      <c r="F4" s="5">
        <v>238896018902.52338</v>
      </c>
      <c r="G4" s="5">
        <v>238340225253.66324</v>
      </c>
      <c r="H4" s="5">
        <v>237258742107.80859</v>
      </c>
      <c r="I4" s="5">
        <v>241491021912.76636</v>
      </c>
      <c r="J4" s="5">
        <v>242702403146.86172</v>
      </c>
    </row>
    <row r="5" spans="1:11">
      <c r="A5" s="3" t="s">
        <v>174</v>
      </c>
      <c r="B5" s="4">
        <v>1910381884325.9756</v>
      </c>
      <c r="C5" s="4">
        <v>1905477703934.2476</v>
      </c>
      <c r="D5" s="4">
        <v>1901028302593.2881</v>
      </c>
      <c r="E5" s="4">
        <v>1910113273501.6394</v>
      </c>
      <c r="F5" s="4">
        <v>1912273958134.9629</v>
      </c>
      <c r="G5" s="4">
        <v>1954262527494.0337</v>
      </c>
      <c r="H5" s="4">
        <v>1955698754786.5325</v>
      </c>
      <c r="I5" s="4">
        <v>1957393043586.3616</v>
      </c>
      <c r="J5" s="4">
        <v>1941064146472.0417</v>
      </c>
    </row>
    <row r="6" spans="1:11">
      <c r="A6" s="3" t="s">
        <v>317</v>
      </c>
      <c r="B6" s="5">
        <v>372265278550.55267</v>
      </c>
      <c r="C6" s="5">
        <v>372914421521.18774</v>
      </c>
      <c r="D6" s="5">
        <v>480118186812.3526</v>
      </c>
      <c r="E6" s="5">
        <v>480962390405.30359</v>
      </c>
      <c r="F6" s="5">
        <v>481599355727.08673</v>
      </c>
      <c r="G6" s="5">
        <v>482352533334.53674</v>
      </c>
      <c r="H6" s="5">
        <v>483055353307.30524</v>
      </c>
      <c r="I6" s="5">
        <v>482861100288.11963</v>
      </c>
      <c r="J6" s="5">
        <v>504019075123.87</v>
      </c>
    </row>
    <row r="7" spans="1:11">
      <c r="A7" s="3" t="s">
        <v>220</v>
      </c>
      <c r="B7" s="7">
        <v>79959427590.508118</v>
      </c>
      <c r="C7" s="7">
        <v>80018041766.047272</v>
      </c>
      <c r="D7" s="7">
        <v>80347740959.834061</v>
      </c>
      <c r="E7" s="7">
        <v>82072736373.0802</v>
      </c>
      <c r="F7" s="7">
        <v>83138604455.992661</v>
      </c>
      <c r="G7" s="7">
        <v>83857951344.08696</v>
      </c>
      <c r="H7" s="7">
        <v>83513673347.384338</v>
      </c>
      <c r="I7" s="7">
        <v>84098310043.701248</v>
      </c>
      <c r="J7" s="7">
        <v>88017317935.611069</v>
      </c>
    </row>
    <row r="8" spans="1:11">
      <c r="A8" s="3" t="s">
        <v>252</v>
      </c>
      <c r="B8" s="6">
        <v>8317694966.6799994</v>
      </c>
      <c r="C8" s="6">
        <v>8122250716.4000006</v>
      </c>
      <c r="D8" s="6">
        <v>8137410105.1800003</v>
      </c>
      <c r="E8" s="6">
        <v>8269417847.3099995</v>
      </c>
      <c r="F8" s="6">
        <v>8345728599.1300001</v>
      </c>
      <c r="G8" s="6">
        <v>8322821216.8900003</v>
      </c>
      <c r="H8" s="6">
        <v>8179170952.1100006</v>
      </c>
      <c r="I8" s="6">
        <v>8453062319.8899994</v>
      </c>
      <c r="J8" s="6">
        <v>8936439418.3799992</v>
      </c>
    </row>
    <row r="9" spans="1:11">
      <c r="A9" s="3" t="s">
        <v>318</v>
      </c>
      <c r="B9" s="6">
        <v>73372100099.812561</v>
      </c>
      <c r="C9" s="6">
        <v>73712156820.88179</v>
      </c>
      <c r="D9" s="6">
        <v>74458988396.700394</v>
      </c>
      <c r="E9" s="6">
        <v>75808834587.932678</v>
      </c>
      <c r="F9" s="6">
        <v>77276900112.016632</v>
      </c>
      <c r="G9" s="6">
        <v>78263241502.671127</v>
      </c>
      <c r="H9" s="6">
        <v>80120118418.338852</v>
      </c>
      <c r="I9" s="6">
        <v>79754070467.976181</v>
      </c>
      <c r="J9" s="6">
        <v>82371525516.392532</v>
      </c>
    </row>
    <row r="10" spans="1:11">
      <c r="A10" s="3" t="s">
        <v>285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18740964878.253338</v>
      </c>
      <c r="J10" s="6">
        <v>18756838778.421936</v>
      </c>
    </row>
    <row r="11" spans="1:11" ht="15.6">
      <c r="A11" s="8" t="s">
        <v>322</v>
      </c>
      <c r="B11" s="9">
        <f t="shared" ref="B11:H11" si="0">SUM(B2:B9)</f>
        <v>7224966067212.8506</v>
      </c>
      <c r="C11" s="9">
        <f t="shared" si="0"/>
        <v>7259931011854.4209</v>
      </c>
      <c r="D11" s="9">
        <f t="shared" si="0"/>
        <v>7416541160476.1436</v>
      </c>
      <c r="E11" s="9">
        <f t="shared" si="0"/>
        <v>7473275742515.1973</v>
      </c>
      <c r="F11" s="9">
        <f t="shared" si="0"/>
        <v>7522425950245.7119</v>
      </c>
      <c r="G11" s="9">
        <f t="shared" si="0"/>
        <v>7603185111464.0459</v>
      </c>
      <c r="H11" s="9">
        <f t="shared" si="0"/>
        <v>7672435028174.9131</v>
      </c>
      <c r="I11" s="9">
        <f>SUM(I2:I10)</f>
        <v>7816123042467.3828</v>
      </c>
      <c r="J11" s="9">
        <f>SUM(J2:J10)</f>
        <v>7941370427362.5137</v>
      </c>
    </row>
    <row r="12" spans="1:11">
      <c r="A12" s="10"/>
      <c r="B12" s="11"/>
      <c r="C12" s="11"/>
      <c r="D12" s="11"/>
      <c r="E12" s="11"/>
      <c r="F12" s="11"/>
      <c r="G12" s="11"/>
      <c r="H12" s="11"/>
      <c r="I12" s="10"/>
      <c r="J12" s="10"/>
    </row>
    <row r="13" spans="1:11" ht="15.6">
      <c r="A13" s="12" t="s">
        <v>323</v>
      </c>
      <c r="B13" s="157" t="s">
        <v>324</v>
      </c>
      <c r="C13" s="13">
        <f>(B11+C11)/2</f>
        <v>7242448539533.6357</v>
      </c>
      <c r="D13" s="14">
        <f t="shared" ref="D13:J13" si="1">(C11+D11)/2</f>
        <v>7338236086165.2822</v>
      </c>
      <c r="E13" s="14">
        <f t="shared" si="1"/>
        <v>7444908451495.6699</v>
      </c>
      <c r="F13" s="14">
        <f t="shared" si="1"/>
        <v>7497850846380.4551</v>
      </c>
      <c r="G13" s="14">
        <f t="shared" si="1"/>
        <v>7562805530854.8789</v>
      </c>
      <c r="H13" s="14">
        <f t="shared" si="1"/>
        <v>7637810069819.4795</v>
      </c>
      <c r="I13" s="14">
        <f t="shared" si="1"/>
        <v>7744279035321.1484</v>
      </c>
      <c r="J13" s="14">
        <f t="shared" si="1"/>
        <v>7878746734914.9482</v>
      </c>
    </row>
    <row r="14" spans="1:11"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>
      <c r="A16" s="15"/>
      <c r="B16" s="2">
        <v>45975</v>
      </c>
      <c r="C16" s="2">
        <v>45982</v>
      </c>
      <c r="D16" s="2">
        <v>45989</v>
      </c>
      <c r="E16" s="2">
        <v>45996</v>
      </c>
      <c r="F16" s="2">
        <v>46003</v>
      </c>
      <c r="G16" s="2">
        <v>46010</v>
      </c>
      <c r="H16" s="2">
        <v>46015</v>
      </c>
      <c r="I16" s="2">
        <v>46024</v>
      </c>
      <c r="J16" s="2">
        <v>46031</v>
      </c>
      <c r="K16" s="15"/>
    </row>
    <row r="17" spans="1:11">
      <c r="A17" s="16" t="s">
        <v>325</v>
      </c>
      <c r="B17" s="17">
        <v>17299120627.790001</v>
      </c>
      <c r="C17" s="17">
        <v>16915814556.049999</v>
      </c>
      <c r="D17" s="17">
        <v>16972927008.689999</v>
      </c>
      <c r="E17" s="17">
        <v>17413222879.320004</v>
      </c>
      <c r="F17" s="17">
        <v>17682838809.310001</v>
      </c>
      <c r="G17" s="17">
        <v>17940564850.189999</v>
      </c>
      <c r="H17" s="17">
        <v>18082167415.780003</v>
      </c>
      <c r="I17" s="17">
        <v>18294657026</v>
      </c>
      <c r="J17" s="17">
        <v>18629129376.529999</v>
      </c>
      <c r="K17" s="15"/>
    </row>
    <row r="18" spans="1:1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>
      <c r="A19" s="15"/>
      <c r="B19" s="15"/>
      <c r="C19" s="18"/>
      <c r="D19" s="18"/>
      <c r="E19" s="18"/>
      <c r="F19" s="18"/>
      <c r="G19" s="18"/>
      <c r="H19" s="18"/>
      <c r="I19" s="18"/>
      <c r="J19" s="18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>
      <c r="B23" s="15"/>
      <c r="C23" s="15"/>
      <c r="D23" s="15"/>
      <c r="E23" s="15"/>
      <c r="F23" s="15"/>
      <c r="G23" s="15"/>
      <c r="H23" s="15"/>
      <c r="I23" s="15"/>
      <c r="J23" s="15"/>
      <c r="K23" s="20"/>
    </row>
  </sheetData>
  <sheetProtection algorithmName="SHA-512" hashValue="qMnTkyZf1GsEVNLj9DGzHpfCyIJ8j3zl2yqmOFJsDPn/HZ9DqzpCdZ06YM18P0Zt6WYrXDmTmQ5woMXOUTjVsg==" saltValue="aZkL4JP+2Pbx56J2+dRfKQ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1:I11 J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2026-01-28T09:05:49Z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