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3040" windowHeight="90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J11" i="4" l="1"/>
  <c r="K197" i="1"/>
  <c r="B3" i="3"/>
  <c r="C11" i="2"/>
  <c r="B11" i="2"/>
  <c r="C21" i="2"/>
  <c r="B21" i="2"/>
  <c r="N132" i="1" l="1"/>
  <c r="M132" i="1"/>
  <c r="K132" i="1"/>
  <c r="K119" i="1"/>
  <c r="N137" i="1" l="1"/>
  <c r="M137" i="1"/>
  <c r="K137" i="1"/>
  <c r="N125" i="1"/>
  <c r="M125" i="1"/>
  <c r="K125" i="1"/>
  <c r="M123" i="1"/>
  <c r="K123" i="1"/>
  <c r="N155" i="1"/>
  <c r="K155" i="1"/>
  <c r="N122" i="1"/>
  <c r="M122" i="1"/>
  <c r="K122" i="1"/>
  <c r="N151" i="1"/>
  <c r="M151" i="1" s="1"/>
  <c r="K151" i="1"/>
  <c r="S81" i="1"/>
  <c r="K139" i="1"/>
  <c r="N143" i="1"/>
  <c r="K143" i="1"/>
  <c r="N138" i="1"/>
  <c r="M138" i="1"/>
  <c r="K138" i="1"/>
  <c r="N149" i="1"/>
  <c r="M149" i="1"/>
  <c r="K149" i="1"/>
  <c r="S213" i="1"/>
  <c r="S163" i="1"/>
  <c r="N133" i="1"/>
  <c r="M133" i="1"/>
  <c r="K133" i="1"/>
  <c r="K145" i="1"/>
  <c r="N146" i="1"/>
  <c r="M146" i="1"/>
  <c r="K146" i="1"/>
  <c r="N124" i="1" l="1"/>
  <c r="M124" i="1"/>
  <c r="K124" i="1"/>
  <c r="K154" i="1"/>
  <c r="N141" i="1"/>
  <c r="M141" i="1"/>
  <c r="K141" i="1"/>
  <c r="N234" i="1"/>
  <c r="M234" i="1"/>
  <c r="K234" i="1"/>
  <c r="N121" i="1"/>
  <c r="M121" i="1"/>
  <c r="K121" i="1"/>
  <c r="N120" i="1"/>
  <c r="M120" i="1"/>
  <c r="K120" i="1"/>
  <c r="N148" i="1"/>
  <c r="M148" i="1"/>
  <c r="K148" i="1"/>
  <c r="N236" i="1"/>
  <c r="M236" i="1"/>
  <c r="K236" i="1"/>
  <c r="N128" i="1"/>
  <c r="M128" i="1"/>
  <c r="K128" i="1"/>
  <c r="N127" i="1"/>
  <c r="M127" i="1"/>
  <c r="K127" i="1"/>
  <c r="K131" i="1"/>
  <c r="N153" i="1"/>
  <c r="M153" i="1"/>
  <c r="K153" i="1"/>
  <c r="N152" i="1"/>
  <c r="M152" i="1"/>
  <c r="K152" i="1"/>
  <c r="N134" i="1"/>
  <c r="M134" i="1"/>
  <c r="K134" i="1"/>
  <c r="K129" i="1"/>
  <c r="N147" i="1" l="1"/>
  <c r="M147" i="1"/>
  <c r="M155" i="1" l="1"/>
  <c r="N154" i="1" l="1"/>
  <c r="M154" i="1"/>
  <c r="N130" i="1" l="1"/>
  <c r="M130" i="1"/>
  <c r="K130" i="1"/>
  <c r="N131" i="1" l="1"/>
  <c r="N123" i="1" l="1"/>
  <c r="M131" i="1" l="1"/>
  <c r="M143" i="1" l="1"/>
  <c r="R35" i="1" l="1"/>
  <c r="V24" i="1"/>
  <c r="U24" i="1"/>
  <c r="T24" i="1"/>
  <c r="S24" i="1"/>
  <c r="R24" i="1"/>
  <c r="K202" i="1" l="1"/>
  <c r="N129" i="1" l="1"/>
  <c r="V190" i="1" l="1"/>
  <c r="U190" i="1"/>
  <c r="T190" i="1"/>
  <c r="S190" i="1"/>
  <c r="R190" i="1"/>
  <c r="N145" i="1" l="1"/>
  <c r="M145" i="1"/>
  <c r="R143" i="1" l="1"/>
  <c r="S132" i="1"/>
  <c r="S128" i="1"/>
  <c r="S127" i="1"/>
  <c r="S236" i="1"/>
  <c r="I4" i="5"/>
  <c r="I3" i="5" s="1"/>
  <c r="I11" i="4"/>
  <c r="H4" i="5" s="1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L221" i="1" s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L200" i="1"/>
  <c r="V197" i="1"/>
  <c r="U197" i="1"/>
  <c r="S197" i="1"/>
  <c r="O197" i="1"/>
  <c r="L186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N144" i="1"/>
  <c r="S144" i="1" s="1"/>
  <c r="M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N119" i="1"/>
  <c r="S119" i="1" s="1"/>
  <c r="M119" i="1"/>
  <c r="V118" i="1"/>
  <c r="U118" i="1"/>
  <c r="T118" i="1"/>
  <c r="S118" i="1"/>
  <c r="V114" i="1"/>
  <c r="U114" i="1"/>
  <c r="S114" i="1"/>
  <c r="O114" i="1"/>
  <c r="K114" i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68" i="1" l="1"/>
  <c r="L57" i="1"/>
  <c r="L71" i="1"/>
  <c r="L113" i="1"/>
  <c r="L99" i="1"/>
  <c r="L64" i="1"/>
  <c r="F13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3" i="1"/>
  <c r="E112" i="1"/>
  <c r="E21" i="1"/>
  <c r="E19" i="1"/>
  <c r="T197" i="1"/>
  <c r="E17" i="1"/>
  <c r="E98" i="1"/>
  <c r="E176" i="1"/>
  <c r="E174" i="1"/>
  <c r="E172" i="1"/>
  <c r="E170" i="1"/>
  <c r="L94" i="1"/>
  <c r="L163" i="1"/>
  <c r="L190" i="1"/>
  <c r="L180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5" i="3"/>
  <c r="L77" i="1"/>
  <c r="L32" i="1"/>
  <c r="B20" i="2"/>
  <c r="B10" i="2" s="1"/>
  <c r="E236" i="1"/>
  <c r="T202" i="1"/>
  <c r="E226" i="1"/>
  <c r="E201" i="1"/>
  <c r="E51" i="1"/>
  <c r="E178" i="1"/>
  <c r="E163" i="1"/>
  <c r="E23" i="1"/>
  <c r="D13" i="4"/>
  <c r="T230" i="1"/>
  <c r="L85" i="1"/>
  <c r="E52" i="1"/>
  <c r="L53" i="1"/>
  <c r="E54" i="1"/>
  <c r="L55" i="1"/>
  <c r="E56" i="1"/>
  <c r="L22" i="1"/>
  <c r="L35" i="1"/>
  <c r="B6" i="3"/>
  <c r="L178" i="1"/>
  <c r="E154" i="1"/>
  <c r="K156" i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37" i="1"/>
  <c r="L206" i="1"/>
  <c r="L207" i="1"/>
  <c r="L212" i="1"/>
  <c r="L214" i="1"/>
  <c r="L215" i="1"/>
  <c r="L218" i="1"/>
  <c r="L219" i="1"/>
  <c r="L222" i="1"/>
  <c r="L223" i="1"/>
  <c r="L228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S192" i="1" s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L33" i="1"/>
  <c r="E34" i="1"/>
  <c r="E36" i="1"/>
  <c r="E38" i="1"/>
  <c r="E40" i="1"/>
  <c r="L42" i="1"/>
  <c r="E43" i="1"/>
  <c r="L44" i="1"/>
  <c r="E45" i="1"/>
  <c r="L46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4" i="3"/>
  <c r="C13" i="2"/>
  <c r="C3" i="2" s="1"/>
  <c r="R72" i="1"/>
  <c r="R118" i="1"/>
  <c r="R119" i="1"/>
  <c r="R120" i="1"/>
  <c r="R127" i="1"/>
  <c r="R128" i="1"/>
  <c r="R129" i="1"/>
  <c r="R153" i="1"/>
  <c r="B7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10" i="3"/>
  <c r="C14" i="2"/>
  <c r="C4" i="2" s="1"/>
  <c r="B8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L226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3" i="4"/>
  <c r="E13" i="4"/>
  <c r="G13" i="4"/>
  <c r="I13" i="4"/>
  <c r="R197" i="1"/>
  <c r="L227" i="1"/>
  <c r="R230" i="1"/>
  <c r="E234" i="1"/>
  <c r="E235" i="1"/>
  <c r="E238" i="1"/>
  <c r="B9" i="3" l="1"/>
  <c r="L155" i="1"/>
  <c r="L143" i="1"/>
  <c r="L125" i="1"/>
  <c r="L131" i="1"/>
  <c r="L120" i="1"/>
  <c r="L145" i="1"/>
  <c r="L129" i="1"/>
  <c r="L122" i="1"/>
  <c r="L137" i="1"/>
  <c r="L152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<sst xmlns="http://schemas.openxmlformats.org/spreadsheetml/2006/main" count="535" uniqueCount="337">
  <si>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</si>
  <si>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</si>
  <si>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</si>
  <si>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</si>
  <si>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</si>
  <si>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</si>
  <si>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</si>
  <si>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</si>
  <si>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</si>
  <si>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</si>
  <si>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</si>
  <si>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</si>
  <si>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</si>
  <si>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</si>
  <si>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</si>
  <si>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</si>
  <si>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</si>
  <si>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</si>
  <si>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</si>
  <si>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</si>
  <si>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</si>
  <si>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</si>
  <si>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</si>
  <si>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</si>
  <si>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</si>
  <si>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</si>
  <si>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</si>
  <si>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</si>
  <si>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</si>
  <si>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</si>
  <si>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</si>
  <si>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</si>
  <si>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</si>
  <si>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</si>
  <si>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</si>
  <si>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</si>
  <si>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</si>
  <si>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</si>
  <si>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</si>
  <si>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</si>
  <si>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</si>
  <si>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</si>
  <si>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</si>
  <si>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</si>
  <si>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</si>
  <si>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</si>
  <si>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</si>
  <si>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</si>
  <si>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</si>
  <si>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</si>
  <si>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</si>
  <si>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</si>
  <si>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</si>
  <si>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</si>
  <si>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</si>
  <si>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</si>
  <si>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</si>
  <si>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</si>
  <si>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</si>
  <si>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</si>
  <si>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</si>
  <si>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</si>
  <si>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</si>
  <si>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</si>
  <si>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</si>
  <si>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</si>
  <si>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</si>
  <si>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</si>
  <si>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</si>
  <si>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</si>
  <si>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</si>
  <si>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</si>
  <si>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</si>
  <si>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</si>
  <si>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</si>
  <si>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</si>
  <si>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</si>
  <si>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</si>
  <si>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</si>
  <si>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</si>
  <si>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</si>
  <si>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</si>
  <si>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</si>
  <si>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</si>
  <si>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</si>
  <si>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</si>
  <si>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</si>
  <si>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</si>
  <si>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</si>
  <si>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</si>
  <si>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</si>
  <si>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</si>
  <si>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</si>
  <si>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</si>
  <si>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</si>
  <si>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</si>
  <si>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</si>
  <si>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</si>
  <si>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</si>
  <si>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</si>
  <si>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</si>
  <si>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</si>
  <si>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</si>
  <si>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</si>
  <si>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</si>
  <si>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</si>
  <si>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</si>
  <si>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</si>
  <si>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</si>
  <si>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</si>
  <si>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</si>
  <si>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</si>
  <si>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</si>
  <si>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</si>
  <si>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</si>
  <si>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</si>
  <si>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</si>
  <si>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</si>
  <si>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</si>
  <si>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</si>
  <si>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</si>
  <si>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</si>
  <si>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</si>
  <si>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</si>
  <si>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</si>
  <si>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</si>
  <si>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</si>
  <si>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</si>
  <si>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</si>
  <si>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</si>
  <si>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</si>
  <si>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</si>
  <si>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</si>
  <si>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</si>
  <si>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</si>
  <si>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</si>
  <si>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</si>
  <si>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</si>
  <si>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</si>
  <si>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</si>
  <si>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</si>
  <si>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</si>
  <si>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</si>
  <si>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</si>
  <si>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</si>
  <si>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</si>
  <si>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</si>
  <si>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</si>
  <si>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</si>
  <si>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</si>
  <si>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</si>
  <si>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</si>
  <si>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</si>
  <si>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</si>
  <si>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</si>
  <si>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</si>
  <si>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</si>
  <si>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</si>
  <si>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</si>
  <si>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</si>
  <si>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</si>
  <si>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</si>
  <si>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</si>
  <si>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</si>
  <si>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</si>
  <si>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</si>
  <si>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</si>
  <si>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</si>
  <si>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</si>
  <si>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</si>
  <si>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</si>
  <si>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</si>
  <si>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</si>
  <si>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</si>
  <si>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</si>
  <si>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</si>
  <si>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</si>
  <si>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</si>
  <si>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</si>
  <si>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</si>
  <si>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</si>
  <si>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</si>
  <si>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</si>
  <si>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</si>
  <si>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</si>
  <si>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</si>
  <si>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</si>
  <si>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</si>
  <si>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</si>
  <si>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</si>
  <si>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</si>
  <si>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</si>
  <si>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</si>
  <si>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</si>
  <si>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</si>
  <si>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</si>
  <si>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</si>
  <si>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</si>
  <si>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</si>
  <si>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</si>
  <si>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</si>
  <si>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</si>
  <si>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</si>
  <si>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</si>
  <si>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</si>
  <si>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</si>
  <si>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</si>
  <si>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</si>
  <si>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</si>
  <si>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</si>
  <si>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</si>
  <si>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</si>
  <si>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</si>
  <si>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</si>
  <si>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</si>
  <si>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</si>
  <si>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</si>
  <si>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</si>
  <si>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</si>
  <si>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</si>
  <si>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</si>
  <si>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</si>
  <si>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</si>
  <si>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</si>
  <si>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</si>
  <si>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</si>
  <si>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</si>
  <si>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</si>
  <si>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</si>
  <si>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</si>
  <si>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</si>
  <si>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</si>
  <si>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</si>
  <si>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</si>
  <si>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</si>
  <si>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</si>
  <si>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</si>
  <si>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</si>
  <si>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</si>
  <si>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</si>
  <si>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</si>
  <si>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</si>
  <si>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</si>
  <si>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</si>
  <si>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</si>
  <si>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</si>
  <si>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</si>
  <si>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</si>
  <si>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</si>
  <si>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</si>
  <si>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</si>
  <si>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</si>
  <si>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</si>
  <si>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</si>
  <si>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</si>
  <si>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</si>
  <si>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</si>
  <si>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</si>
  <si>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</si>
  <si>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</si>
  <si>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</si>
  <si>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</si>
  <si>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</si>
  <si>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</si>
  <si>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</si>
  <si>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</si>
  <si>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</si>
  <si>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</si>
  <si>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</si>
  <si>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</si>
  <si>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</si>
  <si>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</si>
  <si>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</si>
  <si>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</si>
  <si>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</si>
  <si>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</si>
  <si>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</si>
  <si>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</si>
  <si>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</si>
  <si>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</si>
  <si>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</si>
  <si>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</si>
  <si>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</si>
  <si>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</si>
  <si>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</si>
  <si>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</si>
  <si>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</si>
  <si>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</si>
  <si>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</si>
  <si>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</si>
  <si>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</si>
  <si>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</si>
  <si>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</si>
  <si>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</si>
  <si>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</si>
  <si>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</si>
  <si>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</si>
  <si>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</si>
  <si>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</si>
  <si>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</si>
  <si>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</si>
  <si>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</si>
  <si>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</si>
  <si>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</si>
  <si>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</si>
  <si>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</si>
  <si>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</si>
  <si>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</si>
  <si>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</si>
  <si>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</si>
  <si>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</si>
  <si>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</si>
  <si>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</si>
  <si>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</si>
  <si>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</si>
  <si>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</si>
  <si>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</si>
  <si>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</si>
  <si>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</si>
  <si>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</si>
  <si>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</si>
  <si>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</si>
  <si>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</si>
  <si>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</si>
  <si>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</si>
  <si>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</si>
  <si>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</si>
  <si>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</si>
  <si>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</si>
  <si>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</si>
  <si>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</si>
  <si>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NAV, Unit Price and Yield as at Week Ended December 24, 2025</t>
  </si>
  <si>
    <t>WEEKLY VALUATION REPORT OF COLLECTIVE INVESTMENT SCHEMES AS AT WEEK ENDED FRIDAY, JANUARY 2, 2026</t>
  </si>
  <si>
    <t>NAV, Unit Price and Yield as at Week Ended January 2, 2026</t>
  </si>
  <si>
    <t>NFEM RATE NG₦/US$ as at 2nd January, 2026 = N1430.8479</t>
  </si>
  <si>
    <t>Week Ended December 24, 2025</t>
  </si>
  <si>
    <t>Week Ended 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</si>
</sst>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44" fillId="21" borderId="0" applyNumberFormat="0" applyBorder="0" applyAlignment="0" applyProtection="0"/>
    <xf numFmtId="0" fontId="45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1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16" fontId="11" fillId="2" borderId="0" xfId="0" applyNumberFormat="1" applyFont="1" applyFill="1"/>
    <xf numFmtId="164" fontId="12" fillId="0" borderId="0" xfId="1" applyFont="1"/>
    <xf numFmtId="43" fontId="12" fillId="0" borderId="0" xfId="0" applyNumberFormat="1" applyFont="1"/>
    <xf numFmtId="4" fontId="12" fillId="0" borderId="0" xfId="0" applyNumberFormat="1" applyFont="1"/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0" fontId="13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right" wrapText="1"/>
    </xf>
    <xf numFmtId="4" fontId="17" fillId="2" borderId="0" xfId="0" applyNumberFormat="1" applyFont="1" applyFill="1"/>
    <xf numFmtId="4" fontId="17" fillId="2" borderId="0" xfId="0" applyNumberFormat="1" applyFont="1" applyFill="1" applyAlignment="1">
      <alignment horizontal="right"/>
    </xf>
    <xf numFmtId="164" fontId="17" fillId="2" borderId="0" xfId="1" applyFont="1" applyFill="1" applyBorder="1" applyAlignment="1">
      <alignment horizontal="right" vertical="top" wrapText="1"/>
    </xf>
    <xf numFmtId="0" fontId="18" fillId="0" borderId="0" xfId="0" applyFont="1" applyAlignment="1">
      <alignment horizontal="right" wrapText="1"/>
    </xf>
    <xf numFmtId="164" fontId="19" fillId="0" borderId="0" xfId="1" applyFont="1" applyBorder="1"/>
    <xf numFmtId="4" fontId="19" fillId="2" borderId="0" xfId="0" applyNumberFormat="1" applyFont="1" applyFill="1"/>
    <xf numFmtId="0" fontId="18" fillId="0" borderId="0" xfId="0" applyFont="1" applyAlignment="1">
      <alignment horizontal="right"/>
    </xf>
    <xf numFmtId="4" fontId="19" fillId="2" borderId="0" xfId="0" applyNumberFormat="1" applyFont="1" applyFill="1" applyAlignment="1">
      <alignment horizontal="right"/>
    </xf>
    <xf numFmtId="164" fontId="19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21" fillId="7" borderId="1" xfId="0" applyFont="1" applyFill="1" applyBorder="1"/>
    <xf numFmtId="0" fontId="22" fillId="7" borderId="1" xfId="0" applyFont="1" applyFill="1" applyBorder="1"/>
    <xf numFmtId="0" fontId="23" fillId="3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6" fillId="2" borderId="1" xfId="0" applyNumberFormat="1" applyFont="1" applyFill="1" applyBorder="1"/>
    <xf numFmtId="10" fontId="26" fillId="7" borderId="1" xfId="2" applyNumberFormat="1" applyFont="1" applyFill="1" applyBorder="1" applyAlignment="1">
      <alignment horizontal="center"/>
    </xf>
    <xf numFmtId="164" fontId="26" fillId="9" borderId="1" xfId="1" applyFont="1" applyFill="1" applyBorder="1" applyAlignment="1">
      <alignment horizontal="center"/>
    </xf>
    <xf numFmtId="0" fontId="27" fillId="0" borderId="0" xfId="0" applyFont="1"/>
    <xf numFmtId="164" fontId="24" fillId="9" borderId="1" xfId="1" applyFont="1" applyFill="1" applyBorder="1" applyAlignment="1">
      <alignment horizontal="center"/>
    </xf>
    <xf numFmtId="164" fontId="26" fillId="2" borderId="1" xfId="1" applyFont="1" applyFill="1" applyBorder="1"/>
    <xf numFmtId="164" fontId="26" fillId="2" borderId="1" xfId="10" applyFont="1" applyFill="1" applyBorder="1"/>
    <xf numFmtId="4" fontId="27" fillId="0" borderId="0" xfId="0" applyNumberFormat="1" applyFont="1"/>
    <xf numFmtId="4" fontId="26" fillId="2" borderId="1" xfId="0" applyNumberFormat="1" applyFont="1" applyFill="1" applyBorder="1" applyAlignment="1">
      <alignment horizontal="right"/>
    </xf>
    <xf numFmtId="0" fontId="24" fillId="0" borderId="1" xfId="0" applyFont="1" applyBorder="1"/>
    <xf numFmtId="0" fontId="24" fillId="2" borderId="1" xfId="0" applyFont="1" applyFill="1" applyBorder="1"/>
    <xf numFmtId="0" fontId="23" fillId="2" borderId="1" xfId="0" applyFont="1" applyFill="1" applyBorder="1" applyAlignment="1">
      <alignment horizontal="right"/>
    </xf>
    <xf numFmtId="164" fontId="23" fillId="2" borderId="1" xfId="1" applyFont="1" applyFill="1" applyBorder="1" applyAlignment="1">
      <alignment horizontal="right" vertical="top" wrapText="1"/>
    </xf>
    <xf numFmtId="10" fontId="29" fillId="7" borderId="1" xfId="2" applyNumberFormat="1" applyFont="1" applyFill="1" applyBorder="1" applyAlignment="1">
      <alignment horizontal="center" vertical="top" wrapText="1"/>
    </xf>
    <xf numFmtId="10" fontId="26" fillId="2" borderId="1" xfId="2" applyNumberFormat="1" applyFont="1" applyFill="1" applyBorder="1" applyAlignment="1">
      <alignment horizontal="center" vertical="top" wrapText="1"/>
    </xf>
    <xf numFmtId="4" fontId="26" fillId="2" borderId="1" xfId="1" applyNumberFormat="1" applyFont="1" applyFill="1" applyBorder="1" applyAlignment="1">
      <alignment vertical="top" wrapText="1"/>
    </xf>
    <xf numFmtId="164" fontId="23" fillId="9" borderId="1" xfId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164" fontId="26" fillId="2" borderId="1" xfId="10" applyFont="1" applyFill="1" applyBorder="1" applyAlignment="1">
      <alignment horizontal="right"/>
    </xf>
    <xf numFmtId="4" fontId="26" fillId="2" borderId="1" xfId="1" applyNumberFormat="1" applyFont="1" applyFill="1" applyBorder="1" applyAlignment="1">
      <alignment horizontal="right"/>
    </xf>
    <xf numFmtId="164" fontId="26" fillId="9" borderId="1" xfId="1" applyFont="1" applyFill="1" applyBorder="1" applyAlignment="1">
      <alignment horizontal="center" wrapText="1"/>
    </xf>
    <xf numFmtId="164" fontId="26" fillId="2" borderId="1" xfId="1" applyFont="1" applyFill="1" applyBorder="1" applyAlignment="1">
      <alignment horizontal="right"/>
    </xf>
    <xf numFmtId="164" fontId="26" fillId="2" borderId="1" xfId="10" applyFont="1" applyFill="1" applyBorder="1" applyAlignment="1">
      <alignment horizontal="right" wrapText="1"/>
    </xf>
    <xf numFmtId="164" fontId="21" fillId="3" borderId="1" xfId="1" applyFont="1" applyFill="1" applyBorder="1" applyAlignment="1">
      <alignment horizontal="center" vertical="top"/>
    </xf>
    <xf numFmtId="10" fontId="26" fillId="9" borderId="1" xfId="2" applyNumberFormat="1" applyFont="1" applyFill="1" applyBorder="1" applyAlignment="1">
      <alignment horizontal="center"/>
    </xf>
    <xf numFmtId="10" fontId="24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 vertical="top" wrapText="1"/>
    </xf>
    <xf numFmtId="10" fontId="26" fillId="9" borderId="1" xfId="2" applyNumberFormat="1" applyFont="1" applyFill="1" applyBorder="1" applyAlignment="1">
      <alignment horizontal="center" wrapText="1"/>
    </xf>
    <xf numFmtId="10" fontId="26" fillId="7" borderId="1" xfId="2" applyNumberFormat="1" applyFont="1" applyFill="1" applyBorder="1" applyAlignment="1">
      <alignment horizontal="center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4" fillId="3" borderId="1" xfId="2" applyNumberFormat="1" applyFont="1" applyFill="1" applyBorder="1" applyAlignment="1">
      <alignment horizontal="center" vertical="top" wrapText="1"/>
    </xf>
    <xf numFmtId="10" fontId="24" fillId="3" borderId="1" xfId="1" applyNumberFormat="1" applyFont="1" applyFill="1" applyBorder="1" applyAlignment="1">
      <alignment horizontal="center" vertical="top" wrapText="1"/>
    </xf>
    <xf numFmtId="10" fontId="30" fillId="10" borderId="0" xfId="0" applyNumberFormat="1" applyFont="1" applyFill="1" applyAlignment="1">
      <alignment horizontal="right" vertical="center" wrapText="1"/>
    </xf>
    <xf numFmtId="164" fontId="23" fillId="2" borderId="1" xfId="1" applyFont="1" applyFill="1" applyBorder="1" applyAlignment="1">
      <alignment horizontal="right"/>
    </xf>
    <xf numFmtId="2" fontId="26" fillId="2" borderId="1" xfId="0" applyNumberFormat="1" applyFont="1" applyFill="1" applyBorder="1"/>
    <xf numFmtId="164" fontId="26" fillId="2" borderId="1" xfId="10" applyFont="1" applyFill="1" applyBorder="1" applyAlignment="1">
      <alignment wrapText="1"/>
    </xf>
    <xf numFmtId="164" fontId="26" fillId="11" borderId="1" xfId="1" applyFont="1" applyFill="1" applyBorder="1" applyAlignment="1">
      <alignment horizontal="center"/>
    </xf>
    <xf numFmtId="10" fontId="26" fillId="9" borderId="1" xfId="1" applyNumberFormat="1" applyFont="1" applyFill="1" applyBorder="1" applyAlignment="1">
      <alignment horizontal="center"/>
    </xf>
    <xf numFmtId="10" fontId="26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7" fillId="0" borderId="0" xfId="1" applyFont="1"/>
    <xf numFmtId="2" fontId="0" fillId="0" borderId="0" xfId="0" applyNumberFormat="1"/>
    <xf numFmtId="165" fontId="0" fillId="0" borderId="0" xfId="0" applyNumberFormat="1"/>
    <xf numFmtId="4" fontId="32" fillId="10" borderId="0" xfId="0" applyNumberFormat="1" applyFont="1" applyFill="1" applyAlignment="1">
      <alignment horizontal="right" vertical="center" wrapText="1"/>
    </xf>
    <xf numFmtId="0" fontId="26" fillId="0" borderId="1" xfId="0" applyFont="1" applyBorder="1"/>
    <xf numFmtId="0" fontId="23" fillId="0" borderId="1" xfId="0" applyFont="1" applyBorder="1" applyAlignment="1">
      <alignment horizontal="right"/>
    </xf>
    <xf numFmtId="4" fontId="34" fillId="0" borderId="1" xfId="0" applyNumberFormat="1" applyFont="1" applyBorder="1"/>
    <xf numFmtId="0" fontId="28" fillId="2" borderId="1" xfId="0" applyFont="1" applyFill="1" applyBorder="1"/>
    <xf numFmtId="4" fontId="26" fillId="2" borderId="1" xfId="1" applyNumberFormat="1" applyFont="1" applyFill="1" applyBorder="1" applyAlignment="1">
      <alignment horizontal="right" vertical="top" wrapText="1"/>
    </xf>
    <xf numFmtId="4" fontId="26" fillId="9" borderId="1" xfId="1" applyNumberFormat="1" applyFont="1" applyFill="1" applyBorder="1" applyAlignment="1">
      <alignment horizontal="center"/>
    </xf>
    <xf numFmtId="4" fontId="26" fillId="9" borderId="1" xfId="1" applyNumberFormat="1" applyFont="1" applyFill="1" applyBorder="1" applyAlignment="1">
      <alignment horizontal="center" vertical="top" wrapText="1"/>
    </xf>
    <xf numFmtId="166" fontId="19" fillId="0" borderId="0" xfId="1" applyNumberFormat="1" applyFont="1"/>
    <xf numFmtId="4" fontId="35" fillId="0" borderId="0" xfId="0" applyNumberFormat="1" applyFont="1"/>
    <xf numFmtId="164" fontId="23" fillId="2" borderId="1" xfId="1" applyFont="1" applyFill="1" applyBorder="1"/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horizontal="right" wrapText="1"/>
    </xf>
    <xf numFmtId="4" fontId="26" fillId="2" borderId="1" xfId="10" applyNumberFormat="1" applyFont="1" applyFill="1" applyBorder="1" applyAlignment="1">
      <alignment horizontal="right"/>
    </xf>
    <xf numFmtId="4" fontId="26" fillId="2" borderId="1" xfId="10" applyNumberFormat="1" applyFont="1" applyFill="1" applyBorder="1" applyAlignment="1">
      <alignment horizontal="right" wrapText="1"/>
    </xf>
    <xf numFmtId="4" fontId="23" fillId="9" borderId="1" xfId="1" applyNumberFormat="1" applyFont="1" applyFill="1" applyBorder="1" applyAlignment="1">
      <alignment horizontal="right" vertical="top" wrapText="1"/>
    </xf>
    <xf numFmtId="0" fontId="26" fillId="14" borderId="1" xfId="0" applyFont="1" applyFill="1" applyBorder="1" applyAlignment="1">
      <alignment horizontal="right" vertical="center"/>
    </xf>
    <xf numFmtId="0" fontId="23" fillId="14" borderId="1" xfId="0" applyFont="1" applyFill="1" applyBorder="1" applyAlignment="1">
      <alignment horizontal="right" vertical="center"/>
    </xf>
    <xf numFmtId="164" fontId="23" fillId="14" borderId="1" xfId="1" applyFont="1" applyFill="1" applyBorder="1" applyAlignment="1">
      <alignment horizontal="right" vertical="center" wrapText="1"/>
    </xf>
    <xf numFmtId="10" fontId="26" fillId="14" borderId="1" xfId="1" applyNumberFormat="1" applyFont="1" applyFill="1" applyBorder="1" applyAlignment="1">
      <alignment horizontal="right" vertical="center" wrapText="1"/>
    </xf>
    <xf numFmtId="4" fontId="26" fillId="14" borderId="1" xfId="1" applyNumberFormat="1" applyFont="1" applyFill="1" applyBorder="1" applyAlignment="1">
      <alignment horizontal="right" vertical="center" wrapText="1"/>
    </xf>
    <xf numFmtId="164" fontId="23" fillId="14" borderId="1" xfId="1" applyFont="1" applyFill="1" applyBorder="1" applyAlignment="1">
      <alignment horizontal="right" vertical="top" wrapText="1"/>
    </xf>
    <xf numFmtId="4" fontId="26" fillId="2" borderId="1" xfId="10" applyNumberFormat="1" applyFont="1" applyFill="1" applyBorder="1" applyAlignment="1">
      <alignment horizontal="right" vertical="top" wrapText="1"/>
    </xf>
    <xf numFmtId="164" fontId="36" fillId="14" borderId="1" xfId="1" applyFont="1" applyFill="1" applyBorder="1" applyAlignment="1">
      <alignment horizontal="right" vertical="top" wrapText="1"/>
    </xf>
    <xf numFmtId="4" fontId="26" fillId="14" borderId="1" xfId="1" applyNumberFormat="1" applyFont="1" applyFill="1" applyBorder="1" applyAlignment="1">
      <alignment horizontal="right" vertical="top" wrapText="1"/>
    </xf>
    <xf numFmtId="164" fontId="26" fillId="2" borderId="1" xfId="10" applyFont="1" applyFill="1" applyBorder="1" applyAlignment="1">
      <alignment horizontal="right" vertical="top" wrapText="1"/>
    </xf>
    <xf numFmtId="10" fontId="26" fillId="7" borderId="1" xfId="2" applyNumberFormat="1" applyFont="1" applyFill="1" applyBorder="1" applyAlignment="1">
      <alignment horizontal="center" vertical="top" wrapText="1"/>
    </xf>
    <xf numFmtId="164" fontId="26" fillId="9" borderId="1" xfId="1" applyFont="1" applyFill="1" applyBorder="1" applyAlignment="1">
      <alignment horizontal="center" vertical="top" wrapText="1"/>
    </xf>
    <xf numFmtId="164" fontId="26" fillId="2" borderId="1" xfId="1" applyFont="1" applyFill="1" applyBorder="1" applyAlignment="1">
      <alignment horizontal="right" vertical="top" wrapText="1"/>
    </xf>
    <xf numFmtId="43" fontId="26" fillId="9" borderId="1" xfId="0" applyNumberFormat="1" applyFont="1" applyFill="1" applyBorder="1" applyAlignment="1">
      <alignment horizontal="center"/>
    </xf>
    <xf numFmtId="9" fontId="26" fillId="14" borderId="1" xfId="2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4" fillId="14" borderId="1" xfId="2" applyNumberFormat="1" applyFont="1" applyFill="1" applyBorder="1" applyAlignment="1">
      <alignment horizontal="center" vertical="top" wrapText="1"/>
    </xf>
    <xf numFmtId="167" fontId="24" fillId="14" borderId="1" xfId="2" applyNumberFormat="1" applyFont="1" applyFill="1" applyBorder="1" applyAlignment="1">
      <alignment horizontal="center" vertical="top" wrapText="1"/>
    </xf>
    <xf numFmtId="10" fontId="24" fillId="14" borderId="1" xfId="1" applyNumberFormat="1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right"/>
    </xf>
    <xf numFmtId="0" fontId="23" fillId="14" borderId="1" xfId="0" applyFont="1" applyFill="1" applyBorder="1" applyAlignment="1">
      <alignment horizontal="right"/>
    </xf>
    <xf numFmtId="0" fontId="26" fillId="15" borderId="1" xfId="0" applyFont="1" applyFill="1" applyBorder="1" applyAlignment="1">
      <alignment horizontal="right" vertical="top" wrapText="1"/>
    </xf>
    <xf numFmtId="0" fontId="33" fillId="15" borderId="1" xfId="0" applyFont="1" applyFill="1" applyBorder="1" applyAlignment="1">
      <alignment horizontal="right" vertical="top" wrapText="1"/>
    </xf>
    <xf numFmtId="164" fontId="33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7" fillId="5" borderId="1" xfId="0" applyFont="1" applyFill="1" applyBorder="1" applyAlignment="1">
      <alignment horizontal="right" vertical="center"/>
    </xf>
    <xf numFmtId="0" fontId="37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8" fillId="0" borderId="0" xfId="0" applyFont="1"/>
    <xf numFmtId="0" fontId="39" fillId="0" borderId="0" xfId="0" applyFont="1"/>
    <xf numFmtId="43" fontId="0" fillId="0" borderId="0" xfId="0" applyNumberFormat="1"/>
    <xf numFmtId="0" fontId="40" fillId="0" borderId="0" xfId="0" applyFont="1"/>
    <xf numFmtId="0" fontId="28" fillId="2" borderId="0" xfId="0" applyFont="1" applyFill="1" applyAlignment="1">
      <alignment wrapText="1"/>
    </xf>
    <xf numFmtId="43" fontId="40" fillId="0" borderId="0" xfId="16" applyFont="1" applyBorder="1"/>
    <xf numFmtId="2" fontId="40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0" fillId="0" borderId="0" xfId="2" applyNumberFormat="1" applyFont="1" applyBorder="1"/>
    <xf numFmtId="10" fontId="41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6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8" fillId="0" borderId="0" xfId="0" applyFont="1"/>
    <xf numFmtId="4" fontId="24" fillId="0" borderId="0" xfId="0" applyNumberFormat="1" applyFont="1"/>
    <xf numFmtId="0" fontId="49" fillId="0" borderId="0" xfId="0" applyFont="1"/>
    <xf numFmtId="10" fontId="24" fillId="7" borderId="1" xfId="2" applyNumberFormat="1" applyFont="1" applyFill="1" applyBorder="1" applyAlignment="1">
      <alignment horizontal="center"/>
    </xf>
    <xf numFmtId="2" fontId="24" fillId="2" borderId="1" xfId="0" applyNumberFormat="1" applyFont="1" applyFill="1" applyBorder="1"/>
    <xf numFmtId="4" fontId="24" fillId="2" borderId="1" xfId="0" applyNumberFormat="1" applyFont="1" applyFill="1" applyBorder="1"/>
    <xf numFmtId="0" fontId="1" fillId="0" borderId="0" xfId="0" applyFont="1"/>
    <xf numFmtId="2" fontId="27" fillId="0" borderId="0" xfId="0" applyNumberFormat="1" applyFont="1"/>
    <xf numFmtId="0" fontId="26" fillId="2" borderId="1" xfId="0" applyFont="1" applyFill="1" applyBorder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26" fillId="2" borderId="1" xfId="0" applyNumberFormat="1" applyFont="1" applyFill="1" applyBorder="1" applyAlignment="1">
      <alignment wrapText="1"/>
    </xf>
    <xf numFmtId="49" fontId="26" fillId="2" borderId="1" xfId="0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left" wrapText="1"/>
    </xf>
    <xf numFmtId="0" fontId="26" fillId="0" borderId="1" xfId="0" applyFont="1" applyBorder="1" applyAlignment="1">
      <alignment horizontal="center"/>
    </xf>
    <xf numFmtId="4" fontId="26" fillId="2" borderId="1" xfId="44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wrapText="1"/>
    </xf>
    <xf numFmtId="0" fontId="50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0" fontId="53" fillId="0" borderId="0" xfId="0" applyFont="1"/>
    <xf numFmtId="0" fontId="54" fillId="2" borderId="0" xfId="0" applyFont="1" applyFill="1" applyAlignment="1">
      <alignment horizontal="right"/>
    </xf>
    <xf numFmtId="16" fontId="13" fillId="2" borderId="0" xfId="0" applyNumberFormat="1" applyFont="1" applyFill="1"/>
    <xf numFmtId="0" fontId="9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6" fillId="8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0" fontId="33" fillId="13" borderId="1" xfId="0" applyFont="1" applyFill="1" applyBorder="1" applyAlignment="1">
      <alignment horizontal="center" wrapText="1"/>
    </xf>
    <xf numFmtId="0" fontId="33" fillId="8" borderId="1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December 24,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79.641660217847488</c:v>
                </c:pt>
                <c:pt idx="1">
                  <c:v>4744.967555037585</c:v>
                </c:pt>
                <c:pt idx="2">
                  <c:v>237.25874210780859</c:v>
                </c:pt>
                <c:pt idx="3">
                  <c:v>1955.6987547865324</c:v>
                </c:pt>
                <c:pt idx="4">
                  <c:v>483.05535330730521</c:v>
                </c:pt>
                <c:pt idx="5" formatCode="_-* #,##0.00_-;\-* #,##0.00_-;_-* &quot;-&quot;??_-;_-@_-">
                  <c:v>83.513673347384341</c:v>
                </c:pt>
                <c:pt idx="6">
                  <c:v>8.1791709521100007</c:v>
                </c:pt>
                <c:pt idx="7">
                  <c:v>80.120118418338848</c:v>
                </c:pt>
                <c:pt idx="8">
                  <c:v>18.746896189527117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2,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81.634147241387197</c:v>
                </c:pt>
                <c:pt idx="1">
                  <c:v>4861.6973217289278</c:v>
                </c:pt>
                <c:pt idx="2">
                  <c:v>241.49102191276637</c:v>
                </c:pt>
                <c:pt idx="3">
                  <c:v>1957.3930435863615</c:v>
                </c:pt>
                <c:pt idx="4">
                  <c:v>482.86110028811964</c:v>
                </c:pt>
                <c:pt idx="5" formatCode="_-* #,##0.00_-;\-* #,##0.00_-;_-* &quot;-&quot;??_-;_-@_-">
                  <c:v>84.098310043701247</c:v>
                </c:pt>
                <c:pt idx="6">
                  <c:v>8.4530623198899999</c:v>
                </c:pt>
                <c:pt idx="7">
                  <c:v>79.754070467976177</c:v>
                </c:pt>
                <c:pt idx="8">
                  <c:v>18.740964878253337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5978400"/>
        <c:axId val="255697712"/>
      </c:barChart>
      <c:catAx>
        <c:axId val="1459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5697712"/>
        <c:crosses val="autoZero"/>
        <c:auto val="1"/>
        <c:lblAlgn val="ctr"/>
        <c:lblOffset val="100"/>
        <c:noMultiLvlLbl val="0"/>
      </c:catAx>
      <c:valAx>
        <c:axId val="2556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59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2ND JANUARY,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382304706685366"/>
          <c:y val="1.8702749868806573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8453062319.8899994</c:v>
                </c:pt>
                <c:pt idx="1">
                  <c:v>18740964878.253338</c:v>
                </c:pt>
                <c:pt idx="2">
                  <c:v>81634147241.387192</c:v>
                </c:pt>
                <c:pt idx="3" formatCode="_-* #,##0.00_-;\-* #,##0.00_-;_-* &quot;-&quot;??_-;_-@_-">
                  <c:v>79754070467.976181</c:v>
                </c:pt>
                <c:pt idx="4">
                  <c:v>84098310043.701248</c:v>
                </c:pt>
                <c:pt idx="5">
                  <c:v>482861100288.11963</c:v>
                </c:pt>
                <c:pt idx="6">
                  <c:v>241491021912.76636</c:v>
                </c:pt>
                <c:pt idx="7">
                  <c:v>1957393043586.3616</c:v>
                </c:pt>
                <c:pt idx="8">
                  <c:v>4861697321728.9277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45975</c:v>
                </c:pt>
                <c:pt idx="1">
                  <c:v>45982</c:v>
                </c:pt>
                <c:pt idx="2">
                  <c:v>45989</c:v>
                </c:pt>
                <c:pt idx="3">
                  <c:v>45996</c:v>
                </c:pt>
                <c:pt idx="4">
                  <c:v>46003</c:v>
                </c:pt>
                <c:pt idx="5">
                  <c:v>46010</c:v>
                </c:pt>
                <c:pt idx="6">
                  <c:v>46015</c:v>
                </c:pt>
                <c:pt idx="7">
                  <c:v>46024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7224.9660672128502</c:v>
                </c:pt>
                <c:pt idx="1">
                  <c:v>7259.9310118544208</c:v>
                </c:pt>
                <c:pt idx="2">
                  <c:v>7416.5411604761439</c:v>
                </c:pt>
                <c:pt idx="3">
                  <c:v>7473.2757425151976</c:v>
                </c:pt>
                <c:pt idx="4">
                  <c:v>7522.4259502457116</c:v>
                </c:pt>
                <c:pt idx="5">
                  <c:v>7603.1851114640458</c:v>
                </c:pt>
                <c:pt idx="6">
                  <c:v>7672.435028174913</c:v>
                </c:pt>
                <c:pt idx="7">
                  <c:v>7816.1230424673831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7975552"/>
        <c:axId val="328105904"/>
      </c:lineChart>
      <c:dateAx>
        <c:axId val="327975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05904"/>
        <c:crosses val="autoZero"/>
        <c:auto val="1"/>
        <c:lblOffset val="100"/>
        <c:baseTimeUnit val="days"/>
      </c:dateAx>
      <c:valAx>
        <c:axId val="328105904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45975</c:v>
                </c:pt>
                <c:pt idx="1">
                  <c:v>45982</c:v>
                </c:pt>
                <c:pt idx="2">
                  <c:v>45989</c:v>
                </c:pt>
                <c:pt idx="3">
                  <c:v>45996</c:v>
                </c:pt>
                <c:pt idx="4">
                  <c:v>46003</c:v>
                </c:pt>
                <c:pt idx="5">
                  <c:v>46010</c:v>
                </c:pt>
                <c:pt idx="6">
                  <c:v>46015</c:v>
                </c:pt>
                <c:pt idx="7">
                  <c:v>46024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17.29912062779</c:v>
                </c:pt>
                <c:pt idx="1">
                  <c:v>16.915814556049998</c:v>
                </c:pt>
                <c:pt idx="2">
                  <c:v>16.97292700869</c:v>
                </c:pt>
                <c:pt idx="3">
                  <c:v>17.413222879320003</c:v>
                </c:pt>
                <c:pt idx="4">
                  <c:v>17.682838809310002</c:v>
                </c:pt>
                <c:pt idx="5">
                  <c:v>17.94056485019</c:v>
                </c:pt>
                <c:pt idx="6">
                  <c:v>18.082167415780003</c:v>
                </c:pt>
                <c:pt idx="7">
                  <c:v>18.294657025999999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8047144"/>
        <c:axId val="327973656"/>
      </c:lineChart>
      <c:dateAx>
        <c:axId val="328047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3656"/>
        <c:crosses val="autoZero"/>
        <c:auto val="1"/>
        <c:lblOffset val="100"/>
        <c:baseTimeUnit val="days"/>
      </c:dateAx>
      <c:valAx>
        <c:axId val="32797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4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0</xdr:row>
      <xdr:rowOff>0</xdr:rowOff>
    </xdr:from>
    <xdr:to>
      <xdr:col>13</xdr:col>
      <xdr:colOff>193965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8" t="s">
        <v>332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</row>
    <row r="2" spans="1:25" ht="14.4" customHeight="1">
      <c r="A2" s="42"/>
      <c r="B2" s="43"/>
      <c r="C2" s="44"/>
      <c r="D2" s="199" t="s">
        <v>331</v>
      </c>
      <c r="E2" s="199"/>
      <c r="F2" s="199"/>
      <c r="G2" s="199"/>
      <c r="H2" s="199"/>
      <c r="I2" s="199"/>
      <c r="J2" s="199"/>
      <c r="K2" s="199" t="s">
        <v>333</v>
      </c>
      <c r="L2" s="199"/>
      <c r="M2" s="199"/>
      <c r="N2" s="199"/>
      <c r="O2" s="199"/>
      <c r="P2" s="199"/>
      <c r="Q2" s="199"/>
      <c r="R2" s="199" t="s">
        <v>0</v>
      </c>
      <c r="S2" s="199"/>
      <c r="T2" s="199"/>
      <c r="U2" s="199" t="s">
        <v>1</v>
      </c>
      <c r="V2" s="199"/>
    </row>
    <row r="3" spans="1:25" ht="20.399999999999999">
      <c r="A3" s="45" t="s">
        <v>2</v>
      </c>
      <c r="B3" s="46" t="s">
        <v>3</v>
      </c>
      <c r="C3" s="47" t="s">
        <v>4</v>
      </c>
      <c r="D3" s="48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49" t="s">
        <v>11</v>
      </c>
      <c r="K3" s="74" t="s">
        <v>5</v>
      </c>
      <c r="L3" s="49" t="s">
        <v>6</v>
      </c>
      <c r="M3" s="49" t="s">
        <v>12</v>
      </c>
      <c r="N3" s="49" t="s">
        <v>8</v>
      </c>
      <c r="O3" s="49" t="s">
        <v>9</v>
      </c>
      <c r="P3" s="49" t="s">
        <v>10</v>
      </c>
      <c r="Q3" s="49" t="s">
        <v>11</v>
      </c>
      <c r="R3" s="48" t="s">
        <v>13</v>
      </c>
      <c r="S3" s="49" t="s">
        <v>14</v>
      </c>
      <c r="T3" s="49" t="s">
        <v>15</v>
      </c>
      <c r="U3" s="49" t="s">
        <v>16</v>
      </c>
      <c r="V3" s="49" t="s">
        <v>17</v>
      </c>
    </row>
    <row r="4" spans="1:25" ht="5.25" customHeight="1">
      <c r="A4" s="50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</row>
    <row r="5" spans="1:25" ht="15" customHeight="1">
      <c r="A5" s="196" t="s">
        <v>18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</row>
    <row r="6" spans="1:25">
      <c r="A6" s="177">
        <v>1</v>
      </c>
      <c r="B6" s="170" t="s">
        <v>19</v>
      </c>
      <c r="C6" s="166" t="s">
        <v>20</v>
      </c>
      <c r="D6" s="163">
        <v>4471934794.9200001</v>
      </c>
      <c r="E6" s="161">
        <f t="shared" ref="E6:E24" si="0">(D6/$D$26)</f>
        <v>5.6150697796702273E-2</v>
      </c>
      <c r="F6" s="163">
        <v>615.06679999999994</v>
      </c>
      <c r="G6" s="163">
        <v>621.24159999999995</v>
      </c>
      <c r="H6" s="55">
        <v>1695</v>
      </c>
      <c r="I6" s="76">
        <v>5.8999999999999999E-3</v>
      </c>
      <c r="J6" s="76">
        <v>0.54730000000000001</v>
      </c>
      <c r="K6" s="163">
        <v>4567762171.0900002</v>
      </c>
      <c r="L6" s="161">
        <f t="shared" ref="L6:L25" si="1">(K6/$K$26)</f>
        <v>5.5954062429088729E-2</v>
      </c>
      <c r="M6" s="163">
        <v>625.18949999999995</v>
      </c>
      <c r="N6" s="163">
        <v>631.32839999999999</v>
      </c>
      <c r="O6" s="55">
        <v>1695</v>
      </c>
      <c r="P6" s="76">
        <v>1.01E-2</v>
      </c>
      <c r="Q6" s="76">
        <v>1.01E-2</v>
      </c>
      <c r="R6" s="81">
        <f>((K6-D6)/D6)</f>
        <v>2.1428616597643026E-2</v>
      </c>
      <c r="S6" s="81">
        <f>((N6-G6)/G6)</f>
        <v>1.6236517322729259E-2</v>
      </c>
      <c r="T6" s="81">
        <f>((O6-H6)/H6)</f>
        <v>0</v>
      </c>
      <c r="U6" s="81">
        <f>P6-I6</f>
        <v>4.1999999999999997E-3</v>
      </c>
      <c r="V6" s="82">
        <f>Q6-J6</f>
        <v>-0.53720000000000001</v>
      </c>
      <c r="W6" s="164"/>
    </row>
    <row r="7" spans="1:25">
      <c r="A7" s="177">
        <v>2</v>
      </c>
      <c r="B7" s="170" t="s">
        <v>21</v>
      </c>
      <c r="C7" s="166" t="s">
        <v>22</v>
      </c>
      <c r="D7" s="51">
        <v>1137010899.3199999</v>
      </c>
      <c r="E7" s="52">
        <f t="shared" si="0"/>
        <v>1.4276584594166945E-2</v>
      </c>
      <c r="F7" s="51">
        <v>406.7534</v>
      </c>
      <c r="G7" s="51">
        <v>411.666</v>
      </c>
      <c r="H7" s="53">
        <v>625</v>
      </c>
      <c r="I7" s="75">
        <v>-3.862E-3</v>
      </c>
      <c r="J7" s="75">
        <v>0.5796</v>
      </c>
      <c r="K7" s="51">
        <v>1273498243.0899999</v>
      </c>
      <c r="L7" s="52">
        <f t="shared" si="1"/>
        <v>1.5600067938779875E-2</v>
      </c>
      <c r="M7" s="51">
        <v>411.12529999999998</v>
      </c>
      <c r="N7" s="51">
        <v>416.16070000000002</v>
      </c>
      <c r="O7" s="53">
        <v>632</v>
      </c>
      <c r="P7" s="75">
        <v>3.418E-3</v>
      </c>
      <c r="Q7" s="75">
        <v>3.3999999999999998E-3</v>
      </c>
      <c r="R7" s="80">
        <f t="shared" ref="R7:R26" si="2">((K7-D7)/D7)</f>
        <v>0.12004048848751364</v>
      </c>
      <c r="S7" s="80">
        <f t="shared" ref="S7:S26" si="3">((N7-G7)/G7)</f>
        <v>1.0918317276627225E-2</v>
      </c>
      <c r="T7" s="80">
        <f t="shared" ref="T7:T26" si="4">((O7-H7)/H7)</f>
        <v>1.12E-2</v>
      </c>
      <c r="U7" s="81">
        <f t="shared" ref="U7:U26" si="5">P7-I7</f>
        <v>7.28E-3</v>
      </c>
      <c r="V7" s="82">
        <f t="shared" ref="V7:V26" si="6">Q7-J7</f>
        <v>-0.57620000000000005</v>
      </c>
    </row>
    <row r="8" spans="1:25">
      <c r="A8" s="177">
        <v>3</v>
      </c>
      <c r="B8" s="170" t="s">
        <v>23</v>
      </c>
      <c r="C8" s="166" t="s">
        <v>24</v>
      </c>
      <c r="D8" s="51">
        <v>7419751248.0699997</v>
      </c>
      <c r="E8" s="52">
        <f t="shared" si="0"/>
        <v>9.316419607243763E-2</v>
      </c>
      <c r="F8" s="51">
        <v>52.3917</v>
      </c>
      <c r="G8" s="54">
        <v>53.971400000000003</v>
      </c>
      <c r="H8" s="55">
        <v>8454</v>
      </c>
      <c r="I8" s="76">
        <v>8.8200000000000001E-2</v>
      </c>
      <c r="J8" s="76">
        <v>0.48430000000000001</v>
      </c>
      <c r="K8" s="51">
        <v>7560693280.5100002</v>
      </c>
      <c r="L8" s="52">
        <f t="shared" si="1"/>
        <v>9.2616797455524244E-2</v>
      </c>
      <c r="M8" s="51">
        <v>52.8782</v>
      </c>
      <c r="N8" s="54">
        <v>54.472499999999997</v>
      </c>
      <c r="O8" s="55">
        <v>8560</v>
      </c>
      <c r="P8" s="76">
        <v>0.32890000000000003</v>
      </c>
      <c r="Q8" s="76">
        <v>0.49280000000000002</v>
      </c>
      <c r="R8" s="80">
        <f t="shared" si="2"/>
        <v>1.8995519893832274E-2</v>
      </c>
      <c r="S8" s="80">
        <f t="shared" si="3"/>
        <v>9.2845470008188387E-3</v>
      </c>
      <c r="T8" s="80">
        <f t="shared" si="4"/>
        <v>1.2538443340430565E-2</v>
      </c>
      <c r="U8" s="81">
        <f t="shared" si="5"/>
        <v>0.24070000000000003</v>
      </c>
      <c r="V8" s="82">
        <f t="shared" si="6"/>
        <v>8.5000000000000075E-3</v>
      </c>
      <c r="X8" s="83"/>
      <c r="Y8" s="83"/>
    </row>
    <row r="9" spans="1:25">
      <c r="A9" s="177">
        <v>4</v>
      </c>
      <c r="B9" s="170" t="s">
        <v>25</v>
      </c>
      <c r="C9" s="166" t="s">
        <v>26</v>
      </c>
      <c r="D9" s="51">
        <v>885234431.51999998</v>
      </c>
      <c r="E9" s="52">
        <f t="shared" si="0"/>
        <v>1.1115218204876412E-2</v>
      </c>
      <c r="F9" s="51">
        <v>249.58009999999999</v>
      </c>
      <c r="G9" s="51">
        <v>249.58009999999999</v>
      </c>
      <c r="H9" s="53">
        <v>2270</v>
      </c>
      <c r="I9" s="75">
        <v>-1.04E-2</v>
      </c>
      <c r="J9" s="75">
        <v>0.29420000000000002</v>
      </c>
      <c r="K9" s="51">
        <v>979225658.77999997</v>
      </c>
      <c r="L9" s="52">
        <f t="shared" si="1"/>
        <v>1.1995294761694386E-2</v>
      </c>
      <c r="M9" s="51">
        <v>251.06</v>
      </c>
      <c r="N9" s="51">
        <v>251.06</v>
      </c>
      <c r="O9" s="53">
        <v>2290</v>
      </c>
      <c r="P9" s="75">
        <v>5.8999999999999999E-3</v>
      </c>
      <c r="Q9" s="75">
        <v>5.3E-3</v>
      </c>
      <c r="R9" s="80">
        <f t="shared" si="2"/>
        <v>0.10617665096759904</v>
      </c>
      <c r="S9" s="80">
        <f t="shared" si="3"/>
        <v>5.9295592877798148E-3</v>
      </c>
      <c r="T9" s="80">
        <f t="shared" si="4"/>
        <v>8.8105726872246704E-3</v>
      </c>
      <c r="U9" s="81">
        <f t="shared" si="5"/>
        <v>1.6299999999999999E-2</v>
      </c>
      <c r="V9" s="82">
        <f t="shared" si="6"/>
        <v>-0.28889999999999999</v>
      </c>
    </row>
    <row r="10" spans="1:25">
      <c r="A10" s="177">
        <v>5</v>
      </c>
      <c r="B10" s="170" t="s">
        <v>27</v>
      </c>
      <c r="C10" s="166" t="s">
        <v>28</v>
      </c>
      <c r="D10" s="51">
        <v>2640739775.5599999</v>
      </c>
      <c r="E10" s="52">
        <f t="shared" si="0"/>
        <v>3.3157769041186023E-2</v>
      </c>
      <c r="F10" s="51">
        <v>1.8188</v>
      </c>
      <c r="G10" s="51">
        <v>1.841</v>
      </c>
      <c r="H10" s="53">
        <v>1064</v>
      </c>
      <c r="I10" s="75">
        <v>1.14E-2</v>
      </c>
      <c r="J10" s="75">
        <v>0.53449999999999998</v>
      </c>
      <c r="K10" s="51">
        <v>2812435276.98</v>
      </c>
      <c r="L10" s="52">
        <f t="shared" si="1"/>
        <v>3.4451701549154432E-2</v>
      </c>
      <c r="M10" s="51">
        <v>1.8705000000000001</v>
      </c>
      <c r="N10" s="51">
        <v>1.8922000000000001</v>
      </c>
      <c r="O10" s="53">
        <v>1064</v>
      </c>
      <c r="P10" s="75">
        <v>2.81E-2</v>
      </c>
      <c r="Q10" s="75">
        <v>1.0699999999999999E-2</v>
      </c>
      <c r="R10" s="80">
        <f t="shared" si="2"/>
        <v>6.5017955577841832E-2</v>
      </c>
      <c r="S10" s="80">
        <f t="shared" si="3"/>
        <v>2.7810972297664386E-2</v>
      </c>
      <c r="T10" s="80">
        <f t="shared" si="4"/>
        <v>0</v>
      </c>
      <c r="U10" s="81">
        <f t="shared" si="5"/>
        <v>1.67E-2</v>
      </c>
      <c r="V10" s="82">
        <f t="shared" si="6"/>
        <v>-0.52379999999999993</v>
      </c>
    </row>
    <row r="11" spans="1:25">
      <c r="A11" s="177">
        <v>6</v>
      </c>
      <c r="B11" s="170" t="s">
        <v>29</v>
      </c>
      <c r="C11" s="166" t="s">
        <v>30</v>
      </c>
      <c r="D11" s="56">
        <v>295621167.04000002</v>
      </c>
      <c r="E11" s="52">
        <f t="shared" si="0"/>
        <v>3.7118910659493269E-3</v>
      </c>
      <c r="F11" s="51">
        <v>212.29230000000001</v>
      </c>
      <c r="G11" s="51">
        <v>213.5437</v>
      </c>
      <c r="H11" s="55">
        <v>114</v>
      </c>
      <c r="I11" s="76">
        <v>-3.88E-4</v>
      </c>
      <c r="J11" s="76">
        <v>0.2802</v>
      </c>
      <c r="K11" s="56">
        <v>299353959</v>
      </c>
      <c r="L11" s="52">
        <f t="shared" si="1"/>
        <v>3.6670188777109241E-3</v>
      </c>
      <c r="M11" s="51">
        <v>214.02330000000001</v>
      </c>
      <c r="N11" s="51">
        <v>215.28469999999999</v>
      </c>
      <c r="O11" s="55">
        <v>116</v>
      </c>
      <c r="P11" s="76">
        <v>2.4849999999999998E-3</v>
      </c>
      <c r="Q11" s="76">
        <v>0.28539999999999999</v>
      </c>
      <c r="R11" s="80">
        <f t="shared" si="2"/>
        <v>1.2626944130475272E-2</v>
      </c>
      <c r="S11" s="80">
        <f t="shared" si="3"/>
        <v>8.152897978259183E-3</v>
      </c>
      <c r="T11" s="80">
        <f t="shared" si="4"/>
        <v>1.7543859649122806E-2</v>
      </c>
      <c r="U11" s="81">
        <f t="shared" si="5"/>
        <v>2.8729999999999997E-3</v>
      </c>
      <c r="V11" s="82">
        <f t="shared" si="6"/>
        <v>5.1999999999999824E-3</v>
      </c>
    </row>
    <row r="12" spans="1:25">
      <c r="A12" s="177">
        <v>7</v>
      </c>
      <c r="B12" s="170" t="s">
        <v>31</v>
      </c>
      <c r="C12" s="166" t="s">
        <v>32</v>
      </c>
      <c r="D12" s="51">
        <v>2740526115.8400002</v>
      </c>
      <c r="E12" s="52">
        <f t="shared" si="0"/>
        <v>3.4410710529435388E-2</v>
      </c>
      <c r="F12" s="51">
        <v>440.62</v>
      </c>
      <c r="G12" s="51">
        <v>446.85</v>
      </c>
      <c r="H12" s="55">
        <v>1874</v>
      </c>
      <c r="I12" s="76">
        <v>3.0999999999999999E-3</v>
      </c>
      <c r="J12" s="76">
        <v>0.53159999999999996</v>
      </c>
      <c r="K12" s="51">
        <v>2863729489.0799999</v>
      </c>
      <c r="L12" s="52">
        <f t="shared" si="1"/>
        <v>3.5080044146380641E-2</v>
      </c>
      <c r="M12" s="51">
        <v>456.48</v>
      </c>
      <c r="N12" s="51">
        <v>462.93</v>
      </c>
      <c r="O12" s="55">
        <v>1874</v>
      </c>
      <c r="P12" s="76">
        <v>3.5900000000000001E-2</v>
      </c>
      <c r="Q12" s="76">
        <v>0.58050000000000002</v>
      </c>
      <c r="R12" s="80">
        <f t="shared" si="2"/>
        <v>4.4956102599385969E-2</v>
      </c>
      <c r="S12" s="80">
        <f t="shared" si="3"/>
        <v>3.5985229942933836E-2</v>
      </c>
      <c r="T12" s="80">
        <f t="shared" si="4"/>
        <v>0</v>
      </c>
      <c r="U12" s="81">
        <f t="shared" si="5"/>
        <v>3.2800000000000003E-2</v>
      </c>
      <c r="V12" s="82">
        <f t="shared" si="6"/>
        <v>4.8900000000000055E-2</v>
      </c>
    </row>
    <row r="13" spans="1:25">
      <c r="A13" s="177">
        <v>8</v>
      </c>
      <c r="B13" s="170" t="s">
        <v>33</v>
      </c>
      <c r="C13" s="166" t="s">
        <v>34</v>
      </c>
      <c r="D13" s="57">
        <v>498695301.75999999</v>
      </c>
      <c r="E13" s="52">
        <f t="shared" si="0"/>
        <v>6.2617391500364994E-3</v>
      </c>
      <c r="F13" s="51">
        <v>249.58</v>
      </c>
      <c r="G13" s="51">
        <v>260.32</v>
      </c>
      <c r="H13" s="53">
        <v>2469</v>
      </c>
      <c r="I13" s="75">
        <v>-8.0000000000000004E-4</v>
      </c>
      <c r="J13" s="75">
        <v>0.14480000000000001</v>
      </c>
      <c r="K13" s="57">
        <v>516202549.56999999</v>
      </c>
      <c r="L13" s="52">
        <f t="shared" si="1"/>
        <v>6.3233654912033385E-3</v>
      </c>
      <c r="M13" s="51">
        <v>257.82</v>
      </c>
      <c r="N13" s="51">
        <v>269.10000000000002</v>
      </c>
      <c r="O13" s="53">
        <v>2469</v>
      </c>
      <c r="P13" s="75">
        <v>2.2200000000000001E-2</v>
      </c>
      <c r="Q13" s="75">
        <v>0.21740000000000001</v>
      </c>
      <c r="R13" s="80">
        <f t="shared" si="2"/>
        <v>3.5106101357308288E-2</v>
      </c>
      <c r="S13" s="80">
        <f t="shared" si="3"/>
        <v>3.3727719729563725E-2</v>
      </c>
      <c r="T13" s="80">
        <f t="shared" si="4"/>
        <v>0</v>
      </c>
      <c r="U13" s="81">
        <f t="shared" si="5"/>
        <v>2.3E-2</v>
      </c>
      <c r="V13" s="82">
        <f t="shared" si="6"/>
        <v>7.2599999999999998E-2</v>
      </c>
    </row>
    <row r="14" spans="1:25">
      <c r="A14" s="177">
        <v>9</v>
      </c>
      <c r="B14" s="170" t="s">
        <v>35</v>
      </c>
      <c r="C14" s="166" t="s">
        <v>36</v>
      </c>
      <c r="D14" s="56">
        <v>88166558.6875</v>
      </c>
      <c r="E14" s="52">
        <f t="shared" si="0"/>
        <v>1.1070406926015099E-3</v>
      </c>
      <c r="F14" s="51">
        <v>313.6019</v>
      </c>
      <c r="G14" s="51">
        <v>321.73239999999998</v>
      </c>
      <c r="H14" s="53">
        <v>29</v>
      </c>
      <c r="I14" s="75">
        <v>-3.3999999999999998E-3</v>
      </c>
      <c r="J14" s="75">
        <v>0.41510000000000002</v>
      </c>
      <c r="K14" s="56">
        <v>89102261.907199994</v>
      </c>
      <c r="L14" s="52">
        <f t="shared" si="1"/>
        <v>1.0914827301831186E-3</v>
      </c>
      <c r="M14" s="51">
        <v>323.2749</v>
      </c>
      <c r="N14" s="51">
        <v>331.9701</v>
      </c>
      <c r="O14" s="53">
        <v>29</v>
      </c>
      <c r="P14" s="75">
        <v>3.1399999999999997E-2</v>
      </c>
      <c r="Q14" s="75">
        <v>0.45950000000000002</v>
      </c>
      <c r="R14" s="80">
        <f t="shared" si="2"/>
        <v>1.0612903958478477E-2</v>
      </c>
      <c r="S14" s="80">
        <f t="shared" si="3"/>
        <v>3.1820544029758951E-2</v>
      </c>
      <c r="T14" s="80">
        <f t="shared" si="4"/>
        <v>0</v>
      </c>
      <c r="U14" s="81">
        <f t="shared" si="5"/>
        <v>3.4799999999999998E-2</v>
      </c>
      <c r="V14" s="82">
        <f t="shared" si="6"/>
        <v>4.4399999999999995E-2</v>
      </c>
    </row>
    <row r="15" spans="1:25" ht="14.25" customHeight="1">
      <c r="A15" s="177">
        <v>10</v>
      </c>
      <c r="B15" s="170" t="s">
        <v>37</v>
      </c>
      <c r="C15" s="166" t="s">
        <v>38</v>
      </c>
      <c r="D15" s="57">
        <v>3189135944.5799999</v>
      </c>
      <c r="E15" s="52">
        <f t="shared" si="0"/>
        <v>4.0043564333749573E-2</v>
      </c>
      <c r="F15" s="51">
        <v>3.9822000000000002</v>
      </c>
      <c r="G15" s="51">
        <v>4.0171999999999999</v>
      </c>
      <c r="H15" s="53">
        <v>3130</v>
      </c>
      <c r="I15" s="75">
        <v>6.3E-3</v>
      </c>
      <c r="J15" s="75">
        <v>0.90110000000000001</v>
      </c>
      <c r="K15" s="57">
        <v>3474608552.4699998</v>
      </c>
      <c r="L15" s="52">
        <f t="shared" si="1"/>
        <v>4.2563175703860721E-2</v>
      </c>
      <c r="M15" s="51">
        <v>3.9855770000000001</v>
      </c>
      <c r="N15" s="51">
        <v>4.0193779999999997</v>
      </c>
      <c r="O15" s="53">
        <v>3420</v>
      </c>
      <c r="P15" s="75">
        <v>8.0000000000000004E-4</v>
      </c>
      <c r="Q15" s="75">
        <v>1.8E-3</v>
      </c>
      <c r="R15" s="80">
        <f t="shared" si="2"/>
        <v>8.9514091857754219E-2</v>
      </c>
      <c r="S15" s="80">
        <f t="shared" si="3"/>
        <v>5.4216867469874326E-4</v>
      </c>
      <c r="T15" s="80">
        <f t="shared" si="4"/>
        <v>9.2651757188498399E-2</v>
      </c>
      <c r="U15" s="81">
        <f t="shared" si="5"/>
        <v>-5.4999999999999997E-3</v>
      </c>
      <c r="V15" s="82">
        <f t="shared" si="6"/>
        <v>-0.89929999999999999</v>
      </c>
    </row>
    <row r="16" spans="1:25" ht="14.25" customHeight="1">
      <c r="A16" s="175">
        <v>11</v>
      </c>
      <c r="B16" s="170" t="s">
        <v>39</v>
      </c>
      <c r="C16" s="166" t="s">
        <v>40</v>
      </c>
      <c r="D16" s="57">
        <v>114924437.11</v>
      </c>
      <c r="E16" s="52">
        <f t="shared" si="0"/>
        <v>1.4430191032638183E-3</v>
      </c>
      <c r="F16" s="51">
        <v>26.65</v>
      </c>
      <c r="G16" s="51">
        <v>27.15</v>
      </c>
      <c r="H16" s="53">
        <v>78</v>
      </c>
      <c r="I16" s="75">
        <v>-1.1000000000000001E-3</v>
      </c>
      <c r="J16" s="75">
        <v>1.68</v>
      </c>
      <c r="K16" s="57">
        <v>121529008.26000001</v>
      </c>
      <c r="L16" s="52">
        <f t="shared" si="1"/>
        <v>1.488703102399614E-3</v>
      </c>
      <c r="M16" s="51">
        <v>26.65</v>
      </c>
      <c r="N16" s="51">
        <v>27.15</v>
      </c>
      <c r="O16" s="53">
        <v>78</v>
      </c>
      <c r="P16" s="75">
        <v>8.3000000000000001E-3</v>
      </c>
      <c r="Q16" s="75">
        <v>1.69</v>
      </c>
      <c r="R16" s="80">
        <f t="shared" ref="R16" si="7">((K16-D16)/D16)</f>
        <v>5.746881443220328E-2</v>
      </c>
      <c r="S16" s="80">
        <f t="shared" ref="S16" si="8">((N16-G16)/G16)</f>
        <v>0</v>
      </c>
      <c r="T16" s="80">
        <f t="shared" ref="T16" si="9">((O16-H16)/H16)</f>
        <v>0</v>
      </c>
      <c r="U16" s="81">
        <f t="shared" ref="U16" si="10">P16-I16</f>
        <v>9.4000000000000004E-3</v>
      </c>
      <c r="V16" s="82">
        <f t="shared" ref="V16" si="11">Q16-J16</f>
        <v>1.0000000000000009E-2</v>
      </c>
    </row>
    <row r="17" spans="1:22">
      <c r="A17" s="177">
        <v>12</v>
      </c>
      <c r="B17" s="170" t="s">
        <v>41</v>
      </c>
      <c r="C17" s="166" t="s">
        <v>42</v>
      </c>
      <c r="D17" s="58">
        <v>2637687304.5799999</v>
      </c>
      <c r="E17" s="52">
        <f t="shared" si="0"/>
        <v>3.3119441475290855E-2</v>
      </c>
      <c r="F17" s="51">
        <v>5.48</v>
      </c>
      <c r="G17" s="51">
        <v>5.6</v>
      </c>
      <c r="H17" s="53">
        <v>3709</v>
      </c>
      <c r="I17" s="75">
        <v>5.2400000000000002E-2</v>
      </c>
      <c r="J17" s="75">
        <v>0.51270000000000004</v>
      </c>
      <c r="K17" s="58">
        <v>2679242989.0999999</v>
      </c>
      <c r="L17" s="52">
        <f t="shared" si="1"/>
        <v>3.2820125886507297E-2</v>
      </c>
      <c r="M17" s="51">
        <v>5.55</v>
      </c>
      <c r="N17" s="51">
        <v>5.67</v>
      </c>
      <c r="O17" s="53">
        <v>3706</v>
      </c>
      <c r="P17" s="75">
        <v>6.1699999999999998E-2</v>
      </c>
      <c r="Q17" s="75">
        <v>3.3999999999999998E-3</v>
      </c>
      <c r="R17" s="80">
        <f t="shared" si="2"/>
        <v>1.5754590943302473E-2</v>
      </c>
      <c r="S17" s="80">
        <f t="shared" si="3"/>
        <v>1.2500000000000051E-2</v>
      </c>
      <c r="T17" s="80">
        <f t="shared" si="4"/>
        <v>-8.088433540037746E-4</v>
      </c>
      <c r="U17" s="81">
        <f t="shared" si="5"/>
        <v>9.2999999999999958E-3</v>
      </c>
      <c r="V17" s="82">
        <f t="shared" si="6"/>
        <v>-0.50930000000000009</v>
      </c>
    </row>
    <row r="18" spans="1:22">
      <c r="A18" s="177">
        <v>13</v>
      </c>
      <c r="B18" s="170" t="s">
        <v>43</v>
      </c>
      <c r="C18" s="166" t="s">
        <v>44</v>
      </c>
      <c r="D18" s="51">
        <v>3516776118.7600002</v>
      </c>
      <c r="E18" s="52">
        <f t="shared" si="0"/>
        <v>4.4157493818441265E-2</v>
      </c>
      <c r="F18" s="51">
        <v>33.75</v>
      </c>
      <c r="G18" s="51">
        <v>33.89</v>
      </c>
      <c r="H18" s="53">
        <v>972</v>
      </c>
      <c r="I18" s="75">
        <v>1.5E-3</v>
      </c>
      <c r="J18" s="75">
        <v>0.43240000000000001</v>
      </c>
      <c r="K18" s="51">
        <v>3551248934.1999998</v>
      </c>
      <c r="L18" s="52">
        <f t="shared" si="1"/>
        <v>4.3502003196029884E-2</v>
      </c>
      <c r="M18" s="51">
        <v>34.113737999999998</v>
      </c>
      <c r="N18" s="51">
        <v>34.270040999999999</v>
      </c>
      <c r="O18" s="53">
        <v>972</v>
      </c>
      <c r="P18" s="75">
        <v>1.09E-2</v>
      </c>
      <c r="Q18" s="75">
        <v>0.4496</v>
      </c>
      <c r="R18" s="80">
        <f t="shared" si="2"/>
        <v>9.802391245807977E-3</v>
      </c>
      <c r="S18" s="80">
        <f t="shared" si="3"/>
        <v>1.121395691944522E-2</v>
      </c>
      <c r="T18" s="80">
        <f t="shared" si="4"/>
        <v>0</v>
      </c>
      <c r="U18" s="81">
        <f t="shared" si="5"/>
        <v>9.4000000000000004E-3</v>
      </c>
      <c r="V18" s="82">
        <f t="shared" si="6"/>
        <v>1.7199999999999993E-2</v>
      </c>
    </row>
    <row r="19" spans="1:22">
      <c r="A19" s="177">
        <v>14</v>
      </c>
      <c r="B19" s="170" t="s">
        <v>45</v>
      </c>
      <c r="C19" s="166" t="s">
        <v>46</v>
      </c>
      <c r="D19" s="51">
        <v>191545922.72999999</v>
      </c>
      <c r="E19" s="52">
        <f t="shared" si="0"/>
        <v>2.4050970585753188E-3</v>
      </c>
      <c r="F19" s="51">
        <v>2.0582729999999998</v>
      </c>
      <c r="G19" s="51">
        <v>2.1341000000000001</v>
      </c>
      <c r="H19" s="53">
        <v>26</v>
      </c>
      <c r="I19" s="75">
        <v>8.7999999999999995E-2</v>
      </c>
      <c r="J19" s="75">
        <v>0.48070000000000002</v>
      </c>
      <c r="K19" s="51">
        <v>192176456.56999999</v>
      </c>
      <c r="L19" s="52">
        <f t="shared" si="1"/>
        <v>2.3541185038871777E-3</v>
      </c>
      <c r="M19" s="51">
        <v>2.0699999999999998</v>
      </c>
      <c r="N19" s="51">
        <v>2.14</v>
      </c>
      <c r="O19" s="53">
        <v>26</v>
      </c>
      <c r="P19" s="75">
        <v>0.47660000000000002</v>
      </c>
      <c r="Q19" s="75">
        <v>0.48070000000000002</v>
      </c>
      <c r="R19" s="80">
        <f t="shared" si="2"/>
        <v>3.291815513550731E-3</v>
      </c>
      <c r="S19" s="80">
        <f t="shared" si="3"/>
        <v>2.7646314605688656E-3</v>
      </c>
      <c r="T19" s="80">
        <f t="shared" si="4"/>
        <v>0</v>
      </c>
      <c r="U19" s="81">
        <f t="shared" si="5"/>
        <v>0.38860000000000006</v>
      </c>
      <c r="V19" s="82">
        <f t="shared" si="6"/>
        <v>0</v>
      </c>
    </row>
    <row r="20" spans="1:22">
      <c r="A20" s="177">
        <v>15</v>
      </c>
      <c r="B20" s="170" t="s">
        <v>47</v>
      </c>
      <c r="C20" s="166" t="s">
        <v>48</v>
      </c>
      <c r="D20" s="159">
        <v>7446879966.2600002</v>
      </c>
      <c r="E20" s="52">
        <f t="shared" si="0"/>
        <v>9.3504830837154926E-2</v>
      </c>
      <c r="F20" s="51">
        <v>50.04</v>
      </c>
      <c r="G20" s="51">
        <v>50.32</v>
      </c>
      <c r="H20" s="53">
        <v>8944</v>
      </c>
      <c r="I20" s="75">
        <v>1.4E-3</v>
      </c>
      <c r="J20" s="75">
        <v>0.64429999999999998</v>
      </c>
      <c r="K20" s="159">
        <v>7498601508.1300001</v>
      </c>
      <c r="L20" s="52">
        <f t="shared" si="1"/>
        <v>9.1856187165857112E-2</v>
      </c>
      <c r="M20" s="51">
        <v>50.22</v>
      </c>
      <c r="N20" s="51">
        <v>50.51</v>
      </c>
      <c r="O20" s="53">
        <v>8944</v>
      </c>
      <c r="P20" s="75">
        <v>-5.4000000000000003E-3</v>
      </c>
      <c r="Q20" s="75">
        <v>0.63890000000000002</v>
      </c>
      <c r="R20" s="80">
        <f t="shared" si="2"/>
        <v>6.9453975496231437E-3</v>
      </c>
      <c r="S20" s="80">
        <f t="shared" si="3"/>
        <v>3.775834658187554E-3</v>
      </c>
      <c r="T20" s="80">
        <f t="shared" si="4"/>
        <v>0</v>
      </c>
      <c r="U20" s="81">
        <f t="shared" si="5"/>
        <v>-6.8000000000000005E-3</v>
      </c>
      <c r="V20" s="82">
        <f t="shared" si="6"/>
        <v>-5.3999999999999604E-3</v>
      </c>
    </row>
    <row r="21" spans="1:22" ht="12.75" customHeight="1">
      <c r="A21" s="177">
        <v>16</v>
      </c>
      <c r="B21" s="170" t="s">
        <v>49</v>
      </c>
      <c r="C21" s="166" t="s">
        <v>50</v>
      </c>
      <c r="D21" s="51">
        <v>1630413977.48</v>
      </c>
      <c r="E21" s="52">
        <f t="shared" si="0"/>
        <v>2.0471873301237741E-2</v>
      </c>
      <c r="F21" s="51">
        <v>12434.55</v>
      </c>
      <c r="G21" s="51">
        <v>12594.42</v>
      </c>
      <c r="H21" s="53">
        <v>33</v>
      </c>
      <c r="I21" s="75">
        <v>1.1999999999999999E-3</v>
      </c>
      <c r="J21" s="75">
        <v>0.55279999999999996</v>
      </c>
      <c r="K21" s="51">
        <v>1679246768.96</v>
      </c>
      <c r="L21" s="52">
        <f t="shared" si="1"/>
        <v>2.0570396405251466E-2</v>
      </c>
      <c r="M21" s="51">
        <v>12766.58</v>
      </c>
      <c r="N21" s="51">
        <v>12931.54</v>
      </c>
      <c r="O21" s="53">
        <v>34</v>
      </c>
      <c r="P21" s="75">
        <v>2.6800000000000001E-2</v>
      </c>
      <c r="Q21" s="75">
        <v>5.4999999999999997E-3</v>
      </c>
      <c r="R21" s="80">
        <f t="shared" si="2"/>
        <v>2.995116096555854E-2</v>
      </c>
      <c r="S21" s="80">
        <f t="shared" si="3"/>
        <v>2.676740969413445E-2</v>
      </c>
      <c r="T21" s="80">
        <f t="shared" si="4"/>
        <v>3.0303030303030304E-2</v>
      </c>
      <c r="U21" s="81">
        <f t="shared" si="5"/>
        <v>2.5600000000000001E-2</v>
      </c>
      <c r="V21" s="82">
        <f t="shared" si="6"/>
        <v>-0.54730000000000001</v>
      </c>
    </row>
    <row r="22" spans="1:22">
      <c r="A22" s="177">
        <v>17</v>
      </c>
      <c r="B22" s="170" t="s">
        <v>51</v>
      </c>
      <c r="C22" s="166" t="s">
        <v>50</v>
      </c>
      <c r="D22" s="51">
        <v>24624734059.779999</v>
      </c>
      <c r="E22" s="52">
        <f t="shared" si="0"/>
        <v>0.30919413272429069</v>
      </c>
      <c r="F22" s="51">
        <v>41850.99</v>
      </c>
      <c r="G22" s="51">
        <v>42425.9</v>
      </c>
      <c r="H22" s="53">
        <v>20197</v>
      </c>
      <c r="I22" s="75">
        <v>1.2999999999999999E-3</v>
      </c>
      <c r="J22" s="75">
        <v>0.65069999999999995</v>
      </c>
      <c r="K22" s="51">
        <v>25355726400.57</v>
      </c>
      <c r="L22" s="52">
        <f t="shared" si="1"/>
        <v>0.31060196323965589</v>
      </c>
      <c r="M22" s="51">
        <v>42765.64</v>
      </c>
      <c r="N22" s="51">
        <v>43352</v>
      </c>
      <c r="O22" s="53">
        <v>20428</v>
      </c>
      <c r="P22" s="75">
        <v>2.18E-2</v>
      </c>
      <c r="Q22" s="75">
        <v>1.6999999999999999E-3</v>
      </c>
      <c r="R22" s="80">
        <f t="shared" si="2"/>
        <v>2.9685288743237365E-2</v>
      </c>
      <c r="S22" s="80">
        <f t="shared" si="3"/>
        <v>2.1828647123573065E-2</v>
      </c>
      <c r="T22" s="80">
        <f t="shared" si="4"/>
        <v>1.1437342179531613E-2</v>
      </c>
      <c r="U22" s="81">
        <f t="shared" si="5"/>
        <v>2.0500000000000001E-2</v>
      </c>
      <c r="V22" s="82">
        <f t="shared" si="6"/>
        <v>-0.64899999999999991</v>
      </c>
    </row>
    <row r="23" spans="1:22">
      <c r="A23" s="175">
        <v>18</v>
      </c>
      <c r="B23" s="166" t="s">
        <v>52</v>
      </c>
      <c r="C23" s="166" t="s">
        <v>53</v>
      </c>
      <c r="D23" s="51">
        <v>6410365662.3599997</v>
      </c>
      <c r="E23" s="52">
        <f t="shared" si="0"/>
        <v>8.0490105867022765E-2</v>
      </c>
      <c r="F23" s="51">
        <v>1.9103000000000001</v>
      </c>
      <c r="G23" s="59">
        <v>1.9300999999999999</v>
      </c>
      <c r="H23" s="53">
        <v>6462</v>
      </c>
      <c r="I23" s="75">
        <v>2E-3</v>
      </c>
      <c r="J23" s="75">
        <v>0.46579999999999999</v>
      </c>
      <c r="K23" s="51">
        <v>6478072525.6099997</v>
      </c>
      <c r="L23" s="52">
        <f t="shared" si="1"/>
        <v>7.9354935949226421E-2</v>
      </c>
      <c r="M23" s="51">
        <v>1.9234</v>
      </c>
      <c r="N23" s="59">
        <v>1.9435</v>
      </c>
      <c r="O23" s="53">
        <v>6797</v>
      </c>
      <c r="P23" s="75">
        <v>6.8999999999999999E-3</v>
      </c>
      <c r="Q23" s="75">
        <v>5.9999999999999995E-4</v>
      </c>
      <c r="R23" s="80">
        <f t="shared" ref="R23:R24" si="12">((K23-D23)/D23)</f>
        <v>1.0562090653822931E-2</v>
      </c>
      <c r="S23" s="80">
        <f t="shared" ref="S23:S24" si="13">((N23-G23)/G23)</f>
        <v>6.9426454587845597E-3</v>
      </c>
      <c r="T23" s="80">
        <f t="shared" ref="T23:T24" si="14">((O23-H23)/H23)</f>
        <v>5.1841535128443209E-2</v>
      </c>
      <c r="U23" s="81">
        <f t="shared" ref="U23:U24" si="15">P23-I23</f>
        <v>4.8999999999999998E-3</v>
      </c>
      <c r="V23" s="82">
        <f t="shared" ref="V23:V24" si="16">Q23-J23</f>
        <v>-0.4652</v>
      </c>
    </row>
    <row r="24" spans="1:22">
      <c r="A24" s="175">
        <v>19</v>
      </c>
      <c r="B24" s="170" t="s">
        <v>330</v>
      </c>
      <c r="C24" s="166" t="s">
        <v>126</v>
      </c>
      <c r="D24" s="51">
        <v>95389505.430000007</v>
      </c>
      <c r="E24" s="52">
        <f t="shared" si="0"/>
        <v>1.1977337635739476E-3</v>
      </c>
      <c r="F24" s="51">
        <v>1.01</v>
      </c>
      <c r="G24" s="59">
        <v>1.02</v>
      </c>
      <c r="H24" s="53">
        <v>63</v>
      </c>
      <c r="I24" s="75">
        <v>-8.3000000000000001E-3</v>
      </c>
      <c r="J24" s="75">
        <v>6.0000000000000001E-3</v>
      </c>
      <c r="K24" s="51">
        <v>99729407.930000007</v>
      </c>
      <c r="L24" s="52">
        <f t="shared" si="1"/>
        <v>1.2216628861829871E-3</v>
      </c>
      <c r="M24" s="51">
        <v>1.02</v>
      </c>
      <c r="N24" s="59">
        <v>1.04</v>
      </c>
      <c r="O24" s="53">
        <v>82</v>
      </c>
      <c r="P24" s="75">
        <v>1.9099999999999999E-2</v>
      </c>
      <c r="Q24" s="75">
        <v>8.5000000000000006E-3</v>
      </c>
      <c r="R24" s="80">
        <f t="shared" si="12"/>
        <v>4.5496645364041279E-2</v>
      </c>
      <c r="S24" s="80">
        <f t="shared" si="13"/>
        <v>1.9607843137254919E-2</v>
      </c>
      <c r="T24" s="80">
        <f t="shared" si="14"/>
        <v>0.30158730158730157</v>
      </c>
      <c r="U24" s="81">
        <f t="shared" si="15"/>
        <v>2.7400000000000001E-2</v>
      </c>
      <c r="V24" s="82">
        <f t="shared" si="16"/>
        <v>2.5000000000000005E-3</v>
      </c>
    </row>
    <row r="25" spans="1:22">
      <c r="A25" s="177">
        <v>20</v>
      </c>
      <c r="B25" s="166" t="s">
        <v>54</v>
      </c>
      <c r="C25" s="166" t="s">
        <v>55</v>
      </c>
      <c r="D25" s="51">
        <v>9606127026.0599995</v>
      </c>
      <c r="E25" s="52">
        <f>(D25/$D$26)</f>
        <v>0.1206168605700072</v>
      </c>
      <c r="F25" s="51">
        <v>211.82</v>
      </c>
      <c r="G25" s="59">
        <v>215.45</v>
      </c>
      <c r="H25" s="53">
        <v>77</v>
      </c>
      <c r="I25" s="75">
        <v>-5.0000000000000001E-3</v>
      </c>
      <c r="J25" s="75">
        <v>0.74070000000000003</v>
      </c>
      <c r="K25" s="51">
        <v>9541961799.5799999</v>
      </c>
      <c r="L25" s="52">
        <f t="shared" si="1"/>
        <v>0.11688689258142186</v>
      </c>
      <c r="M25" s="51">
        <v>212.56</v>
      </c>
      <c r="N25" s="59">
        <v>216.26</v>
      </c>
      <c r="O25" s="53">
        <v>78</v>
      </c>
      <c r="P25" s="75">
        <v>3.5999999999999999E-3</v>
      </c>
      <c r="Q25" s="75">
        <v>0.747</v>
      </c>
      <c r="R25" s="80">
        <f t="shared" si="2"/>
        <v>-6.6796146153313184E-3</v>
      </c>
      <c r="S25" s="80">
        <f t="shared" si="3"/>
        <v>3.7595729867718835E-3</v>
      </c>
      <c r="T25" s="80">
        <f t="shared" si="4"/>
        <v>1.2987012987012988E-2</v>
      </c>
      <c r="U25" s="81">
        <f t="shared" si="5"/>
        <v>8.6E-3</v>
      </c>
      <c r="V25" s="82">
        <f t="shared" si="6"/>
        <v>6.2999999999999723E-3</v>
      </c>
    </row>
    <row r="26" spans="1:22">
      <c r="A26" s="60"/>
      <c r="B26" s="61"/>
      <c r="C26" s="62" t="s">
        <v>56</v>
      </c>
      <c r="D26" s="63">
        <f>SUM(D6:D25)</f>
        <v>79641660217.847488</v>
      </c>
      <c r="E26" s="64">
        <f>(D26/$D$231)</f>
        <v>1.0380232602216289E-2</v>
      </c>
      <c r="F26" s="65"/>
      <c r="G26" s="66"/>
      <c r="H26" s="67">
        <f>SUM(H6:H25)</f>
        <v>62285</v>
      </c>
      <c r="I26" s="77"/>
      <c r="J26" s="53">
        <v>0</v>
      </c>
      <c r="K26" s="63">
        <f>SUM(K6:K25)</f>
        <v>81634147241.387192</v>
      </c>
      <c r="L26" s="64">
        <f>(K26/$K$231)</f>
        <v>1.0469430179138744E-2</v>
      </c>
      <c r="M26" s="65"/>
      <c r="N26" s="66"/>
      <c r="O26" s="67">
        <f>SUM(O6:O25)</f>
        <v>63294</v>
      </c>
      <c r="P26" s="77"/>
      <c r="Q26" s="67"/>
      <c r="R26" s="80">
        <f t="shared" si="2"/>
        <v>2.5018150275742144E-2</v>
      </c>
      <c r="S26" s="80" t="e">
        <f t="shared" si="3"/>
        <v>#DIV/0!</v>
      </c>
      <c r="T26" s="80">
        <f t="shared" si="4"/>
        <v>1.6199727061090151E-2</v>
      </c>
      <c r="U26" s="81">
        <f t="shared" si="5"/>
        <v>0</v>
      </c>
      <c r="V26" s="82">
        <f t="shared" si="6"/>
        <v>0</v>
      </c>
    </row>
    <row r="27" spans="1:22" ht="4.5" customHeight="1">
      <c r="A27" s="60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</row>
    <row r="28" spans="1:22" ht="15" customHeight="1">
      <c r="A28" s="196" t="s">
        <v>57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</row>
    <row r="29" spans="1:22">
      <c r="A29" s="173">
        <v>21</v>
      </c>
      <c r="B29" s="170" t="s">
        <v>58</v>
      </c>
      <c r="C29" s="166" t="s">
        <v>20</v>
      </c>
      <c r="D29" s="69">
        <v>5544693543.7200003</v>
      </c>
      <c r="E29" s="52">
        <f t="shared" ref="E29:E34" si="17">(D29/$K$72)</f>
        <v>1.1404851385828734E-3</v>
      </c>
      <c r="F29" s="59">
        <v>100</v>
      </c>
      <c r="G29" s="59">
        <v>100</v>
      </c>
      <c r="H29" s="53">
        <v>879</v>
      </c>
      <c r="I29" s="75">
        <v>0.1578</v>
      </c>
      <c r="J29" s="75">
        <v>0.1578</v>
      </c>
      <c r="K29" s="69">
        <v>5589965264.8800001</v>
      </c>
      <c r="L29" s="52">
        <f t="shared" ref="L29:L34" si="18">(K29/$K$72)</f>
        <v>1.1497970554226284E-3</v>
      </c>
      <c r="M29" s="59">
        <v>100</v>
      </c>
      <c r="N29" s="59">
        <v>100</v>
      </c>
      <c r="O29" s="53">
        <v>893</v>
      </c>
      <c r="P29" s="75">
        <v>0.15090000000000001</v>
      </c>
      <c r="Q29" s="75">
        <v>0.15090000000000001</v>
      </c>
      <c r="R29" s="80">
        <f>((K29-D29)/D29)</f>
        <v>8.1648734601888415E-3</v>
      </c>
      <c r="S29" s="80">
        <f>((N29-G29)/G29)</f>
        <v>0</v>
      </c>
      <c r="T29" s="80">
        <f>((O29-H29)/H29)</f>
        <v>1.5927189988623434E-2</v>
      </c>
      <c r="U29" s="80">
        <f>P29-I29</f>
        <v>-6.8999999999999895E-3</v>
      </c>
      <c r="V29" s="127">
        <f>Q29-J29</f>
        <v>-6.8999999999999895E-3</v>
      </c>
    </row>
    <row r="30" spans="1:22">
      <c r="A30" s="173">
        <v>22</v>
      </c>
      <c r="B30" s="170" t="s">
        <v>59</v>
      </c>
      <c r="C30" s="166" t="s">
        <v>60</v>
      </c>
      <c r="D30" s="69">
        <v>32558616842.720001</v>
      </c>
      <c r="E30" s="52">
        <f t="shared" si="17"/>
        <v>6.6969650079206147E-3</v>
      </c>
      <c r="F30" s="59">
        <v>100</v>
      </c>
      <c r="G30" s="59">
        <v>100</v>
      </c>
      <c r="H30" s="53">
        <v>3884</v>
      </c>
      <c r="I30" s="75">
        <v>0.186441</v>
      </c>
      <c r="J30" s="75">
        <v>0.186441</v>
      </c>
      <c r="K30" s="69">
        <v>33656959762.849998</v>
      </c>
      <c r="L30" s="52">
        <f t="shared" si="18"/>
        <v>6.9228825933739611E-3</v>
      </c>
      <c r="M30" s="59">
        <v>100</v>
      </c>
      <c r="N30" s="59">
        <v>100</v>
      </c>
      <c r="O30" s="53">
        <v>3905</v>
      </c>
      <c r="P30" s="75">
        <v>0.179865</v>
      </c>
      <c r="Q30" s="75">
        <v>0.1799</v>
      </c>
      <c r="R30" s="80">
        <f t="shared" ref="R30:R72" si="19">((K30-D30)/D30)</f>
        <v>3.3734323710240259E-2</v>
      </c>
      <c r="S30" s="80">
        <f t="shared" ref="S30:S72" si="20">((N30-G30)/G30)</f>
        <v>0</v>
      </c>
      <c r="T30" s="80">
        <f t="shared" ref="T30:T72" si="21">((O30-H30)/H30)</f>
        <v>5.4067971163748712E-3</v>
      </c>
      <c r="U30" s="81">
        <f t="shared" ref="U30:U72" si="22">P30-I30</f>
        <v>-6.5759999999999985E-3</v>
      </c>
      <c r="V30" s="82">
        <f t="shared" ref="V30:V72" si="23">Q30-J30</f>
        <v>-6.5409999999999913E-3</v>
      </c>
    </row>
    <row r="31" spans="1:22">
      <c r="A31" s="173">
        <v>23</v>
      </c>
      <c r="B31" s="170" t="s">
        <v>61</v>
      </c>
      <c r="C31" s="166" t="s">
        <v>22</v>
      </c>
      <c r="D31" s="69">
        <v>2870031041.29</v>
      </c>
      <c r="E31" s="52">
        <f t="shared" si="17"/>
        <v>5.9033519599475048E-4</v>
      </c>
      <c r="F31" s="59">
        <v>100</v>
      </c>
      <c r="G31" s="59">
        <v>100</v>
      </c>
      <c r="H31" s="53">
        <v>2311</v>
      </c>
      <c r="I31" s="75">
        <v>0.18379999999999999</v>
      </c>
      <c r="J31" s="75">
        <v>0.18379999999999999</v>
      </c>
      <c r="K31" s="69">
        <v>2915252438.3600001</v>
      </c>
      <c r="L31" s="52">
        <f t="shared" si="18"/>
        <v>5.9963676169854014E-4</v>
      </c>
      <c r="M31" s="59">
        <v>100</v>
      </c>
      <c r="N31" s="59">
        <v>100</v>
      </c>
      <c r="O31" s="53">
        <v>2320</v>
      </c>
      <c r="P31" s="75">
        <v>0.1754</v>
      </c>
      <c r="Q31" s="75">
        <v>0.1754</v>
      </c>
      <c r="R31" s="80">
        <f t="shared" si="19"/>
        <v>1.5756413927033485E-2</v>
      </c>
      <c r="S31" s="80">
        <f t="shared" si="20"/>
        <v>0</v>
      </c>
      <c r="T31" s="80">
        <f t="shared" si="21"/>
        <v>3.8944180008654264E-3</v>
      </c>
      <c r="U31" s="81">
        <f t="shared" si="22"/>
        <v>-8.3999999999999908E-3</v>
      </c>
      <c r="V31" s="82">
        <f t="shared" si="23"/>
        <v>-8.3999999999999908E-3</v>
      </c>
    </row>
    <row r="32" spans="1:22">
      <c r="A32" s="173">
        <v>24</v>
      </c>
      <c r="B32" s="170" t="s">
        <v>62</v>
      </c>
      <c r="C32" s="166" t="s">
        <v>24</v>
      </c>
      <c r="D32" s="69">
        <v>337737351357.10999</v>
      </c>
      <c r="E32" s="52">
        <f t="shared" si="17"/>
        <v>6.9469020592380901E-2</v>
      </c>
      <c r="F32" s="59">
        <v>1</v>
      </c>
      <c r="G32" s="59">
        <v>1</v>
      </c>
      <c r="H32" s="53">
        <v>77975</v>
      </c>
      <c r="I32" s="75">
        <v>0.18029999999999999</v>
      </c>
      <c r="J32" s="75">
        <v>0.18029999999999999</v>
      </c>
      <c r="K32" s="69">
        <v>335109098524.84003</v>
      </c>
      <c r="L32" s="52">
        <f t="shared" si="18"/>
        <v>6.8928416630772024E-2</v>
      </c>
      <c r="M32" s="59">
        <v>1</v>
      </c>
      <c r="N32" s="59">
        <v>1</v>
      </c>
      <c r="O32" s="53">
        <v>78282</v>
      </c>
      <c r="P32" s="75">
        <v>0.15559999999999999</v>
      </c>
      <c r="Q32" s="75">
        <v>0.15559999999999999</v>
      </c>
      <c r="R32" s="80">
        <f t="shared" si="19"/>
        <v>-7.7819430445255936E-3</v>
      </c>
      <c r="S32" s="80">
        <f t="shared" si="20"/>
        <v>0</v>
      </c>
      <c r="T32" s="80">
        <f t="shared" si="21"/>
        <v>3.9371593459442125E-3</v>
      </c>
      <c r="U32" s="81">
        <f t="shared" si="22"/>
        <v>-2.47E-2</v>
      </c>
      <c r="V32" s="82">
        <f t="shared" si="23"/>
        <v>-2.47E-2</v>
      </c>
    </row>
    <row r="33" spans="1:22">
      <c r="A33" s="173">
        <v>25</v>
      </c>
      <c r="B33" s="170" t="s">
        <v>63</v>
      </c>
      <c r="C33" s="166" t="s">
        <v>64</v>
      </c>
      <c r="D33" s="69">
        <v>1703433477.8199999</v>
      </c>
      <c r="E33" s="52">
        <f t="shared" si="17"/>
        <v>3.5037834836131287E-4</v>
      </c>
      <c r="F33" s="59">
        <v>1</v>
      </c>
      <c r="G33" s="59">
        <v>1</v>
      </c>
      <c r="H33" s="53">
        <v>300</v>
      </c>
      <c r="I33" s="75">
        <v>0.16439999999999999</v>
      </c>
      <c r="J33" s="75">
        <v>0.16439999999999999</v>
      </c>
      <c r="K33" s="69">
        <v>1816869971.3299999</v>
      </c>
      <c r="L33" s="52">
        <f t="shared" si="18"/>
        <v>3.7371104186384858E-4</v>
      </c>
      <c r="M33" s="59">
        <v>1</v>
      </c>
      <c r="N33" s="59">
        <v>1</v>
      </c>
      <c r="O33" s="53">
        <v>300</v>
      </c>
      <c r="P33" s="75">
        <v>0.16370000000000001</v>
      </c>
      <c r="Q33" s="75">
        <v>0.16370000000000001</v>
      </c>
      <c r="R33" s="80">
        <f t="shared" si="19"/>
        <v>6.6592852017428011E-2</v>
      </c>
      <c r="S33" s="80">
        <f t="shared" si="20"/>
        <v>0</v>
      </c>
      <c r="T33" s="80">
        <f t="shared" si="21"/>
        <v>0</v>
      </c>
      <c r="U33" s="81">
        <f t="shared" si="22"/>
        <v>-6.9999999999997842E-4</v>
      </c>
      <c r="V33" s="82">
        <f t="shared" si="23"/>
        <v>-6.9999999999997842E-4</v>
      </c>
    </row>
    <row r="34" spans="1:22">
      <c r="A34" s="173">
        <v>26</v>
      </c>
      <c r="B34" s="170" t="s">
        <v>65</v>
      </c>
      <c r="C34" s="166" t="s">
        <v>26</v>
      </c>
      <c r="D34" s="69">
        <v>162951607033.57999</v>
      </c>
      <c r="E34" s="52">
        <f t="shared" si="17"/>
        <v>3.351743151620775E-2</v>
      </c>
      <c r="F34" s="59">
        <v>1</v>
      </c>
      <c r="G34" s="59">
        <v>1</v>
      </c>
      <c r="H34" s="53">
        <v>37416</v>
      </c>
      <c r="I34" s="75">
        <v>0.15479999999999999</v>
      </c>
      <c r="J34" s="75">
        <v>0.15479999999999999</v>
      </c>
      <c r="K34" s="69">
        <v>166681565015.19</v>
      </c>
      <c r="L34" s="52">
        <f t="shared" si="18"/>
        <v>3.4284644638451975E-2</v>
      </c>
      <c r="M34" s="59">
        <v>1</v>
      </c>
      <c r="N34" s="59">
        <v>1</v>
      </c>
      <c r="O34" s="53">
        <v>37755</v>
      </c>
      <c r="P34" s="75">
        <v>0.14960000000000001</v>
      </c>
      <c r="Q34" s="75">
        <v>0.14960000000000001</v>
      </c>
      <c r="R34" s="80">
        <f t="shared" si="19"/>
        <v>2.288997359100221E-2</v>
      </c>
      <c r="S34" s="80">
        <f t="shared" si="20"/>
        <v>0</v>
      </c>
      <c r="T34" s="80">
        <f t="shared" si="21"/>
        <v>9.0602950609364984E-3</v>
      </c>
      <c r="U34" s="81">
        <f t="shared" si="22"/>
        <v>-5.1999999999999824E-3</v>
      </c>
      <c r="V34" s="82">
        <f t="shared" si="23"/>
        <v>-5.1999999999999824E-3</v>
      </c>
    </row>
    <row r="35" spans="1:22">
      <c r="A35" s="173">
        <v>27</v>
      </c>
      <c r="B35" s="170" t="s">
        <v>66</v>
      </c>
      <c r="C35" s="166" t="s">
        <v>28</v>
      </c>
      <c r="D35" s="51">
        <v>15590315073.360001</v>
      </c>
      <c r="E35" s="52">
        <f t="shared" ref="E35" si="24">(D35/$D$26)</f>
        <v>0.19575577694783228</v>
      </c>
      <c r="F35" s="51">
        <v>1</v>
      </c>
      <c r="G35" s="51">
        <v>1</v>
      </c>
      <c r="H35" s="53">
        <v>1397</v>
      </c>
      <c r="I35" s="75">
        <v>0.17660000000000001</v>
      </c>
      <c r="J35" s="75">
        <v>0.17660000000000001</v>
      </c>
      <c r="K35" s="51">
        <v>16255792963.379999</v>
      </c>
      <c r="L35" s="52">
        <f t="shared" ref="L35" si="25">(K35/$K$26)</f>
        <v>0.19912981898754464</v>
      </c>
      <c r="M35" s="51">
        <v>1</v>
      </c>
      <c r="N35" s="51">
        <v>1</v>
      </c>
      <c r="O35" s="53">
        <v>1397</v>
      </c>
      <c r="P35" s="75">
        <v>0.1774</v>
      </c>
      <c r="Q35" s="75">
        <v>0.1774</v>
      </c>
      <c r="R35" s="80">
        <f t="shared" si="19"/>
        <v>4.2685339384650155E-2</v>
      </c>
      <c r="S35" s="80">
        <f t="shared" si="20"/>
        <v>0</v>
      </c>
      <c r="T35" s="80">
        <f t="shared" si="21"/>
        <v>0</v>
      </c>
      <c r="U35" s="81">
        <f t="shared" si="22"/>
        <v>7.9999999999999516E-4</v>
      </c>
      <c r="V35" s="82">
        <f t="shared" si="23"/>
        <v>7.9999999999999516E-4</v>
      </c>
    </row>
    <row r="36" spans="1:22" ht="15" customHeight="1">
      <c r="A36" s="173">
        <v>28</v>
      </c>
      <c r="B36" s="170" t="s">
        <v>67</v>
      </c>
      <c r="C36" s="166" t="s">
        <v>48</v>
      </c>
      <c r="D36" s="69">
        <v>35846738192.849998</v>
      </c>
      <c r="E36" s="52">
        <f t="shared" ref="E36:E50" si="26">(D36/$K$72)</f>
        <v>7.3732969826476365E-3</v>
      </c>
      <c r="F36" s="59">
        <v>100</v>
      </c>
      <c r="G36" s="59">
        <v>100</v>
      </c>
      <c r="H36" s="53">
        <v>2083</v>
      </c>
      <c r="I36" s="75">
        <v>0.18559999999999999</v>
      </c>
      <c r="J36" s="75">
        <v>0.18559999999999999</v>
      </c>
      <c r="K36" s="69">
        <v>35994247673.669998</v>
      </c>
      <c r="L36" s="52">
        <f t="shared" ref="L36:L50" si="27">(K36/$K$72)</f>
        <v>7.4036381312338967E-3</v>
      </c>
      <c r="M36" s="59">
        <v>100</v>
      </c>
      <c r="N36" s="59">
        <v>100</v>
      </c>
      <c r="O36" s="53">
        <v>2083</v>
      </c>
      <c r="P36" s="75">
        <v>0.18820000000000001</v>
      </c>
      <c r="Q36" s="75">
        <v>0.18820000000000001</v>
      </c>
      <c r="R36" s="80">
        <f t="shared" si="19"/>
        <v>4.1150042725343972E-3</v>
      </c>
      <c r="S36" s="80">
        <f t="shared" si="20"/>
        <v>0</v>
      </c>
      <c r="T36" s="80">
        <f t="shared" si="21"/>
        <v>0</v>
      </c>
      <c r="U36" s="81">
        <f t="shared" si="22"/>
        <v>2.600000000000019E-3</v>
      </c>
      <c r="V36" s="82">
        <f t="shared" si="23"/>
        <v>2.600000000000019E-3</v>
      </c>
    </row>
    <row r="37" spans="1:22" ht="15" customHeight="1">
      <c r="A37" s="173">
        <v>29</v>
      </c>
      <c r="B37" s="170" t="s">
        <v>68</v>
      </c>
      <c r="C37" s="166" t="s">
        <v>69</v>
      </c>
      <c r="D37" s="69">
        <v>2324526191.46</v>
      </c>
      <c r="E37" s="52">
        <f t="shared" si="26"/>
        <v>4.781305864251843E-4</v>
      </c>
      <c r="F37" s="59">
        <v>1</v>
      </c>
      <c r="G37" s="59">
        <v>1</v>
      </c>
      <c r="H37" s="53">
        <v>574</v>
      </c>
      <c r="I37" s="75">
        <v>0.16439999999999999</v>
      </c>
      <c r="J37" s="75">
        <v>0.16439999999999999</v>
      </c>
      <c r="K37" s="69">
        <v>2079232532.4300001</v>
      </c>
      <c r="L37" s="52">
        <f t="shared" si="27"/>
        <v>4.2767626095048197E-4</v>
      </c>
      <c r="M37" s="59">
        <v>1</v>
      </c>
      <c r="N37" s="59">
        <v>1</v>
      </c>
      <c r="O37" s="53">
        <v>590</v>
      </c>
      <c r="P37" s="75">
        <v>0.16439999999999999</v>
      </c>
      <c r="Q37" s="75">
        <v>0.16439999999999999</v>
      </c>
      <c r="R37" s="80">
        <f t="shared" si="19"/>
        <v>-0.10552415366674561</v>
      </c>
      <c r="S37" s="80">
        <f t="shared" si="20"/>
        <v>0</v>
      </c>
      <c r="T37" s="80">
        <f t="shared" si="21"/>
        <v>2.7874564459930314E-2</v>
      </c>
      <c r="U37" s="81">
        <f t="shared" si="22"/>
        <v>0</v>
      </c>
      <c r="V37" s="82">
        <f t="shared" si="23"/>
        <v>0</v>
      </c>
    </row>
    <row r="38" spans="1:22">
      <c r="A38" s="173">
        <v>30</v>
      </c>
      <c r="B38" s="170" t="s">
        <v>70</v>
      </c>
      <c r="C38" s="166" t="s">
        <v>71</v>
      </c>
      <c r="D38" s="69">
        <v>84999434219.5</v>
      </c>
      <c r="E38" s="52">
        <f t="shared" si="26"/>
        <v>1.7483489529387716E-2</v>
      </c>
      <c r="F38" s="59">
        <v>100</v>
      </c>
      <c r="G38" s="59">
        <v>100</v>
      </c>
      <c r="H38" s="53">
        <v>5540</v>
      </c>
      <c r="I38" s="75">
        <v>0.1736</v>
      </c>
      <c r="J38" s="75">
        <v>0.1736</v>
      </c>
      <c r="K38" s="69">
        <v>90166846246.300003</v>
      </c>
      <c r="L38" s="52">
        <f t="shared" si="27"/>
        <v>1.8546371828477935E-2</v>
      </c>
      <c r="M38" s="59">
        <v>100</v>
      </c>
      <c r="N38" s="59">
        <v>100</v>
      </c>
      <c r="O38" s="53">
        <v>5540</v>
      </c>
      <c r="P38" s="75">
        <v>0.16200000000000001</v>
      </c>
      <c r="Q38" s="75">
        <v>0.16200000000000001</v>
      </c>
      <c r="R38" s="80">
        <f t="shared" si="19"/>
        <v>6.0793487324348923E-2</v>
      </c>
      <c r="S38" s="80">
        <f t="shared" si="20"/>
        <v>0</v>
      </c>
      <c r="T38" s="80">
        <f t="shared" si="21"/>
        <v>0</v>
      </c>
      <c r="U38" s="81">
        <f t="shared" si="22"/>
        <v>-1.1599999999999999E-2</v>
      </c>
      <c r="V38" s="82">
        <f t="shared" si="23"/>
        <v>-1.1599999999999999E-2</v>
      </c>
    </row>
    <row r="39" spans="1:22">
      <c r="A39" s="173">
        <v>31</v>
      </c>
      <c r="B39" s="170" t="s">
        <v>72</v>
      </c>
      <c r="C39" s="166" t="s">
        <v>73</v>
      </c>
      <c r="D39" s="69">
        <v>36881664008.470001</v>
      </c>
      <c r="E39" s="52">
        <f t="shared" si="26"/>
        <v>7.5861703367732609E-3</v>
      </c>
      <c r="F39" s="59">
        <v>100</v>
      </c>
      <c r="G39" s="59">
        <v>100</v>
      </c>
      <c r="H39" s="53">
        <v>5530</v>
      </c>
      <c r="I39" s="75">
        <v>0.1696</v>
      </c>
      <c r="J39" s="75">
        <v>0.1696</v>
      </c>
      <c r="K39" s="69">
        <v>37670303240.139999</v>
      </c>
      <c r="L39" s="52">
        <f t="shared" si="27"/>
        <v>7.7483851312124879E-3</v>
      </c>
      <c r="M39" s="59">
        <v>100</v>
      </c>
      <c r="N39" s="59">
        <v>100</v>
      </c>
      <c r="O39" s="53">
        <v>5528</v>
      </c>
      <c r="P39" s="75">
        <v>0.1656</v>
      </c>
      <c r="Q39" s="75">
        <v>0.1656</v>
      </c>
      <c r="R39" s="80">
        <f t="shared" si="19"/>
        <v>2.1382962316691689E-2</v>
      </c>
      <c r="S39" s="80">
        <f t="shared" si="20"/>
        <v>0</v>
      </c>
      <c r="T39" s="80">
        <f t="shared" si="21"/>
        <v>-3.6166365280289331E-4</v>
      </c>
      <c r="U39" s="81">
        <f t="shared" si="22"/>
        <v>-4.0000000000000036E-3</v>
      </c>
      <c r="V39" s="82">
        <f t="shared" si="23"/>
        <v>-4.0000000000000036E-3</v>
      </c>
    </row>
    <row r="40" spans="1:22">
      <c r="A40" s="173">
        <v>32</v>
      </c>
      <c r="B40" s="170" t="s">
        <v>74</v>
      </c>
      <c r="C40" s="166" t="s">
        <v>75</v>
      </c>
      <c r="D40" s="69">
        <v>67551658438.739998</v>
      </c>
      <c r="E40" s="52">
        <f t="shared" si="26"/>
        <v>1.3894665580439123E-2</v>
      </c>
      <c r="F40" s="59">
        <v>1</v>
      </c>
      <c r="G40" s="59">
        <v>1</v>
      </c>
      <c r="H40" s="53">
        <v>14053</v>
      </c>
      <c r="I40" s="75">
        <v>0.16220000000000001</v>
      </c>
      <c r="J40" s="75">
        <v>0.16220000000000001</v>
      </c>
      <c r="K40" s="69">
        <v>75059091845.479996</v>
      </c>
      <c r="L40" s="52">
        <f t="shared" si="27"/>
        <v>1.5438865663234526E-2</v>
      </c>
      <c r="M40" s="59">
        <v>1</v>
      </c>
      <c r="N40" s="59">
        <v>1</v>
      </c>
      <c r="O40" s="53">
        <v>13642</v>
      </c>
      <c r="P40" s="75">
        <v>0.16189999999999999</v>
      </c>
      <c r="Q40" s="75">
        <v>0.16189999999999999</v>
      </c>
      <c r="R40" s="80">
        <f t="shared" si="19"/>
        <v>0.11113618200133756</v>
      </c>
      <c r="S40" s="80">
        <f t="shared" si="20"/>
        <v>0</v>
      </c>
      <c r="T40" s="80">
        <f t="shared" si="21"/>
        <v>-2.9246424251049598E-2</v>
      </c>
      <c r="U40" s="81">
        <f t="shared" si="22"/>
        <v>-3.0000000000002247E-4</v>
      </c>
      <c r="V40" s="82">
        <f t="shared" si="23"/>
        <v>-3.0000000000002247E-4</v>
      </c>
    </row>
    <row r="41" spans="1:22">
      <c r="A41" s="173">
        <v>33</v>
      </c>
      <c r="B41" s="170" t="s">
        <v>76</v>
      </c>
      <c r="C41" s="166" t="s">
        <v>77</v>
      </c>
      <c r="D41" s="69">
        <v>832728592.36000001</v>
      </c>
      <c r="E41" s="52">
        <v>0</v>
      </c>
      <c r="F41" s="59">
        <v>1000</v>
      </c>
      <c r="G41" s="59">
        <v>1000</v>
      </c>
      <c r="H41" s="53">
        <v>53</v>
      </c>
      <c r="I41" s="75">
        <v>0.18440000000000001</v>
      </c>
      <c r="J41" s="75">
        <v>0.18440000000000001</v>
      </c>
      <c r="K41" s="69">
        <v>830439324.23000002</v>
      </c>
      <c r="L41" s="52">
        <f t="shared" si="27"/>
        <v>1.7081263379322786E-4</v>
      </c>
      <c r="M41" s="59">
        <v>1000</v>
      </c>
      <c r="N41" s="59">
        <v>1000</v>
      </c>
      <c r="O41" s="53">
        <v>53</v>
      </c>
      <c r="P41" s="75">
        <v>0.191</v>
      </c>
      <c r="Q41" s="75">
        <v>0.191</v>
      </c>
      <c r="R41" s="80">
        <f t="shared" si="19"/>
        <v>-2.7491167602544781E-3</v>
      </c>
      <c r="S41" s="80">
        <f t="shared" si="20"/>
        <v>0</v>
      </c>
      <c r="T41" s="80">
        <f t="shared" si="21"/>
        <v>0</v>
      </c>
      <c r="U41" s="81">
        <f t="shared" si="22"/>
        <v>6.5999999999999948E-3</v>
      </c>
      <c r="V41" s="82">
        <f t="shared" si="23"/>
        <v>6.5999999999999948E-3</v>
      </c>
    </row>
    <row r="42" spans="1:22">
      <c r="A42" s="173">
        <v>34</v>
      </c>
      <c r="B42" s="170" t="s">
        <v>78</v>
      </c>
      <c r="C42" s="166" t="s">
        <v>79</v>
      </c>
      <c r="D42" s="69">
        <v>85867428789.380005</v>
      </c>
      <c r="E42" s="52">
        <f t="shared" si="26"/>
        <v>1.7662026882176128E-2</v>
      </c>
      <c r="F42" s="70">
        <v>100</v>
      </c>
      <c r="G42" s="70">
        <v>100</v>
      </c>
      <c r="H42" s="53">
        <v>4546</v>
      </c>
      <c r="I42" s="75">
        <v>0.19589999999999999</v>
      </c>
      <c r="J42" s="75">
        <v>0.19589999999999999</v>
      </c>
      <c r="K42" s="69">
        <v>86702467845.309998</v>
      </c>
      <c r="L42" s="52">
        <f t="shared" si="27"/>
        <v>1.7833785632396522E-2</v>
      </c>
      <c r="M42" s="70">
        <v>100</v>
      </c>
      <c r="N42" s="70">
        <v>100</v>
      </c>
      <c r="O42" s="53">
        <v>4546</v>
      </c>
      <c r="P42" s="75">
        <v>0.1623</v>
      </c>
      <c r="Q42" s="75">
        <v>0.1623</v>
      </c>
      <c r="R42" s="80">
        <f t="shared" si="19"/>
        <v>9.724747412411975E-3</v>
      </c>
      <c r="S42" s="80">
        <f t="shared" si="20"/>
        <v>0</v>
      </c>
      <c r="T42" s="80">
        <f t="shared" si="21"/>
        <v>0</v>
      </c>
      <c r="U42" s="81">
        <f t="shared" si="22"/>
        <v>-3.3599999999999991E-2</v>
      </c>
      <c r="V42" s="82">
        <f t="shared" si="23"/>
        <v>-3.3599999999999991E-2</v>
      </c>
    </row>
    <row r="43" spans="1:22">
      <c r="A43" s="173">
        <v>35</v>
      </c>
      <c r="B43" s="170" t="s">
        <v>80</v>
      </c>
      <c r="C43" s="166" t="s">
        <v>79</v>
      </c>
      <c r="D43" s="69">
        <v>11402966670.17</v>
      </c>
      <c r="E43" s="52">
        <f t="shared" si="26"/>
        <v>2.3454702988615615E-3</v>
      </c>
      <c r="F43" s="70">
        <v>1000000</v>
      </c>
      <c r="G43" s="70">
        <v>1000000</v>
      </c>
      <c r="H43" s="53">
        <v>45</v>
      </c>
      <c r="I43" s="75">
        <v>0.19980000000000001</v>
      </c>
      <c r="J43" s="75">
        <v>0.19980000000000001</v>
      </c>
      <c r="K43" s="69">
        <v>11473777179.200001</v>
      </c>
      <c r="L43" s="52">
        <f t="shared" si="27"/>
        <v>2.3600352757295203E-3</v>
      </c>
      <c r="M43" s="70">
        <v>1000000</v>
      </c>
      <c r="N43" s="70">
        <v>1000000</v>
      </c>
      <c r="O43" s="53">
        <v>45</v>
      </c>
      <c r="P43" s="75">
        <v>0.16619999999999999</v>
      </c>
      <c r="Q43" s="75">
        <v>0.16619999999999999</v>
      </c>
      <c r="R43" s="80">
        <f t="shared" si="19"/>
        <v>6.2098321496668035E-3</v>
      </c>
      <c r="S43" s="80">
        <f t="shared" si="20"/>
        <v>0</v>
      </c>
      <c r="T43" s="80">
        <f t="shared" si="21"/>
        <v>0</v>
      </c>
      <c r="U43" s="81">
        <f t="shared" si="22"/>
        <v>-3.3600000000000019E-2</v>
      </c>
      <c r="V43" s="82">
        <f t="shared" si="23"/>
        <v>-3.3600000000000019E-2</v>
      </c>
    </row>
    <row r="44" spans="1:22">
      <c r="A44" s="173">
        <v>36</v>
      </c>
      <c r="B44" s="170" t="s">
        <v>81</v>
      </c>
      <c r="C44" s="166" t="s">
        <v>82</v>
      </c>
      <c r="D44" s="69">
        <v>7098202502.8999996</v>
      </c>
      <c r="E44" s="52">
        <f t="shared" si="26"/>
        <v>1.4600255904815812E-3</v>
      </c>
      <c r="F44" s="59">
        <v>1</v>
      </c>
      <c r="G44" s="59">
        <v>1</v>
      </c>
      <c r="H44" s="53">
        <v>1126</v>
      </c>
      <c r="I44" s="75">
        <v>0.18690000000000001</v>
      </c>
      <c r="J44" s="75">
        <v>0.18690000000000001</v>
      </c>
      <c r="K44" s="69">
        <v>7226331658</v>
      </c>
      <c r="L44" s="52">
        <f t="shared" si="27"/>
        <v>1.486380409924441E-3</v>
      </c>
      <c r="M44" s="59">
        <v>1</v>
      </c>
      <c r="N44" s="59">
        <v>1</v>
      </c>
      <c r="O44" s="53">
        <v>1052</v>
      </c>
      <c r="P44" s="75">
        <v>0.1958</v>
      </c>
      <c r="Q44" s="75">
        <v>0.1958</v>
      </c>
      <c r="R44" s="80">
        <f t="shared" si="19"/>
        <v>1.805092980196785E-2</v>
      </c>
      <c r="S44" s="80">
        <f t="shared" si="20"/>
        <v>0</v>
      </c>
      <c r="T44" s="80">
        <f t="shared" si="21"/>
        <v>-6.5719360568383664E-2</v>
      </c>
      <c r="U44" s="81">
        <f t="shared" si="22"/>
        <v>8.8999999999999913E-3</v>
      </c>
      <c r="V44" s="82">
        <f t="shared" si="23"/>
        <v>8.8999999999999913E-3</v>
      </c>
    </row>
    <row r="45" spans="1:22">
      <c r="A45" s="173">
        <v>37</v>
      </c>
      <c r="B45" s="170" t="s">
        <v>83</v>
      </c>
      <c r="C45" s="166" t="s">
        <v>84</v>
      </c>
      <c r="D45" s="69">
        <v>686953665927.29004</v>
      </c>
      <c r="E45" s="52">
        <f t="shared" si="26"/>
        <v>0.14129914317310771</v>
      </c>
      <c r="F45" s="59">
        <v>100</v>
      </c>
      <c r="G45" s="59">
        <v>100</v>
      </c>
      <c r="H45" s="53">
        <v>33128</v>
      </c>
      <c r="I45" s="75">
        <v>0.16900000000000001</v>
      </c>
      <c r="J45" s="75">
        <v>0.16900000000000001</v>
      </c>
      <c r="K45" s="69">
        <v>720470035465.21997</v>
      </c>
      <c r="L45" s="52">
        <f t="shared" si="27"/>
        <v>0.14819310783605197</v>
      </c>
      <c r="M45" s="59">
        <v>100</v>
      </c>
      <c r="N45" s="59">
        <v>100</v>
      </c>
      <c r="O45" s="53">
        <v>33128</v>
      </c>
      <c r="P45" s="75">
        <v>0.16500000000000001</v>
      </c>
      <c r="Q45" s="75">
        <v>0.16500000000000001</v>
      </c>
      <c r="R45" s="80">
        <f t="shared" si="19"/>
        <v>4.8789854687925106E-2</v>
      </c>
      <c r="S45" s="80">
        <f t="shared" si="20"/>
        <v>0</v>
      </c>
      <c r="T45" s="80">
        <f t="shared" si="21"/>
        <v>0</v>
      </c>
      <c r="U45" s="81">
        <f t="shared" si="22"/>
        <v>-4.0000000000000036E-3</v>
      </c>
      <c r="V45" s="82">
        <f t="shared" si="23"/>
        <v>-4.0000000000000036E-3</v>
      </c>
    </row>
    <row r="46" spans="1:22">
      <c r="A46" s="173">
        <v>38</v>
      </c>
      <c r="B46" s="170" t="s">
        <v>85</v>
      </c>
      <c r="C46" s="166" t="s">
        <v>86</v>
      </c>
      <c r="D46" s="69">
        <v>4221121845.48</v>
      </c>
      <c r="E46" s="52">
        <f t="shared" si="26"/>
        <v>8.6824036260218585E-4</v>
      </c>
      <c r="F46" s="59">
        <v>1</v>
      </c>
      <c r="G46" s="59">
        <v>1</v>
      </c>
      <c r="H46" s="71">
        <v>1793</v>
      </c>
      <c r="I46" s="78">
        <v>0.18709999999999999</v>
      </c>
      <c r="J46" s="78">
        <v>0.18709999999999999</v>
      </c>
      <c r="K46" s="69">
        <v>4463644811.0200005</v>
      </c>
      <c r="L46" s="52">
        <f t="shared" si="27"/>
        <v>9.1812478557028491E-4</v>
      </c>
      <c r="M46" s="59">
        <v>1</v>
      </c>
      <c r="N46" s="59">
        <v>1</v>
      </c>
      <c r="O46" s="71">
        <v>1805</v>
      </c>
      <c r="P46" s="78">
        <v>0.1799</v>
      </c>
      <c r="Q46" s="78">
        <v>0.1799</v>
      </c>
      <c r="R46" s="80">
        <f t="shared" si="19"/>
        <v>5.7454623301077021E-2</v>
      </c>
      <c r="S46" s="80">
        <f t="shared" si="20"/>
        <v>0</v>
      </c>
      <c r="T46" s="80">
        <f t="shared" si="21"/>
        <v>6.6926938092582268E-3</v>
      </c>
      <c r="U46" s="81">
        <f t="shared" si="22"/>
        <v>-7.1999999999999842E-3</v>
      </c>
      <c r="V46" s="82">
        <f t="shared" si="23"/>
        <v>-7.1999999999999842E-3</v>
      </c>
    </row>
    <row r="47" spans="1:22">
      <c r="A47" s="173">
        <v>39</v>
      </c>
      <c r="B47" s="170" t="s">
        <v>87</v>
      </c>
      <c r="C47" s="166" t="s">
        <v>88</v>
      </c>
      <c r="D47" s="69">
        <v>3544312292.8699999</v>
      </c>
      <c r="E47" s="52">
        <f t="shared" si="26"/>
        <v>7.2902775683484212E-4</v>
      </c>
      <c r="F47" s="59">
        <v>1</v>
      </c>
      <c r="G47" s="59">
        <v>1</v>
      </c>
      <c r="H47" s="71">
        <v>481</v>
      </c>
      <c r="I47" s="78">
        <v>0.1699</v>
      </c>
      <c r="J47" s="78">
        <v>0.1699</v>
      </c>
      <c r="K47" s="69">
        <v>3800474041.5599999</v>
      </c>
      <c r="L47" s="52">
        <f t="shared" si="27"/>
        <v>7.8171753403366269E-4</v>
      </c>
      <c r="M47" s="59">
        <v>1</v>
      </c>
      <c r="N47" s="59">
        <v>1</v>
      </c>
      <c r="O47" s="71">
        <v>578</v>
      </c>
      <c r="P47" s="78">
        <v>0.1661</v>
      </c>
      <c r="Q47" s="78">
        <v>0.1661</v>
      </c>
      <c r="R47" s="80">
        <f t="shared" si="19"/>
        <v>7.2274034431253117E-2</v>
      </c>
      <c r="S47" s="80">
        <f t="shared" si="20"/>
        <v>0</v>
      </c>
      <c r="T47" s="80">
        <f t="shared" si="21"/>
        <v>0.20166320166320167</v>
      </c>
      <c r="U47" s="81">
        <f t="shared" si="22"/>
        <v>-3.7999999999999978E-3</v>
      </c>
      <c r="V47" s="82">
        <f t="shared" si="23"/>
        <v>-3.7999999999999978E-3</v>
      </c>
    </row>
    <row r="48" spans="1:22">
      <c r="A48" s="173">
        <v>40</v>
      </c>
      <c r="B48" s="170" t="s">
        <v>89</v>
      </c>
      <c r="C48" s="166" t="s">
        <v>90</v>
      </c>
      <c r="D48" s="69">
        <v>8699839.0099999998</v>
      </c>
      <c r="E48" s="52">
        <f t="shared" si="26"/>
        <v>1.7894653727447894E-6</v>
      </c>
      <c r="F48" s="59">
        <v>1</v>
      </c>
      <c r="G48" s="59">
        <v>1</v>
      </c>
      <c r="H48" s="71">
        <v>23</v>
      </c>
      <c r="I48" s="78">
        <v>0</v>
      </c>
      <c r="J48" s="78">
        <v>0</v>
      </c>
      <c r="K48" s="69">
        <v>7254952.04</v>
      </c>
      <c r="L48" s="52">
        <f t="shared" si="27"/>
        <v>1.4922673214506036E-6</v>
      </c>
      <c r="M48" s="59">
        <v>1</v>
      </c>
      <c r="N48" s="59">
        <v>1</v>
      </c>
      <c r="O48" s="71">
        <v>21</v>
      </c>
      <c r="P48" s="78">
        <v>0.02</v>
      </c>
      <c r="Q48" s="78">
        <v>0.02</v>
      </c>
      <c r="R48" s="80">
        <f t="shared" si="19"/>
        <v>-0.16608203535021504</v>
      </c>
      <c r="S48" s="80">
        <f t="shared" si="20"/>
        <v>0</v>
      </c>
      <c r="T48" s="80">
        <f t="shared" si="21"/>
        <v>-8.6956521739130432E-2</v>
      </c>
      <c r="U48" s="81">
        <f t="shared" si="22"/>
        <v>0.02</v>
      </c>
      <c r="V48" s="82">
        <f t="shared" si="23"/>
        <v>0.02</v>
      </c>
    </row>
    <row r="49" spans="1:22">
      <c r="A49" s="173">
        <v>41</v>
      </c>
      <c r="B49" s="170" t="s">
        <v>91</v>
      </c>
      <c r="C49" s="166" t="s">
        <v>92</v>
      </c>
      <c r="D49" s="69">
        <v>1822606676.5599999</v>
      </c>
      <c r="E49" s="52">
        <f t="shared" si="26"/>
        <v>3.7489102178657236E-4</v>
      </c>
      <c r="F49" s="59">
        <v>10</v>
      </c>
      <c r="G49" s="59">
        <v>10</v>
      </c>
      <c r="H49" s="53">
        <v>531</v>
      </c>
      <c r="I49" s="75">
        <v>0.18029999999999999</v>
      </c>
      <c r="J49" s="75">
        <v>0.18029999999999999</v>
      </c>
      <c r="K49" s="69">
        <v>2025671145.22</v>
      </c>
      <c r="L49" s="52">
        <f t="shared" si="27"/>
        <v>4.166592470013387E-4</v>
      </c>
      <c r="M49" s="59">
        <v>10</v>
      </c>
      <c r="N49" s="59">
        <v>10</v>
      </c>
      <c r="O49" s="53">
        <v>534</v>
      </c>
      <c r="P49" s="75">
        <v>0.17269999999999999</v>
      </c>
      <c r="Q49" s="75">
        <v>0.17269999999999999</v>
      </c>
      <c r="R49" s="80">
        <f t="shared" si="19"/>
        <v>0.11141431185979485</v>
      </c>
      <c r="S49" s="80">
        <f t="shared" si="20"/>
        <v>0</v>
      </c>
      <c r="T49" s="80">
        <f t="shared" si="21"/>
        <v>5.6497175141242938E-3</v>
      </c>
      <c r="U49" s="81">
        <f t="shared" si="22"/>
        <v>-7.5999999999999956E-3</v>
      </c>
      <c r="V49" s="82">
        <f t="shared" si="23"/>
        <v>-7.5999999999999956E-3</v>
      </c>
    </row>
    <row r="50" spans="1:22">
      <c r="A50" s="173">
        <v>42</v>
      </c>
      <c r="B50" s="170" t="s">
        <v>93</v>
      </c>
      <c r="C50" s="166" t="s">
        <v>94</v>
      </c>
      <c r="D50" s="69">
        <v>9660702649.0300007</v>
      </c>
      <c r="E50" s="52">
        <f t="shared" si="26"/>
        <v>1.9871049161889081E-3</v>
      </c>
      <c r="F50" s="59">
        <v>100</v>
      </c>
      <c r="G50" s="59">
        <v>100</v>
      </c>
      <c r="H50" s="53">
        <v>995</v>
      </c>
      <c r="I50" s="75">
        <v>0.16289999999999999</v>
      </c>
      <c r="J50" s="75">
        <v>0.16289999999999999</v>
      </c>
      <c r="K50" s="69">
        <v>10119348380.639999</v>
      </c>
      <c r="L50" s="52">
        <f t="shared" si="27"/>
        <v>2.0814435187917735E-3</v>
      </c>
      <c r="M50" s="59">
        <v>100</v>
      </c>
      <c r="N50" s="59">
        <v>100</v>
      </c>
      <c r="O50" s="53">
        <v>1924</v>
      </c>
      <c r="P50" s="75">
        <v>0.18590000000000001</v>
      </c>
      <c r="Q50" s="75">
        <v>0.18590000000000001</v>
      </c>
      <c r="R50" s="80">
        <f t="shared" si="19"/>
        <v>4.7475400938465882E-2</v>
      </c>
      <c r="S50" s="80">
        <f t="shared" si="20"/>
        <v>0</v>
      </c>
      <c r="T50" s="80">
        <f t="shared" si="21"/>
        <v>0.93366834170854274</v>
      </c>
      <c r="U50" s="81">
        <f t="shared" si="22"/>
        <v>2.300000000000002E-2</v>
      </c>
      <c r="V50" s="82">
        <f t="shared" si="23"/>
        <v>2.300000000000002E-2</v>
      </c>
    </row>
    <row r="51" spans="1:22">
      <c r="A51" s="173">
        <v>43</v>
      </c>
      <c r="B51" s="170" t="s">
        <v>95</v>
      </c>
      <c r="C51" s="170" t="s">
        <v>96</v>
      </c>
      <c r="D51" s="72">
        <v>124728308.11</v>
      </c>
      <c r="E51" s="52">
        <f>(D51/$D$197)</f>
        <v>1.4935076270825597E-3</v>
      </c>
      <c r="F51" s="51">
        <v>1</v>
      </c>
      <c r="G51" s="51">
        <v>1</v>
      </c>
      <c r="H51" s="53">
        <v>119</v>
      </c>
      <c r="I51" s="75">
        <v>0.15770000000000001</v>
      </c>
      <c r="J51" s="75">
        <v>0.15770000000000001</v>
      </c>
      <c r="K51" s="72">
        <v>124878594.63</v>
      </c>
      <c r="L51" s="79">
        <f>(K51/$K$197)</f>
        <v>1.484912057865461E-3</v>
      </c>
      <c r="M51" s="51">
        <v>1</v>
      </c>
      <c r="N51" s="51">
        <v>1</v>
      </c>
      <c r="O51" s="53">
        <v>119</v>
      </c>
      <c r="P51" s="75">
        <v>0.15909999999999999</v>
      </c>
      <c r="Q51" s="75">
        <v>0.15909999999999999</v>
      </c>
      <c r="R51" s="81">
        <f t="shared" si="19"/>
        <v>1.2049110765413062E-3</v>
      </c>
      <c r="S51" s="81">
        <f t="shared" si="20"/>
        <v>0</v>
      </c>
      <c r="T51" s="81">
        <f t="shared" si="21"/>
        <v>0</v>
      </c>
      <c r="U51" s="81">
        <f t="shared" si="22"/>
        <v>1.3999999999999846E-3</v>
      </c>
      <c r="V51" s="82">
        <f t="shared" si="23"/>
        <v>1.3999999999999846E-3</v>
      </c>
    </row>
    <row r="52" spans="1:22">
      <c r="A52" s="173">
        <v>44</v>
      </c>
      <c r="B52" s="170" t="s">
        <v>97</v>
      </c>
      <c r="C52" s="166" t="s">
        <v>38</v>
      </c>
      <c r="D52" s="69">
        <v>835835127.79999995</v>
      </c>
      <c r="E52" s="52">
        <f t="shared" ref="E52" si="28">(D52/$K$72)</f>
        <v>1.7192249383035603E-4</v>
      </c>
      <c r="F52" s="59">
        <v>100</v>
      </c>
      <c r="G52" s="59">
        <v>100</v>
      </c>
      <c r="H52" s="53">
        <v>5179</v>
      </c>
      <c r="I52" s="75">
        <v>0.14779999999999999</v>
      </c>
      <c r="J52" s="75">
        <v>0.14779999999999999</v>
      </c>
      <c r="K52" s="69">
        <v>941153353.60000002</v>
      </c>
      <c r="L52" s="52">
        <f t="shared" ref="L52" si="29">(K52/$K$72)</f>
        <v>1.9358534505914179E-4</v>
      </c>
      <c r="M52" s="59">
        <v>100</v>
      </c>
      <c r="N52" s="59">
        <v>100</v>
      </c>
      <c r="O52" s="53">
        <v>5499</v>
      </c>
      <c r="P52" s="75">
        <v>0.13880000000000001</v>
      </c>
      <c r="Q52" s="75">
        <v>0.13880000000000001</v>
      </c>
      <c r="R52" s="80">
        <f t="shared" ref="R52" si="30">((K52-D52)/D52)</f>
        <v>0.12600358886232502</v>
      </c>
      <c r="S52" s="80">
        <f t="shared" ref="S52" si="31">((N52-G52)/G52)</f>
        <v>0</v>
      </c>
      <c r="T52" s="80">
        <f t="shared" ref="T52" si="32">((O52-H52)/H52)</f>
        <v>6.1787989959451631E-2</v>
      </c>
      <c r="U52" s="81">
        <f t="shared" ref="U52" si="33">P52-I52</f>
        <v>-8.9999999999999802E-3</v>
      </c>
      <c r="V52" s="82">
        <f t="shared" ref="V52" si="34">Q52-J52</f>
        <v>-8.9999999999999802E-3</v>
      </c>
    </row>
    <row r="53" spans="1:22">
      <c r="A53" s="173">
        <v>45</v>
      </c>
      <c r="B53" s="170" t="s">
        <v>98</v>
      </c>
      <c r="C53" s="166" t="s">
        <v>38</v>
      </c>
      <c r="D53" s="69">
        <v>263631982852.29999</v>
      </c>
      <c r="E53" s="52">
        <f t="shared" ref="E53:E71" si="35">(D53/$K$72)</f>
        <v>5.4226325788325008E-2</v>
      </c>
      <c r="F53" s="59">
        <v>100</v>
      </c>
      <c r="G53" s="59">
        <v>100</v>
      </c>
      <c r="H53" s="53">
        <v>25154</v>
      </c>
      <c r="I53" s="75">
        <v>0.17510000000000001</v>
      </c>
      <c r="J53" s="75">
        <v>0.17510000000000001</v>
      </c>
      <c r="K53" s="69">
        <v>264865722747.38</v>
      </c>
      <c r="L53" s="52">
        <f t="shared" ref="L53:L71" si="36">(K53/$K$72)</f>
        <v>5.4480093107315837E-2</v>
      </c>
      <c r="M53" s="59">
        <v>100</v>
      </c>
      <c r="N53" s="59">
        <v>100</v>
      </c>
      <c r="O53" s="53">
        <v>27323</v>
      </c>
      <c r="P53" s="75">
        <v>0.17580000000000001</v>
      </c>
      <c r="Q53" s="75">
        <v>0.17580000000000001</v>
      </c>
      <c r="R53" s="80">
        <f t="shared" si="19"/>
        <v>4.6797808131315418E-3</v>
      </c>
      <c r="S53" s="80">
        <f t="shared" si="20"/>
        <v>0</v>
      </c>
      <c r="T53" s="80">
        <f t="shared" si="21"/>
        <v>8.622883040470701E-2</v>
      </c>
      <c r="U53" s="81">
        <f t="shared" si="22"/>
        <v>7.0000000000000617E-4</v>
      </c>
      <c r="V53" s="82">
        <f t="shared" si="23"/>
        <v>7.0000000000000617E-4</v>
      </c>
    </row>
    <row r="54" spans="1:22">
      <c r="A54" s="173">
        <v>46</v>
      </c>
      <c r="B54" s="170" t="s">
        <v>99</v>
      </c>
      <c r="C54" s="166" t="s">
        <v>42</v>
      </c>
      <c r="D54" s="69">
        <v>47200604820.150002</v>
      </c>
      <c r="E54" s="52">
        <f t="shared" si="35"/>
        <v>9.708667919162934E-3</v>
      </c>
      <c r="F54" s="59">
        <v>1</v>
      </c>
      <c r="G54" s="59">
        <v>1</v>
      </c>
      <c r="H54" s="53">
        <v>2847</v>
      </c>
      <c r="I54" s="75">
        <v>0.1754</v>
      </c>
      <c r="J54" s="75">
        <v>0.1754</v>
      </c>
      <c r="K54" s="69">
        <v>49400893990.550003</v>
      </c>
      <c r="L54" s="52">
        <f t="shared" si="36"/>
        <v>1.0161244257176821E-2</v>
      </c>
      <c r="M54" s="59">
        <v>1</v>
      </c>
      <c r="N54" s="59">
        <v>1</v>
      </c>
      <c r="O54" s="53">
        <v>2922</v>
      </c>
      <c r="P54" s="75">
        <v>0.17399999999999999</v>
      </c>
      <c r="Q54" s="75">
        <v>0.17399999999999999</v>
      </c>
      <c r="R54" s="80">
        <f t="shared" si="19"/>
        <v>4.6615698650130329E-2</v>
      </c>
      <c r="S54" s="80">
        <f t="shared" si="20"/>
        <v>0</v>
      </c>
      <c r="T54" s="80">
        <f t="shared" si="21"/>
        <v>2.6343519494204427E-2</v>
      </c>
      <c r="U54" s="81">
        <f t="shared" si="22"/>
        <v>-1.4000000000000123E-3</v>
      </c>
      <c r="V54" s="82">
        <f t="shared" si="23"/>
        <v>-1.4000000000000123E-3</v>
      </c>
    </row>
    <row r="55" spans="1:22">
      <c r="A55" s="173">
        <v>47</v>
      </c>
      <c r="B55" s="170" t="s">
        <v>100</v>
      </c>
      <c r="C55" s="166" t="s">
        <v>101</v>
      </c>
      <c r="D55" s="69">
        <v>4838083615.5939999</v>
      </c>
      <c r="E55" s="52">
        <f t="shared" si="35"/>
        <v>9.9514290903520699E-4</v>
      </c>
      <c r="F55" s="59">
        <v>100</v>
      </c>
      <c r="G55" s="59">
        <v>100</v>
      </c>
      <c r="H55" s="53">
        <v>959</v>
      </c>
      <c r="I55" s="75">
        <v>0.17230000000000001</v>
      </c>
      <c r="J55" s="75">
        <v>0.17230000000000001</v>
      </c>
      <c r="K55" s="69">
        <v>4947215400.5640001</v>
      </c>
      <c r="L55" s="52">
        <f t="shared" si="36"/>
        <v>1.0175901692713071E-3</v>
      </c>
      <c r="M55" s="59">
        <v>100</v>
      </c>
      <c r="N55" s="59">
        <v>100</v>
      </c>
      <c r="O55" s="53">
        <v>936</v>
      </c>
      <c r="P55" s="75">
        <v>0.18579999999999999</v>
      </c>
      <c r="Q55" s="75">
        <v>0.18579999999999999</v>
      </c>
      <c r="R55" s="80">
        <f t="shared" si="19"/>
        <v>2.2556820766439258E-2</v>
      </c>
      <c r="S55" s="80">
        <f t="shared" si="20"/>
        <v>0</v>
      </c>
      <c r="T55" s="80">
        <f t="shared" si="21"/>
        <v>-2.3983315954118872E-2</v>
      </c>
      <c r="U55" s="81">
        <f t="shared" si="22"/>
        <v>1.3499999999999984E-2</v>
      </c>
      <c r="V55" s="82">
        <f t="shared" si="23"/>
        <v>1.3499999999999984E-2</v>
      </c>
    </row>
    <row r="56" spans="1:22">
      <c r="A56" s="173">
        <v>48</v>
      </c>
      <c r="B56" s="170" t="s">
        <v>102</v>
      </c>
      <c r="C56" s="166" t="s">
        <v>44</v>
      </c>
      <c r="D56" s="73">
        <v>85628893505.839996</v>
      </c>
      <c r="E56" s="52">
        <f t="shared" si="35"/>
        <v>1.7612962683449914E-2</v>
      </c>
      <c r="F56" s="59">
        <v>10</v>
      </c>
      <c r="G56" s="59">
        <v>10</v>
      </c>
      <c r="H56" s="53">
        <v>7873</v>
      </c>
      <c r="I56" s="75">
        <v>0.19</v>
      </c>
      <c r="J56" s="75">
        <v>0.19</v>
      </c>
      <c r="K56" s="73">
        <v>85628893505.839996</v>
      </c>
      <c r="L56" s="52">
        <f t="shared" si="36"/>
        <v>1.7612962683449914E-2</v>
      </c>
      <c r="M56" s="59">
        <v>10</v>
      </c>
      <c r="N56" s="59">
        <v>10</v>
      </c>
      <c r="O56" s="53">
        <v>7922</v>
      </c>
      <c r="P56" s="75">
        <v>0.18970000000000001</v>
      </c>
      <c r="Q56" s="75">
        <v>0.18970000000000001</v>
      </c>
      <c r="R56" s="80">
        <f t="shared" si="19"/>
        <v>0</v>
      </c>
      <c r="S56" s="80">
        <f t="shared" si="20"/>
        <v>0</v>
      </c>
      <c r="T56" s="80">
        <f t="shared" si="21"/>
        <v>6.2238028705703038E-3</v>
      </c>
      <c r="U56" s="81">
        <f t="shared" si="22"/>
        <v>-2.9999999999999472E-4</v>
      </c>
      <c r="V56" s="82">
        <f t="shared" si="23"/>
        <v>-2.9999999999999472E-4</v>
      </c>
    </row>
    <row r="57" spans="1:22">
      <c r="A57" s="173">
        <v>49</v>
      </c>
      <c r="B57" s="170" t="s">
        <v>103</v>
      </c>
      <c r="C57" s="166" t="s">
        <v>104</v>
      </c>
      <c r="D57" s="69">
        <v>32374833381</v>
      </c>
      <c r="E57" s="52">
        <f t="shared" si="35"/>
        <v>6.6591626830209147E-3</v>
      </c>
      <c r="F57" s="59">
        <v>100</v>
      </c>
      <c r="G57" s="59">
        <v>100</v>
      </c>
      <c r="H57" s="53">
        <v>5440</v>
      </c>
      <c r="I57" s="75">
        <v>0.188</v>
      </c>
      <c r="J57" s="75">
        <v>0.188</v>
      </c>
      <c r="K57" s="69">
        <v>34424799679</v>
      </c>
      <c r="L57" s="52">
        <f t="shared" si="36"/>
        <v>7.0808191873939566E-3</v>
      </c>
      <c r="M57" s="59">
        <v>100</v>
      </c>
      <c r="N57" s="59">
        <v>100</v>
      </c>
      <c r="O57" s="53">
        <v>5464</v>
      </c>
      <c r="P57" s="75">
        <v>0.17730000000000001</v>
      </c>
      <c r="Q57" s="75">
        <v>0.17730000000000001</v>
      </c>
      <c r="R57" s="80">
        <f t="shared" si="19"/>
        <v>6.3319748209208548E-2</v>
      </c>
      <c r="S57" s="80">
        <f t="shared" si="20"/>
        <v>0</v>
      </c>
      <c r="T57" s="80">
        <f t="shared" si="21"/>
        <v>4.4117647058823529E-3</v>
      </c>
      <c r="U57" s="81">
        <f t="shared" si="22"/>
        <v>-1.0699999999999987E-2</v>
      </c>
      <c r="V57" s="82">
        <f t="shared" si="23"/>
        <v>-1.0699999999999987E-2</v>
      </c>
    </row>
    <row r="58" spans="1:22">
      <c r="A58" s="173">
        <v>50</v>
      </c>
      <c r="B58" s="170" t="s">
        <v>105</v>
      </c>
      <c r="C58" s="166" t="s">
        <v>106</v>
      </c>
      <c r="D58" s="69">
        <v>177711887.71000001</v>
      </c>
      <c r="E58" s="52">
        <f t="shared" si="35"/>
        <v>3.6553465991338534E-5</v>
      </c>
      <c r="F58" s="59">
        <v>1</v>
      </c>
      <c r="G58" s="59">
        <v>1</v>
      </c>
      <c r="H58" s="53">
        <v>94</v>
      </c>
      <c r="I58" s="75">
        <v>0.1154</v>
      </c>
      <c r="J58" s="75">
        <v>0.1154</v>
      </c>
      <c r="K58" s="69">
        <v>177600646.80000001</v>
      </c>
      <c r="L58" s="52">
        <f t="shared" si="36"/>
        <v>3.6530584906269168E-5</v>
      </c>
      <c r="M58" s="59">
        <v>1</v>
      </c>
      <c r="N58" s="59">
        <v>1</v>
      </c>
      <c r="O58" s="53">
        <v>94</v>
      </c>
      <c r="P58" s="75">
        <v>0.11650000000000001</v>
      </c>
      <c r="Q58" s="75">
        <v>0.11650000000000001</v>
      </c>
      <c r="R58" s="80">
        <f t="shared" si="19"/>
        <v>-6.2596212011165758E-4</v>
      </c>
      <c r="S58" s="80">
        <f t="shared" si="20"/>
        <v>0</v>
      </c>
      <c r="T58" s="80">
        <f t="shared" si="21"/>
        <v>0</v>
      </c>
      <c r="U58" s="81">
        <f t="shared" si="22"/>
        <v>1.1000000000000038E-3</v>
      </c>
      <c r="V58" s="82">
        <f t="shared" si="23"/>
        <v>1.1000000000000038E-3</v>
      </c>
    </row>
    <row r="59" spans="1:22">
      <c r="A59" s="173">
        <v>51</v>
      </c>
      <c r="B59" s="170" t="s">
        <v>107</v>
      </c>
      <c r="C59" s="166" t="s">
        <v>46</v>
      </c>
      <c r="D59" s="73">
        <v>2060587865.51</v>
      </c>
      <c r="E59" s="52">
        <f t="shared" si="35"/>
        <v>4.2384124908401518E-4</v>
      </c>
      <c r="F59" s="59">
        <v>10</v>
      </c>
      <c r="G59" s="59">
        <v>10</v>
      </c>
      <c r="H59" s="53">
        <v>921</v>
      </c>
      <c r="I59" s="75">
        <v>0.14879999999999999</v>
      </c>
      <c r="J59" s="75">
        <v>0.14879999999999999</v>
      </c>
      <c r="K59" s="73">
        <v>2311618043.29</v>
      </c>
      <c r="L59" s="52">
        <f t="shared" si="36"/>
        <v>4.7547551612446684E-4</v>
      </c>
      <c r="M59" s="59">
        <v>10</v>
      </c>
      <c r="N59" s="59">
        <v>10</v>
      </c>
      <c r="O59" s="53">
        <v>922</v>
      </c>
      <c r="P59" s="75">
        <v>0.1759</v>
      </c>
      <c r="Q59" s="75">
        <v>0.1759</v>
      </c>
      <c r="R59" s="80">
        <f t="shared" si="19"/>
        <v>0.12182454433597738</v>
      </c>
      <c r="S59" s="80">
        <f t="shared" si="20"/>
        <v>0</v>
      </c>
      <c r="T59" s="80">
        <f t="shared" si="21"/>
        <v>1.0857763300760044E-3</v>
      </c>
      <c r="U59" s="81">
        <f t="shared" si="22"/>
        <v>2.7100000000000013E-2</v>
      </c>
      <c r="V59" s="82">
        <f t="shared" si="23"/>
        <v>2.7100000000000013E-2</v>
      </c>
    </row>
    <row r="60" spans="1:22">
      <c r="A60" s="173">
        <v>52</v>
      </c>
      <c r="B60" s="170" t="s">
        <v>108</v>
      </c>
      <c r="C60" s="166" t="s">
        <v>109</v>
      </c>
      <c r="D60" s="73">
        <v>1117111783</v>
      </c>
      <c r="E60" s="52">
        <f t="shared" si="35"/>
        <v>2.2977814312033935E-4</v>
      </c>
      <c r="F60" s="59">
        <v>1</v>
      </c>
      <c r="G60" s="59">
        <v>1</v>
      </c>
      <c r="H60" s="53">
        <v>173</v>
      </c>
      <c r="I60" s="75">
        <v>0.22109999999999999</v>
      </c>
      <c r="J60" s="75">
        <v>0.22109999999999999</v>
      </c>
      <c r="K60" s="73">
        <v>1149730454.3599999</v>
      </c>
      <c r="L60" s="52">
        <f t="shared" si="36"/>
        <v>2.3648746071076472E-4</v>
      </c>
      <c r="M60" s="59">
        <v>1</v>
      </c>
      <c r="N60" s="59">
        <v>1</v>
      </c>
      <c r="O60" s="53">
        <v>181</v>
      </c>
      <c r="P60" s="75">
        <v>0.215</v>
      </c>
      <c r="Q60" s="75">
        <v>0.215</v>
      </c>
      <c r="R60" s="80">
        <f t="shared" si="19"/>
        <v>2.9199111365921286E-2</v>
      </c>
      <c r="S60" s="80">
        <f t="shared" si="20"/>
        <v>0</v>
      </c>
      <c r="T60" s="80">
        <f t="shared" si="21"/>
        <v>4.6242774566473986E-2</v>
      </c>
      <c r="U60" s="81">
        <f t="shared" si="22"/>
        <v>-6.0999999999999943E-3</v>
      </c>
      <c r="V60" s="82">
        <f t="shared" si="23"/>
        <v>-6.0999999999999943E-3</v>
      </c>
    </row>
    <row r="61" spans="1:22">
      <c r="A61" s="173">
        <v>53</v>
      </c>
      <c r="B61" s="170" t="s">
        <v>110</v>
      </c>
      <c r="C61" s="166" t="s">
        <v>111</v>
      </c>
      <c r="D61" s="73">
        <v>1875123968.24</v>
      </c>
      <c r="E61" s="52">
        <f t="shared" si="35"/>
        <v>3.8569327626779618E-4</v>
      </c>
      <c r="F61" s="59">
        <v>1</v>
      </c>
      <c r="G61" s="59">
        <v>1</v>
      </c>
      <c r="H61" s="53">
        <v>1841</v>
      </c>
      <c r="I61" s="75">
        <v>0.1676</v>
      </c>
      <c r="J61" s="75">
        <v>0.1676</v>
      </c>
      <c r="K61" s="73">
        <v>2017876179.6199999</v>
      </c>
      <c r="L61" s="52">
        <f t="shared" si="36"/>
        <v>4.1505590457087491E-4</v>
      </c>
      <c r="M61" s="59">
        <v>1</v>
      </c>
      <c r="N61" s="59">
        <v>1</v>
      </c>
      <c r="O61" s="53">
        <v>1883</v>
      </c>
      <c r="P61" s="75">
        <v>0.15870000000000001</v>
      </c>
      <c r="Q61" s="75">
        <v>0.15870000000000001</v>
      </c>
      <c r="R61" s="80">
        <f t="shared" si="19"/>
        <v>7.6129479329298824E-2</v>
      </c>
      <c r="S61" s="80">
        <f t="shared" si="20"/>
        <v>0</v>
      </c>
      <c r="T61" s="80">
        <f t="shared" si="21"/>
        <v>2.2813688212927757E-2</v>
      </c>
      <c r="U61" s="81">
        <f t="shared" si="22"/>
        <v>-8.8999999999999913E-3</v>
      </c>
      <c r="V61" s="82">
        <f t="shared" si="23"/>
        <v>-8.8999999999999913E-3</v>
      </c>
    </row>
    <row r="62" spans="1:22">
      <c r="A62" s="173">
        <v>54</v>
      </c>
      <c r="B62" s="170" t="s">
        <v>112</v>
      </c>
      <c r="C62" s="166" t="s">
        <v>113</v>
      </c>
      <c r="D62" s="73">
        <v>16300233420.0802</v>
      </c>
      <c r="E62" s="52">
        <f t="shared" si="35"/>
        <v>3.352786556091788E-3</v>
      </c>
      <c r="F62" s="59">
        <v>100</v>
      </c>
      <c r="G62" s="59">
        <v>100</v>
      </c>
      <c r="H62" s="53">
        <v>149</v>
      </c>
      <c r="I62" s="75">
        <v>0.16819999999999999</v>
      </c>
      <c r="J62" s="75">
        <v>0.16819999999999999</v>
      </c>
      <c r="K62" s="73">
        <v>14634255537.213699</v>
      </c>
      <c r="L62" s="52">
        <f t="shared" si="36"/>
        <v>3.0101124296255926E-3</v>
      </c>
      <c r="M62" s="59">
        <v>100</v>
      </c>
      <c r="N62" s="59">
        <v>100</v>
      </c>
      <c r="O62" s="53">
        <v>150</v>
      </c>
      <c r="P62" s="75">
        <v>0.16789999999999999</v>
      </c>
      <c r="Q62" s="75">
        <v>0.16789999999999999</v>
      </c>
      <c r="R62" s="80">
        <f t="shared" si="19"/>
        <v>-0.10220576846551097</v>
      </c>
      <c r="S62" s="80">
        <f t="shared" si="20"/>
        <v>0</v>
      </c>
      <c r="T62" s="80">
        <f t="shared" si="21"/>
        <v>6.7114093959731542E-3</v>
      </c>
      <c r="U62" s="81">
        <f t="shared" si="22"/>
        <v>-2.9999999999999472E-4</v>
      </c>
      <c r="V62" s="82">
        <f t="shared" si="23"/>
        <v>-2.9999999999999472E-4</v>
      </c>
    </row>
    <row r="63" spans="1:22">
      <c r="A63" s="173">
        <v>55</v>
      </c>
      <c r="B63" s="170" t="s">
        <v>114</v>
      </c>
      <c r="C63" s="166" t="s">
        <v>77</v>
      </c>
      <c r="D63" s="73">
        <v>71712904.329999998</v>
      </c>
      <c r="E63" s="52">
        <f t="shared" si="35"/>
        <v>1.475059008907969E-5</v>
      </c>
      <c r="F63" s="59">
        <v>1000</v>
      </c>
      <c r="G63" s="59">
        <v>1000</v>
      </c>
      <c r="H63" s="53">
        <v>23</v>
      </c>
      <c r="I63" s="75">
        <v>0.2432</v>
      </c>
      <c r="J63" s="75">
        <v>0.2432</v>
      </c>
      <c r="K63" s="73">
        <v>71986209.719999999</v>
      </c>
      <c r="L63" s="52">
        <f t="shared" si="36"/>
        <v>1.4806806132965946E-5</v>
      </c>
      <c r="M63" s="59">
        <v>1000</v>
      </c>
      <c r="N63" s="59">
        <v>1000</v>
      </c>
      <c r="O63" s="53">
        <v>23</v>
      </c>
      <c r="P63" s="75">
        <v>0.24310000000000001</v>
      </c>
      <c r="Q63" s="75">
        <v>0.24310000000000001</v>
      </c>
      <c r="R63" s="80">
        <f t="shared" si="19"/>
        <v>3.8111047454212153E-3</v>
      </c>
      <c r="S63" s="80">
        <f t="shared" si="20"/>
        <v>0</v>
      </c>
      <c r="T63" s="80">
        <f t="shared" si="21"/>
        <v>0</v>
      </c>
      <c r="U63" s="81">
        <f t="shared" si="22"/>
        <v>-9.9999999999988987E-5</v>
      </c>
      <c r="V63" s="82">
        <f t="shared" si="23"/>
        <v>-9.9999999999988987E-5</v>
      </c>
    </row>
    <row r="64" spans="1:22">
      <c r="A64" s="173">
        <v>56</v>
      </c>
      <c r="B64" s="170" t="s">
        <v>115</v>
      </c>
      <c r="C64" s="166" t="s">
        <v>50</v>
      </c>
      <c r="D64" s="69">
        <v>2312672828286.1802</v>
      </c>
      <c r="E64" s="52">
        <f t="shared" si="35"/>
        <v>0.47569247430313955</v>
      </c>
      <c r="F64" s="59">
        <v>100</v>
      </c>
      <c r="G64" s="59">
        <v>100</v>
      </c>
      <c r="H64" s="53">
        <v>264098</v>
      </c>
      <c r="I64" s="75">
        <v>0.16139999999999999</v>
      </c>
      <c r="J64" s="75">
        <v>0.16139999999999999</v>
      </c>
      <c r="K64" s="69">
        <v>2369288329953.75</v>
      </c>
      <c r="L64" s="52">
        <f t="shared" si="36"/>
        <v>0.48733768747067502</v>
      </c>
      <c r="M64" s="59">
        <v>100</v>
      </c>
      <c r="N64" s="59">
        <v>100</v>
      </c>
      <c r="O64" s="53">
        <v>266924</v>
      </c>
      <c r="P64" s="75">
        <v>0.16139999999999999</v>
      </c>
      <c r="Q64" s="75">
        <v>0.16139999999999999</v>
      </c>
      <c r="R64" s="80">
        <f t="shared" si="19"/>
        <v>2.4480549507525921E-2</v>
      </c>
      <c r="S64" s="80">
        <f t="shared" si="20"/>
        <v>0</v>
      </c>
      <c r="T64" s="80">
        <f t="shared" si="21"/>
        <v>1.0700573272042954E-2</v>
      </c>
      <c r="U64" s="81">
        <f t="shared" si="22"/>
        <v>0</v>
      </c>
      <c r="V64" s="82">
        <f t="shared" si="23"/>
        <v>0</v>
      </c>
    </row>
    <row r="65" spans="1:22">
      <c r="A65" s="173">
        <v>57</v>
      </c>
      <c r="B65" s="170" t="s">
        <v>116</v>
      </c>
      <c r="C65" s="170" t="s">
        <v>117</v>
      </c>
      <c r="D65" s="69">
        <v>7282961133.5</v>
      </c>
      <c r="E65" s="52">
        <f t="shared" si="35"/>
        <v>1.4980284973623197E-3</v>
      </c>
      <c r="F65" s="59">
        <v>100</v>
      </c>
      <c r="G65" s="59">
        <v>100</v>
      </c>
      <c r="H65" s="53">
        <v>973</v>
      </c>
      <c r="I65" s="75">
        <v>0.20499999999999999</v>
      </c>
      <c r="J65" s="75">
        <v>0.20499999999999999</v>
      </c>
      <c r="K65" s="69">
        <v>7879238426.6800003</v>
      </c>
      <c r="L65" s="52">
        <f t="shared" si="36"/>
        <v>1.6206764644652884E-3</v>
      </c>
      <c r="M65" s="59">
        <v>100</v>
      </c>
      <c r="N65" s="59">
        <v>100</v>
      </c>
      <c r="O65" s="53">
        <v>985</v>
      </c>
      <c r="P65" s="75">
        <v>0.19539999999999999</v>
      </c>
      <c r="Q65" s="75">
        <v>0.19539999999999999</v>
      </c>
      <c r="R65" s="80">
        <f t="shared" si="19"/>
        <v>8.1872919853609755E-2</v>
      </c>
      <c r="S65" s="80">
        <f t="shared" si="20"/>
        <v>0</v>
      </c>
      <c r="T65" s="80">
        <f t="shared" si="21"/>
        <v>1.2332990750256937E-2</v>
      </c>
      <c r="U65" s="81">
        <f t="shared" si="22"/>
        <v>-9.5999999999999974E-3</v>
      </c>
      <c r="V65" s="82">
        <f t="shared" si="23"/>
        <v>-9.5999999999999974E-3</v>
      </c>
    </row>
    <row r="66" spans="1:22">
      <c r="A66" s="173">
        <v>58</v>
      </c>
      <c r="B66" s="174" t="s">
        <v>118</v>
      </c>
      <c r="C66" s="166" t="s">
        <v>119</v>
      </c>
      <c r="D66" s="69">
        <v>11804696359.1</v>
      </c>
      <c r="E66" s="52">
        <f t="shared" si="35"/>
        <v>2.4281018701719564E-3</v>
      </c>
      <c r="F66" s="59">
        <v>1</v>
      </c>
      <c r="G66" s="59">
        <v>1</v>
      </c>
      <c r="H66" s="53">
        <v>629</v>
      </c>
      <c r="I66" s="75">
        <v>0.19631399999999999</v>
      </c>
      <c r="J66" s="75">
        <v>0.19631399999999999</v>
      </c>
      <c r="K66" s="69">
        <v>11805546558.58</v>
      </c>
      <c r="L66" s="52">
        <f t="shared" si="36"/>
        <v>2.4282767472619386E-3</v>
      </c>
      <c r="M66" s="59">
        <v>1</v>
      </c>
      <c r="N66" s="59">
        <v>1</v>
      </c>
      <c r="O66" s="53">
        <v>631</v>
      </c>
      <c r="P66" s="75">
        <v>0.18928</v>
      </c>
      <c r="Q66" s="75">
        <v>0.18928</v>
      </c>
      <c r="R66" s="80">
        <f t="shared" si="19"/>
        <v>7.2022138828174159E-5</v>
      </c>
      <c r="S66" s="80">
        <f t="shared" si="20"/>
        <v>0</v>
      </c>
      <c r="T66" s="80">
        <f t="shared" si="21"/>
        <v>3.1796502384737681E-3</v>
      </c>
      <c r="U66" s="81">
        <f t="shared" si="22"/>
        <v>-7.0339999999999847E-3</v>
      </c>
      <c r="V66" s="82">
        <f t="shared" si="23"/>
        <v>-7.0339999999999847E-3</v>
      </c>
    </row>
    <row r="67" spans="1:22">
      <c r="A67" s="173">
        <v>59</v>
      </c>
      <c r="B67" s="170" t="s">
        <v>120</v>
      </c>
      <c r="C67" s="166" t="s">
        <v>53</v>
      </c>
      <c r="D67" s="69">
        <v>209043128710.67001</v>
      </c>
      <c r="E67" s="52">
        <f t="shared" si="35"/>
        <v>4.299797269903459E-2</v>
      </c>
      <c r="F67" s="59">
        <v>1</v>
      </c>
      <c r="G67" s="59">
        <v>1</v>
      </c>
      <c r="H67" s="53">
        <v>73641</v>
      </c>
      <c r="I67" s="75">
        <v>0.15840000000000001</v>
      </c>
      <c r="J67" s="75">
        <v>0.15840000000000001</v>
      </c>
      <c r="K67" s="69">
        <v>208094009870.23001</v>
      </c>
      <c r="L67" s="52">
        <f t="shared" si="36"/>
        <v>4.2802748937119585E-2</v>
      </c>
      <c r="M67" s="59">
        <v>1</v>
      </c>
      <c r="N67" s="59">
        <v>1</v>
      </c>
      <c r="O67" s="53">
        <v>77713</v>
      </c>
      <c r="P67" s="75">
        <v>0.1595</v>
      </c>
      <c r="Q67" s="75">
        <v>0.1595</v>
      </c>
      <c r="R67" s="80">
        <f t="shared" si="19"/>
        <v>-4.5403015458769175E-3</v>
      </c>
      <c r="S67" s="80">
        <f t="shared" si="20"/>
        <v>0</v>
      </c>
      <c r="T67" s="80">
        <f t="shared" si="21"/>
        <v>5.5295283877187983E-2</v>
      </c>
      <c r="U67" s="81">
        <f t="shared" si="22"/>
        <v>1.0999999999999899E-3</v>
      </c>
      <c r="V67" s="82">
        <f t="shared" si="23"/>
        <v>1.0999999999999899E-3</v>
      </c>
    </row>
    <row r="68" spans="1:22">
      <c r="A68" s="173">
        <v>60</v>
      </c>
      <c r="B68" s="170" t="s">
        <v>121</v>
      </c>
      <c r="C68" s="166" t="s">
        <v>122</v>
      </c>
      <c r="D68" s="69">
        <v>2240911044.4299998</v>
      </c>
      <c r="E68" s="52">
        <f t="shared" si="35"/>
        <v>4.6093183020967708E-4</v>
      </c>
      <c r="F68" s="59">
        <v>1</v>
      </c>
      <c r="G68" s="59">
        <v>1</v>
      </c>
      <c r="H68" s="53">
        <v>150</v>
      </c>
      <c r="I68" s="75">
        <v>0.15659999999999999</v>
      </c>
      <c r="J68" s="75">
        <v>0.15659999999999999</v>
      </c>
      <c r="K68" s="69">
        <v>2486664818.9400001</v>
      </c>
      <c r="L68" s="52">
        <f t="shared" si="36"/>
        <v>5.1148079659876615E-4</v>
      </c>
      <c r="M68" s="59">
        <v>1</v>
      </c>
      <c r="N68" s="59">
        <v>1</v>
      </c>
      <c r="O68" s="53">
        <v>153</v>
      </c>
      <c r="P68" s="75">
        <v>0.15129999999999999</v>
      </c>
      <c r="Q68" s="75">
        <v>0.15129999999999999</v>
      </c>
      <c r="R68" s="80">
        <f t="shared" si="19"/>
        <v>0.10966690316460571</v>
      </c>
      <c r="S68" s="80">
        <f t="shared" si="20"/>
        <v>0</v>
      </c>
      <c r="T68" s="80">
        <f t="shared" si="21"/>
        <v>0.02</v>
      </c>
      <c r="U68" s="81">
        <f t="shared" si="22"/>
        <v>-5.2999999999999992E-3</v>
      </c>
      <c r="V68" s="82">
        <f t="shared" si="23"/>
        <v>-5.2999999999999992E-3</v>
      </c>
    </row>
    <row r="69" spans="1:22">
      <c r="A69" s="173">
        <v>61</v>
      </c>
      <c r="B69" s="170" t="s">
        <v>123</v>
      </c>
      <c r="C69" s="166" t="s">
        <v>124</v>
      </c>
      <c r="D69" s="69">
        <v>8416087560.9899998</v>
      </c>
      <c r="E69" s="52">
        <f t="shared" si="35"/>
        <v>1.7311006843998779E-3</v>
      </c>
      <c r="F69" s="59">
        <v>1</v>
      </c>
      <c r="G69" s="59">
        <v>1</v>
      </c>
      <c r="H69" s="53">
        <v>561</v>
      </c>
      <c r="I69" s="75">
        <v>0.17680000000000001</v>
      </c>
      <c r="J69" s="75">
        <v>0.17680000000000001</v>
      </c>
      <c r="K69" s="69">
        <v>8453768399.1599998</v>
      </c>
      <c r="L69" s="52">
        <f t="shared" si="36"/>
        <v>1.7388512364553479E-3</v>
      </c>
      <c r="M69" s="59">
        <v>1</v>
      </c>
      <c r="N69" s="59">
        <v>1</v>
      </c>
      <c r="O69" s="53">
        <v>561</v>
      </c>
      <c r="P69" s="75">
        <v>0.1754</v>
      </c>
      <c r="Q69" s="75">
        <v>0.1754</v>
      </c>
      <c r="R69" s="80">
        <f t="shared" si="19"/>
        <v>4.4772393225395116E-3</v>
      </c>
      <c r="S69" s="80">
        <f t="shared" si="20"/>
        <v>0</v>
      </c>
      <c r="T69" s="80">
        <f t="shared" si="21"/>
        <v>0</v>
      </c>
      <c r="U69" s="81">
        <f t="shared" si="22"/>
        <v>-1.4000000000000123E-3</v>
      </c>
      <c r="V69" s="82">
        <f t="shared" si="23"/>
        <v>-1.4000000000000123E-3</v>
      </c>
    </row>
    <row r="70" spans="1:22">
      <c r="A70" s="173">
        <v>62</v>
      </c>
      <c r="B70" s="170" t="s">
        <v>125</v>
      </c>
      <c r="C70" s="166" t="s">
        <v>126</v>
      </c>
      <c r="D70" s="69">
        <v>10133254831.040001</v>
      </c>
      <c r="E70" s="52">
        <f t="shared" si="35"/>
        <v>2.0843039293602897E-3</v>
      </c>
      <c r="F70" s="59">
        <v>1</v>
      </c>
      <c r="G70" s="59">
        <v>1</v>
      </c>
      <c r="H70" s="53">
        <v>5426</v>
      </c>
      <c r="I70" s="75">
        <v>0.1953</v>
      </c>
      <c r="J70" s="75">
        <v>0.1953</v>
      </c>
      <c r="K70" s="69">
        <v>10717214489.18</v>
      </c>
      <c r="L70" s="52">
        <f t="shared" si="36"/>
        <v>2.2044182885019095E-3</v>
      </c>
      <c r="M70" s="59">
        <v>1</v>
      </c>
      <c r="N70" s="59">
        <v>1</v>
      </c>
      <c r="O70" s="53">
        <v>5489</v>
      </c>
      <c r="P70" s="75">
        <v>0.18940000000000001</v>
      </c>
      <c r="Q70" s="75">
        <v>0.18940000000000001</v>
      </c>
      <c r="R70" s="80">
        <f t="shared" si="19"/>
        <v>5.7628044283582494E-2</v>
      </c>
      <c r="S70" s="80">
        <f t="shared" si="20"/>
        <v>0</v>
      </c>
      <c r="T70" s="80">
        <f t="shared" si="21"/>
        <v>1.1610762992996683E-2</v>
      </c>
      <c r="U70" s="81">
        <f t="shared" si="22"/>
        <v>-5.8999999999999886E-3</v>
      </c>
      <c r="V70" s="82">
        <f t="shared" si="23"/>
        <v>-5.8999999999999886E-3</v>
      </c>
    </row>
    <row r="71" spans="1:22">
      <c r="A71" s="173">
        <v>63</v>
      </c>
      <c r="B71" s="170" t="s">
        <v>127</v>
      </c>
      <c r="C71" s="166" t="s">
        <v>128</v>
      </c>
      <c r="D71" s="69">
        <v>129163738466.34</v>
      </c>
      <c r="E71" s="52">
        <f t="shared" si="35"/>
        <v>2.6567622358770474E-2</v>
      </c>
      <c r="F71" s="59">
        <v>1</v>
      </c>
      <c r="G71" s="59">
        <v>1</v>
      </c>
      <c r="H71" s="53">
        <v>6988</v>
      </c>
      <c r="I71" s="75">
        <v>0.1749</v>
      </c>
      <c r="J71" s="75">
        <v>0.1749</v>
      </c>
      <c r="K71" s="69">
        <v>132161254588.55</v>
      </c>
      <c r="L71" s="52">
        <f t="shared" si="36"/>
        <v>2.7184179894924131E-2</v>
      </c>
      <c r="M71" s="59">
        <v>1</v>
      </c>
      <c r="N71" s="59">
        <v>1</v>
      </c>
      <c r="O71" s="53">
        <v>7164</v>
      </c>
      <c r="P71" s="75">
        <v>0.16639999999999999</v>
      </c>
      <c r="Q71" s="75">
        <v>0.16639999999999999</v>
      </c>
      <c r="R71" s="80">
        <f t="shared" si="19"/>
        <v>2.320710253358885E-2</v>
      </c>
      <c r="S71" s="80">
        <f t="shared" si="20"/>
        <v>0</v>
      </c>
      <c r="T71" s="80">
        <f t="shared" si="21"/>
        <v>2.5186033199771037E-2</v>
      </c>
      <c r="U71" s="81">
        <f t="shared" si="22"/>
        <v>-8.5000000000000075E-3</v>
      </c>
      <c r="V71" s="82">
        <f t="shared" si="23"/>
        <v>-8.5000000000000075E-3</v>
      </c>
    </row>
    <row r="72" spans="1:22">
      <c r="A72" s="60"/>
      <c r="B72" s="61"/>
      <c r="C72" s="62" t="s">
        <v>56</v>
      </c>
      <c r="D72" s="84">
        <f>SUM(D29:D71)</f>
        <v>4744967555037.585</v>
      </c>
      <c r="E72" s="64">
        <f>(D72/$D$231)</f>
        <v>0.6184434977439357</v>
      </c>
      <c r="F72" s="65"/>
      <c r="G72" s="70"/>
      <c r="H72" s="67">
        <f>SUM(H29:H71)</f>
        <v>597901</v>
      </c>
      <c r="I72" s="88"/>
      <c r="J72" s="88"/>
      <c r="K72" s="84">
        <f>SUM(K29:K71)</f>
        <v>4861697321728.9277</v>
      </c>
      <c r="L72" s="64">
        <f>(K72/$K$231)</f>
        <v>0.62350379567806358</v>
      </c>
      <c r="M72" s="65"/>
      <c r="N72" s="70"/>
      <c r="O72" s="67">
        <f>SUM(O29:O71)</f>
        <v>608979</v>
      </c>
      <c r="P72" s="88"/>
      <c r="Q72" s="88"/>
      <c r="R72" s="80">
        <f t="shared" si="19"/>
        <v>2.4600751288049252E-2</v>
      </c>
      <c r="S72" s="80" t="e">
        <f t="shared" si="20"/>
        <v>#DIV/0!</v>
      </c>
      <c r="T72" s="80">
        <f t="shared" si="21"/>
        <v>1.8528150981517007E-2</v>
      </c>
      <c r="U72" s="81">
        <f t="shared" si="22"/>
        <v>0</v>
      </c>
      <c r="V72" s="82">
        <f t="shared" si="23"/>
        <v>0</v>
      </c>
    </row>
    <row r="73" spans="1:22" ht="3" customHeight="1">
      <c r="A73" s="60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</row>
    <row r="74" spans="1:22" ht="15" customHeight="1">
      <c r="A74" s="196" t="s">
        <v>129</v>
      </c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</row>
    <row r="75" spans="1:22">
      <c r="A75" s="173">
        <v>64</v>
      </c>
      <c r="B75" s="170" t="s">
        <v>130</v>
      </c>
      <c r="C75" s="166" t="s">
        <v>22</v>
      </c>
      <c r="D75" s="57">
        <v>733289722.88</v>
      </c>
      <c r="E75" s="52">
        <f>(D75/$D$114)</f>
        <v>3.0906752533771701E-3</v>
      </c>
      <c r="F75" s="85">
        <v>1.6597999999999999</v>
      </c>
      <c r="G75" s="85">
        <v>1.6597999999999999</v>
      </c>
      <c r="H75" s="53">
        <v>534</v>
      </c>
      <c r="I75" s="75">
        <v>-6.02E-4</v>
      </c>
      <c r="J75" s="75">
        <v>0.27310000000000001</v>
      </c>
      <c r="K75" s="57">
        <v>720201565.63</v>
      </c>
      <c r="L75" s="52">
        <f t="shared" ref="L75:L98" si="37">(K75/$K$114)</f>
        <v>2.9823119713748942E-3</v>
      </c>
      <c r="M75" s="85">
        <v>1.6229</v>
      </c>
      <c r="N75" s="85">
        <v>1.6229</v>
      </c>
      <c r="O75" s="53">
        <v>538</v>
      </c>
      <c r="P75" s="75">
        <v>-3.5000000000000001E-3</v>
      </c>
      <c r="Q75" s="75">
        <v>-3.5000000000000001E-3</v>
      </c>
      <c r="R75" s="80">
        <f>((K75-D75)/D75)</f>
        <v>-1.7848548590857348E-2</v>
      </c>
      <c r="S75" s="80">
        <f>((N75-G75)/G75)</f>
        <v>-2.2231594167972005E-2</v>
      </c>
      <c r="T75" s="80">
        <f>((O75-H75)/H75)</f>
        <v>7.4906367041198503E-3</v>
      </c>
      <c r="U75" s="81">
        <f>P75-I75</f>
        <v>-2.898E-3</v>
      </c>
      <c r="V75" s="82">
        <f>Q75-J75</f>
        <v>-0.27660000000000001</v>
      </c>
    </row>
    <row r="76" spans="1:22">
      <c r="A76" s="173">
        <v>65</v>
      </c>
      <c r="B76" s="170" t="s">
        <v>131</v>
      </c>
      <c r="C76" s="166" t="s">
        <v>24</v>
      </c>
      <c r="D76" s="57">
        <v>1410022674.0599999</v>
      </c>
      <c r="E76" s="52">
        <f>(D76/$D$114)</f>
        <v>5.9429745835004729E-3</v>
      </c>
      <c r="F76" s="85">
        <v>1.3737999999999999</v>
      </c>
      <c r="G76" s="85">
        <v>1.3737999999999999</v>
      </c>
      <c r="H76" s="53">
        <v>1448</v>
      </c>
      <c r="I76" s="75">
        <v>0.15229999999999999</v>
      </c>
      <c r="J76" s="75">
        <v>0.1653</v>
      </c>
      <c r="K76" s="57">
        <v>1420788171.49</v>
      </c>
      <c r="L76" s="52">
        <f t="shared" si="37"/>
        <v>5.8833995576168061E-3</v>
      </c>
      <c r="M76" s="85">
        <v>1.3753</v>
      </c>
      <c r="N76" s="85">
        <v>1.3753</v>
      </c>
      <c r="O76" s="53">
        <v>1475</v>
      </c>
      <c r="P76" s="75">
        <v>0.12540000000000001</v>
      </c>
      <c r="Q76" s="75">
        <v>0.16539999999999999</v>
      </c>
      <c r="R76" s="80">
        <f t="shared" ref="R76:R114" si="38">((K76-D76)/D76)</f>
        <v>7.634981782953916E-3</v>
      </c>
      <c r="S76" s="80">
        <f t="shared" ref="S76:S114" si="39">((N76-G76)/G76)</f>
        <v>1.0918619886446767E-3</v>
      </c>
      <c r="T76" s="80">
        <f t="shared" ref="T76:T114" si="40">((O76-H76)/H76)</f>
        <v>1.8646408839779006E-2</v>
      </c>
      <c r="U76" s="81">
        <f t="shared" ref="U76:U114" si="41">P76-I76</f>
        <v>-2.6899999999999979E-2</v>
      </c>
      <c r="V76" s="82">
        <f t="shared" ref="V76:V114" si="42">Q76-J76</f>
        <v>9.9999999999988987E-5</v>
      </c>
    </row>
    <row r="77" spans="1:22">
      <c r="A77" s="173">
        <v>66</v>
      </c>
      <c r="B77" s="170" t="s">
        <v>132</v>
      </c>
      <c r="C77" s="166" t="s">
        <v>24</v>
      </c>
      <c r="D77" s="57">
        <v>835486241.44000006</v>
      </c>
      <c r="E77" s="52">
        <f>(D77/$D$114)</f>
        <v>3.5214139382917296E-3</v>
      </c>
      <c r="F77" s="85">
        <v>1.2104999999999999</v>
      </c>
      <c r="G77" s="85">
        <v>1.2104999999999999</v>
      </c>
      <c r="H77" s="53">
        <v>563</v>
      </c>
      <c r="I77" s="75">
        <v>0.12520000000000001</v>
      </c>
      <c r="J77" s="75">
        <v>0.12970000000000001</v>
      </c>
      <c r="K77" s="57">
        <v>837669438.00999999</v>
      </c>
      <c r="L77" s="52">
        <f t="shared" si="37"/>
        <v>3.4687394644120177E-3</v>
      </c>
      <c r="M77" s="85">
        <v>1.2121</v>
      </c>
      <c r="N77" s="85">
        <v>1.2121</v>
      </c>
      <c r="O77" s="53">
        <v>569</v>
      </c>
      <c r="P77" s="75">
        <v>0.12509999999999999</v>
      </c>
      <c r="Q77" s="75">
        <v>0.1298</v>
      </c>
      <c r="R77" s="80">
        <f t="shared" si="38"/>
        <v>2.6130850057292272E-3</v>
      </c>
      <c r="S77" s="80">
        <f t="shared" si="39"/>
        <v>1.3217678645188319E-3</v>
      </c>
      <c r="T77" s="80">
        <f t="shared" si="40"/>
        <v>1.0657193605683837E-2</v>
      </c>
      <c r="U77" s="81">
        <f t="shared" si="41"/>
        <v>-1.0000000000001674E-4</v>
      </c>
      <c r="V77" s="82">
        <f t="shared" si="42"/>
        <v>9.9999999999988987E-5</v>
      </c>
    </row>
    <row r="78" spans="1:22">
      <c r="A78" s="173">
        <v>67</v>
      </c>
      <c r="B78" s="170" t="s">
        <v>133</v>
      </c>
      <c r="C78" s="166" t="s">
        <v>64</v>
      </c>
      <c r="D78" s="57">
        <v>325380368.91000003</v>
      </c>
      <c r="E78" s="52">
        <f>(D78/$D$114)</f>
        <v>1.3714157211629724E-3</v>
      </c>
      <c r="F78" s="56">
        <v>1263.8800000000001</v>
      </c>
      <c r="G78" s="56">
        <v>1263.8800000000001</v>
      </c>
      <c r="H78" s="53">
        <v>109</v>
      </c>
      <c r="I78" s="75">
        <v>1.1999999999999999E-3</v>
      </c>
      <c r="J78" s="75">
        <v>0.1792</v>
      </c>
      <c r="K78" s="57">
        <v>326270331.39999998</v>
      </c>
      <c r="L78" s="52">
        <f t="shared" si="37"/>
        <v>1.351066092709063E-3</v>
      </c>
      <c r="M78" s="56">
        <v>1267.73</v>
      </c>
      <c r="N78" s="56">
        <v>1267.73</v>
      </c>
      <c r="O78" s="53">
        <v>109</v>
      </c>
      <c r="P78" s="75">
        <v>2.3999999999999998E-3</v>
      </c>
      <c r="Q78" s="75">
        <v>0.22170000000000001</v>
      </c>
      <c r="R78" s="80">
        <f t="shared" si="38"/>
        <v>2.7351450026971754E-3</v>
      </c>
      <c r="S78" s="80">
        <f t="shared" si="39"/>
        <v>3.0461752698040232E-3</v>
      </c>
      <c r="T78" s="80">
        <f t="shared" si="40"/>
        <v>0</v>
      </c>
      <c r="U78" s="81">
        <f t="shared" si="41"/>
        <v>1.1999999999999999E-3</v>
      </c>
      <c r="V78" s="82">
        <f t="shared" si="42"/>
        <v>4.250000000000001E-2</v>
      </c>
    </row>
    <row r="79" spans="1:22" ht="15" customHeight="1">
      <c r="A79" s="173">
        <v>68</v>
      </c>
      <c r="B79" s="170" t="s">
        <v>134</v>
      </c>
      <c r="C79" s="166" t="s">
        <v>28</v>
      </c>
      <c r="D79" s="57">
        <v>1914152152.6700001</v>
      </c>
      <c r="E79" s="52">
        <f>(D79/$K$114)</f>
        <v>7.9263905444958861E-3</v>
      </c>
      <c r="F79" s="56">
        <v>1.0785</v>
      </c>
      <c r="G79" s="56">
        <v>1.0785</v>
      </c>
      <c r="H79" s="53">
        <v>1011</v>
      </c>
      <c r="I79" s="75">
        <v>1.1999999999999999E-3</v>
      </c>
      <c r="J79" s="75">
        <v>0.13189999999999999</v>
      </c>
      <c r="K79" s="57">
        <v>1980894778.8900001</v>
      </c>
      <c r="L79" s="52">
        <f t="shared" si="37"/>
        <v>8.202767801469479E-3</v>
      </c>
      <c r="M79" s="56">
        <v>1.1375</v>
      </c>
      <c r="N79" s="56">
        <v>1.1375</v>
      </c>
      <c r="O79" s="53">
        <v>1011</v>
      </c>
      <c r="P79" s="75">
        <v>5.4699999999999999E-2</v>
      </c>
      <c r="Q79" s="75">
        <v>-1.4E-3</v>
      </c>
      <c r="R79" s="80">
        <f t="shared" si="38"/>
        <v>3.4867983784310205E-2</v>
      </c>
      <c r="S79" s="80">
        <f t="shared" si="39"/>
        <v>5.4705609643022658E-2</v>
      </c>
      <c r="T79" s="80">
        <f t="shared" si="40"/>
        <v>0</v>
      </c>
      <c r="U79" s="81">
        <f t="shared" si="41"/>
        <v>5.3499999999999999E-2</v>
      </c>
      <c r="V79" s="82">
        <f t="shared" si="42"/>
        <v>-0.1333</v>
      </c>
    </row>
    <row r="80" spans="1:22">
      <c r="A80" s="173">
        <v>69</v>
      </c>
      <c r="B80" s="170" t="s">
        <v>135</v>
      </c>
      <c r="C80" s="166" t="s">
        <v>136</v>
      </c>
      <c r="D80" s="57">
        <v>479382409.81</v>
      </c>
      <c r="E80" s="52">
        <f t="shared" ref="E80:E98" si="43">(D80/$D$114)</f>
        <v>2.0205047264061286E-3</v>
      </c>
      <c r="F80" s="56">
        <v>2.7324000000000002</v>
      </c>
      <c r="G80" s="56">
        <v>2.7324000000000002</v>
      </c>
      <c r="H80" s="53">
        <v>1390</v>
      </c>
      <c r="I80" s="75">
        <v>0.1033</v>
      </c>
      <c r="J80" s="75">
        <v>0.14879999999999999</v>
      </c>
      <c r="K80" s="57">
        <v>481100246.64999998</v>
      </c>
      <c r="L80" s="52">
        <f t="shared" si="37"/>
        <v>1.9922075894970022E-3</v>
      </c>
      <c r="M80" s="56">
        <v>2.7422</v>
      </c>
      <c r="N80" s="56">
        <v>2.7422</v>
      </c>
      <c r="O80" s="53">
        <v>1390</v>
      </c>
      <c r="P80" s="75">
        <v>0.187</v>
      </c>
      <c r="Q80" s="75">
        <v>0.14649999999999999</v>
      </c>
      <c r="R80" s="80">
        <f t="shared" si="38"/>
        <v>3.583437366174589E-3</v>
      </c>
      <c r="S80" s="80">
        <f t="shared" si="39"/>
        <v>3.5865905431122121E-3</v>
      </c>
      <c r="T80" s="80">
        <f t="shared" si="40"/>
        <v>0</v>
      </c>
      <c r="U80" s="81">
        <f t="shared" si="41"/>
        <v>8.3699999999999997E-2</v>
      </c>
      <c r="V80" s="82">
        <f t="shared" si="42"/>
        <v>-2.2999999999999965E-3</v>
      </c>
    </row>
    <row r="81" spans="1:22">
      <c r="A81" s="173">
        <v>70</v>
      </c>
      <c r="B81" s="166" t="s">
        <v>137</v>
      </c>
      <c r="C81" s="166" t="s">
        <v>138</v>
      </c>
      <c r="D81" s="57">
        <v>1133789365.29</v>
      </c>
      <c r="E81" s="52">
        <f t="shared" si="43"/>
        <v>4.7787042754142842E-3</v>
      </c>
      <c r="F81" s="56">
        <v>1118.0899999999999</v>
      </c>
      <c r="G81" s="56">
        <v>1118.0899999999999</v>
      </c>
      <c r="H81" s="53">
        <v>250</v>
      </c>
      <c r="I81" s="75">
        <v>6.9899999999999997E-3</v>
      </c>
      <c r="J81" s="75">
        <v>0.11429</v>
      </c>
      <c r="K81" s="57">
        <v>1152376474.77</v>
      </c>
      <c r="L81" s="52">
        <f t="shared" si="37"/>
        <v>4.7719226397835704E-3</v>
      </c>
      <c r="M81" s="56">
        <v>119.84</v>
      </c>
      <c r="N81" s="56">
        <v>119.84</v>
      </c>
      <c r="O81" s="53">
        <v>250</v>
      </c>
      <c r="P81" s="75">
        <v>1.56E-3</v>
      </c>
      <c r="Q81" s="75">
        <v>7.3999999999999999E-4</v>
      </c>
      <c r="R81" s="80">
        <f t="shared" ref="R81" si="44">((K81-D81)/D81)</f>
        <v>1.6393794164091334E-2</v>
      </c>
      <c r="S81" s="80" t="b">
        <f>K82=((N81-G81)/G81)</f>
        <v>0</v>
      </c>
      <c r="T81" s="80">
        <f t="shared" ref="T81" si="45">((O81-H81)/H81)</f>
        <v>0</v>
      </c>
      <c r="U81" s="81">
        <f t="shared" si="41"/>
        <v>-5.4299999999999999E-3</v>
      </c>
      <c r="V81" s="82">
        <f t="shared" si="42"/>
        <v>-0.11355</v>
      </c>
    </row>
    <row r="82" spans="1:22">
      <c r="A82" s="173">
        <v>71</v>
      </c>
      <c r="B82" s="170" t="s">
        <v>139</v>
      </c>
      <c r="C82" s="166" t="s">
        <v>69</v>
      </c>
      <c r="D82" s="57">
        <v>230846709.05000001</v>
      </c>
      <c r="E82" s="52">
        <f t="shared" si="43"/>
        <v>9.7297451296907318E-4</v>
      </c>
      <c r="F82" s="56">
        <v>12.555999999999999</v>
      </c>
      <c r="G82" s="56">
        <v>12.593</v>
      </c>
      <c r="H82" s="53">
        <v>46</v>
      </c>
      <c r="I82" s="75">
        <v>4.2999999999999999E-4</v>
      </c>
      <c r="J82" s="75">
        <v>0.25180000000000002</v>
      </c>
      <c r="K82" s="57">
        <v>231664163.97</v>
      </c>
      <c r="L82" s="52">
        <f t="shared" si="37"/>
        <v>9.5930756404552335E-4</v>
      </c>
      <c r="M82" s="56">
        <v>12.601000000000001</v>
      </c>
      <c r="N82" s="56">
        <v>12.641999999999999</v>
      </c>
      <c r="O82" s="53">
        <v>46</v>
      </c>
      <c r="P82" s="75">
        <v>1.57E-3</v>
      </c>
      <c r="Q82" s="75">
        <v>0.25040000000000001</v>
      </c>
      <c r="R82" s="80">
        <f t="shared" si="38"/>
        <v>3.5411157619012496E-3</v>
      </c>
      <c r="S82" s="80">
        <f t="shared" si="39"/>
        <v>3.8910505836575468E-3</v>
      </c>
      <c r="T82" s="80">
        <f t="shared" si="40"/>
        <v>0</v>
      </c>
      <c r="U82" s="81">
        <f t="shared" si="41"/>
        <v>1.14E-3</v>
      </c>
      <c r="V82" s="82">
        <f t="shared" si="42"/>
        <v>-1.4000000000000123E-3</v>
      </c>
    </row>
    <row r="83" spans="1:22">
      <c r="A83" s="173">
        <v>72</v>
      </c>
      <c r="B83" s="170" t="s">
        <v>140</v>
      </c>
      <c r="C83" s="166" t="s">
        <v>71</v>
      </c>
      <c r="D83" s="57">
        <v>2019324494.5429001</v>
      </c>
      <c r="E83" s="52">
        <f t="shared" si="43"/>
        <v>8.5110646571047496E-3</v>
      </c>
      <c r="F83" s="57">
        <v>4744.8889697040204</v>
      </c>
      <c r="G83" s="57">
        <v>4744.8889697040204</v>
      </c>
      <c r="H83" s="53">
        <v>1166</v>
      </c>
      <c r="I83" s="75">
        <v>0.1154</v>
      </c>
      <c r="J83" s="75">
        <v>8.3400000000000002E-2</v>
      </c>
      <c r="K83" s="57">
        <v>1972126516.9611599</v>
      </c>
      <c r="L83" s="52">
        <f t="shared" si="37"/>
        <v>8.1664589488281269E-3</v>
      </c>
      <c r="M83" s="57">
        <v>4755.7671321735297</v>
      </c>
      <c r="N83" s="57">
        <v>4755.7671321735297</v>
      </c>
      <c r="O83" s="53">
        <v>1166</v>
      </c>
      <c r="P83" s="75">
        <v>0.1195</v>
      </c>
      <c r="Q83" s="75">
        <v>0.1193</v>
      </c>
      <c r="R83" s="80">
        <f t="shared" si="38"/>
        <v>-2.3373151620400667E-2</v>
      </c>
      <c r="S83" s="80">
        <f t="shared" si="39"/>
        <v>2.2926063262946909E-3</v>
      </c>
      <c r="T83" s="80">
        <f t="shared" si="40"/>
        <v>0</v>
      </c>
      <c r="U83" s="81">
        <f t="shared" si="41"/>
        <v>4.0999999999999925E-3</v>
      </c>
      <c r="V83" s="82">
        <f t="shared" si="42"/>
        <v>3.5900000000000001E-2</v>
      </c>
    </row>
    <row r="84" spans="1:22">
      <c r="A84" s="173">
        <v>73</v>
      </c>
      <c r="B84" s="170" t="s">
        <v>141</v>
      </c>
      <c r="C84" s="166" t="s">
        <v>73</v>
      </c>
      <c r="D84" s="57">
        <v>371602873.64999998</v>
      </c>
      <c r="E84" s="52">
        <f t="shared" si="43"/>
        <v>1.5662346952895266E-3</v>
      </c>
      <c r="F84" s="85">
        <v>112.01</v>
      </c>
      <c r="G84" s="85">
        <v>112.01</v>
      </c>
      <c r="H84" s="53">
        <v>97</v>
      </c>
      <c r="I84" s="75">
        <v>1.9E-3</v>
      </c>
      <c r="J84" s="75">
        <v>0.1201</v>
      </c>
      <c r="K84" s="57">
        <v>372101547.19</v>
      </c>
      <c r="L84" s="52">
        <f t="shared" si="37"/>
        <v>1.5408504392532406E-3</v>
      </c>
      <c r="M84" s="85">
        <v>112.1</v>
      </c>
      <c r="N84" s="85">
        <v>112.1</v>
      </c>
      <c r="O84" s="53">
        <v>97</v>
      </c>
      <c r="P84" s="75">
        <v>8.0000000000000004E-4</v>
      </c>
      <c r="Q84" s="75">
        <v>0.1225</v>
      </c>
      <c r="R84" s="80">
        <f t="shared" si="38"/>
        <v>1.3419528624789511E-3</v>
      </c>
      <c r="S84" s="80">
        <f t="shared" si="39"/>
        <v>8.0349968752780286E-4</v>
      </c>
      <c r="T84" s="80">
        <f t="shared" si="40"/>
        <v>0</v>
      </c>
      <c r="U84" s="81">
        <f t="shared" si="41"/>
        <v>-1.0999999999999998E-3</v>
      </c>
      <c r="V84" s="82">
        <f t="shared" si="42"/>
        <v>2.3999999999999994E-3</v>
      </c>
    </row>
    <row r="85" spans="1:22" ht="13.5" customHeight="1">
      <c r="A85" s="173">
        <v>74</v>
      </c>
      <c r="B85" s="170" t="s">
        <v>142</v>
      </c>
      <c r="C85" s="166" t="s">
        <v>75</v>
      </c>
      <c r="D85" s="57">
        <v>594716777.28999996</v>
      </c>
      <c r="E85" s="52">
        <f t="shared" si="43"/>
        <v>2.50661691959812E-3</v>
      </c>
      <c r="F85" s="85">
        <v>1.5125</v>
      </c>
      <c r="G85" s="85">
        <v>1.5125</v>
      </c>
      <c r="H85" s="53">
        <v>1698</v>
      </c>
      <c r="I85" s="75">
        <v>8.5350403414015119E-3</v>
      </c>
      <c r="J85" s="75">
        <v>0.16327780345747123</v>
      </c>
      <c r="K85" s="57">
        <v>681611880.75</v>
      </c>
      <c r="L85" s="52">
        <f t="shared" si="37"/>
        <v>2.8225143748665661E-3</v>
      </c>
      <c r="M85" s="85">
        <v>1.4984999999999999</v>
      </c>
      <c r="N85" s="85">
        <v>1.4984999999999999</v>
      </c>
      <c r="O85" s="53">
        <v>1749</v>
      </c>
      <c r="P85" s="75">
        <v>-9.2999999999999992E-3</v>
      </c>
      <c r="Q85" s="75">
        <v>0.13850000000000001</v>
      </c>
      <c r="R85" s="80">
        <f t="shared" si="38"/>
        <v>0.14611174054305792</v>
      </c>
      <c r="S85" s="80">
        <f t="shared" si="39"/>
        <v>-9.2561983471074472E-3</v>
      </c>
      <c r="T85" s="80">
        <f t="shared" si="40"/>
        <v>3.0035335689045935E-2</v>
      </c>
      <c r="U85" s="81">
        <f t="shared" si="41"/>
        <v>-1.7835040341401511E-2</v>
      </c>
      <c r="V85" s="82">
        <f t="shared" si="42"/>
        <v>-2.4777803457471215E-2</v>
      </c>
    </row>
    <row r="86" spans="1:22" ht="13.5" customHeight="1">
      <c r="A86" s="173">
        <v>75</v>
      </c>
      <c r="B86" s="170" t="s">
        <v>143</v>
      </c>
      <c r="C86" s="166" t="s">
        <v>75</v>
      </c>
      <c r="D86" s="57">
        <v>57823243.170000002</v>
      </c>
      <c r="E86" s="52">
        <f t="shared" si="43"/>
        <v>2.4371385710089262E-4</v>
      </c>
      <c r="F86" s="85">
        <v>1.0477000000000001</v>
      </c>
      <c r="G86" s="85">
        <v>1.0477000000000001</v>
      </c>
      <c r="H86" s="53">
        <v>30</v>
      </c>
      <c r="I86" s="75">
        <v>1.9125944343501011E-3</v>
      </c>
      <c r="J86" s="75">
        <v>5.7001614205004048E-2</v>
      </c>
      <c r="K86" s="57">
        <v>66736531.469999999</v>
      </c>
      <c r="L86" s="52">
        <f t="shared" si="37"/>
        <v>2.7635201897529421E-4</v>
      </c>
      <c r="M86" s="85">
        <v>0.995</v>
      </c>
      <c r="N86" s="85">
        <v>0.995</v>
      </c>
      <c r="O86" s="53">
        <v>49</v>
      </c>
      <c r="P86" s="75">
        <v>-5.0299999999999997E-2</v>
      </c>
      <c r="Q86" s="75">
        <v>3.8E-3</v>
      </c>
      <c r="R86" s="80">
        <f t="shared" ref="R86" si="46">((K86-D86)/D86)</f>
        <v>0.15414715279450827</v>
      </c>
      <c r="S86" s="80">
        <f t="shared" ref="S86" si="47">((N86-G86)/G86)</f>
        <v>-5.0300658585473015E-2</v>
      </c>
      <c r="T86" s="80">
        <f t="shared" ref="T86" si="48">((O86-H86)/H86)</f>
        <v>0.6333333333333333</v>
      </c>
      <c r="U86" s="81">
        <f t="shared" ref="U86" si="49">P86-I86</f>
        <v>-5.2212594434350099E-2</v>
      </c>
      <c r="V86" s="82">
        <f t="shared" ref="V86" si="50">Q86-J86</f>
        <v>-5.320161420500405E-2</v>
      </c>
    </row>
    <row r="87" spans="1:22">
      <c r="A87" s="173">
        <v>76</v>
      </c>
      <c r="B87" s="170" t="s">
        <v>144</v>
      </c>
      <c r="C87" s="166" t="s">
        <v>30</v>
      </c>
      <c r="D87" s="57">
        <v>230744061.24000001</v>
      </c>
      <c r="E87" s="52">
        <f t="shared" si="43"/>
        <v>9.7254187217747125E-4</v>
      </c>
      <c r="F87" s="85">
        <v>139.33269999999999</v>
      </c>
      <c r="G87" s="85">
        <v>139.33269999999999</v>
      </c>
      <c r="H87" s="53">
        <v>382</v>
      </c>
      <c r="I87" s="75">
        <v>5.0500000000000002E-4</v>
      </c>
      <c r="J87" s="75">
        <v>0.18149999999999999</v>
      </c>
      <c r="K87" s="57">
        <v>307290244.75</v>
      </c>
      <c r="L87" s="52">
        <f t="shared" si="37"/>
        <v>1.2724706795145463E-3</v>
      </c>
      <c r="M87" s="85">
        <v>139.9537</v>
      </c>
      <c r="N87" s="85">
        <v>139.9537</v>
      </c>
      <c r="O87" s="53">
        <v>392</v>
      </c>
      <c r="P87" s="75">
        <v>4.8000000000000001E-4</v>
      </c>
      <c r="Q87" s="75">
        <v>0.1855</v>
      </c>
      <c r="R87" s="80">
        <f t="shared" si="38"/>
        <v>0.33173631034596063</v>
      </c>
      <c r="S87" s="80">
        <f t="shared" si="39"/>
        <v>4.4569580579433927E-3</v>
      </c>
      <c r="T87" s="80">
        <f t="shared" si="40"/>
        <v>2.6178010471204188E-2</v>
      </c>
      <c r="U87" s="81">
        <f t="shared" si="41"/>
        <v>-2.5000000000000011E-5</v>
      </c>
      <c r="V87" s="82">
        <f t="shared" si="42"/>
        <v>4.0000000000000036E-3</v>
      </c>
    </row>
    <row r="88" spans="1:22">
      <c r="A88" s="173">
        <v>77</v>
      </c>
      <c r="B88" s="170" t="s">
        <v>145</v>
      </c>
      <c r="C88" s="166" t="s">
        <v>77</v>
      </c>
      <c r="D88" s="57">
        <v>2671478799.23</v>
      </c>
      <c r="E88" s="52">
        <f t="shared" si="43"/>
        <v>1.1259769715950446E-2</v>
      </c>
      <c r="F88" s="56">
        <v>1284.1500000000001</v>
      </c>
      <c r="G88" s="56">
        <v>1284.1500000000001</v>
      </c>
      <c r="H88" s="53">
        <v>314</v>
      </c>
      <c r="I88" s="75">
        <v>1.9199999999999998E-2</v>
      </c>
      <c r="J88" s="75">
        <v>0.23680000000000001</v>
      </c>
      <c r="K88" s="57">
        <v>2679780832.6500001</v>
      </c>
      <c r="L88" s="52">
        <f t="shared" si="37"/>
        <v>1.1096813502317348E-2</v>
      </c>
      <c r="M88" s="56">
        <v>1288.43</v>
      </c>
      <c r="N88" s="56">
        <v>1288.43</v>
      </c>
      <c r="O88" s="53">
        <v>314</v>
      </c>
      <c r="P88" s="75">
        <v>1.9E-2</v>
      </c>
      <c r="Q88" s="75">
        <v>0.2344</v>
      </c>
      <c r="R88" s="80">
        <f t="shared" si="38"/>
        <v>3.107654615261394E-3</v>
      </c>
      <c r="S88" s="80">
        <f t="shared" si="39"/>
        <v>3.3329439707199099E-3</v>
      </c>
      <c r="T88" s="80">
        <f t="shared" si="40"/>
        <v>0</v>
      </c>
      <c r="U88" s="81">
        <f t="shared" si="41"/>
        <v>-1.9999999999999879E-4</v>
      </c>
      <c r="V88" s="82">
        <f t="shared" si="42"/>
        <v>-2.4000000000000132E-3</v>
      </c>
    </row>
    <row r="89" spans="1:22">
      <c r="A89" s="173">
        <v>78</v>
      </c>
      <c r="B89" s="170" t="s">
        <v>146</v>
      </c>
      <c r="C89" s="166" t="s">
        <v>79</v>
      </c>
      <c r="D89" s="57">
        <v>147504460.22999999</v>
      </c>
      <c r="E89" s="52">
        <f t="shared" si="43"/>
        <v>6.2170295146795923E-4</v>
      </c>
      <c r="F89" s="56">
        <v>1123.1099999999999</v>
      </c>
      <c r="G89" s="56">
        <v>1123.6300000000001</v>
      </c>
      <c r="H89" s="53">
        <v>72</v>
      </c>
      <c r="I89" s="75">
        <v>3.3999999999999998E-3</v>
      </c>
      <c r="J89" s="75">
        <v>0.1116</v>
      </c>
      <c r="K89" s="57">
        <v>147544102.93000001</v>
      </c>
      <c r="L89" s="52">
        <f t="shared" si="37"/>
        <v>6.109713800594097E-4</v>
      </c>
      <c r="M89" s="56">
        <v>1102.96</v>
      </c>
      <c r="N89" s="56">
        <v>1137.43</v>
      </c>
      <c r="O89" s="53">
        <v>72</v>
      </c>
      <c r="P89" s="75">
        <v>-2E-3</v>
      </c>
      <c r="Q89" s="75">
        <v>-3.0999999999999999E-3</v>
      </c>
      <c r="R89" s="80">
        <f t="shared" si="38"/>
        <v>2.687559409268304E-4</v>
      </c>
      <c r="S89" s="80">
        <f t="shared" si="39"/>
        <v>1.2281622954175266E-2</v>
      </c>
      <c r="T89" s="80">
        <f t="shared" si="40"/>
        <v>0</v>
      </c>
      <c r="U89" s="81">
        <f t="shared" si="41"/>
        <v>-5.4000000000000003E-3</v>
      </c>
      <c r="V89" s="82">
        <f t="shared" si="42"/>
        <v>-0.11470000000000001</v>
      </c>
    </row>
    <row r="90" spans="1:22">
      <c r="A90" s="173">
        <v>79</v>
      </c>
      <c r="B90" s="170" t="s">
        <v>147</v>
      </c>
      <c r="C90" s="166" t="s">
        <v>82</v>
      </c>
      <c r="D90" s="57">
        <v>711204049.22000003</v>
      </c>
      <c r="E90" s="52">
        <f t="shared" si="43"/>
        <v>2.997588383473913E-3</v>
      </c>
      <c r="F90" s="86">
        <v>1.17798</v>
      </c>
      <c r="G90" s="86">
        <v>1.17798</v>
      </c>
      <c r="H90" s="53">
        <v>56</v>
      </c>
      <c r="I90" s="75">
        <v>0.11257</v>
      </c>
      <c r="J90" s="75">
        <v>0.10879999999999999</v>
      </c>
      <c r="K90" s="57">
        <v>711204049.22000003</v>
      </c>
      <c r="L90" s="52">
        <f t="shared" si="37"/>
        <v>2.9450537895231062E-3</v>
      </c>
      <c r="M90" s="86">
        <v>1.1880999999999999</v>
      </c>
      <c r="N90" s="86">
        <v>1.1880999999999999</v>
      </c>
      <c r="O90" s="53">
        <v>57</v>
      </c>
      <c r="P90" s="75">
        <v>0.11257</v>
      </c>
      <c r="Q90" s="75">
        <v>0.1308</v>
      </c>
      <c r="R90" s="80">
        <f t="shared" si="38"/>
        <v>0</v>
      </c>
      <c r="S90" s="80">
        <f t="shared" si="39"/>
        <v>8.5909777755139357E-3</v>
      </c>
      <c r="T90" s="80">
        <f t="shared" si="40"/>
        <v>1.7857142857142856E-2</v>
      </c>
      <c r="U90" s="81">
        <f t="shared" si="41"/>
        <v>0</v>
      </c>
      <c r="V90" s="82">
        <f t="shared" si="42"/>
        <v>2.2000000000000006E-2</v>
      </c>
    </row>
    <row r="91" spans="1:22">
      <c r="A91" s="173">
        <v>80</v>
      </c>
      <c r="B91" s="170" t="s">
        <v>148</v>
      </c>
      <c r="C91" s="166" t="s">
        <v>32</v>
      </c>
      <c r="D91" s="86">
        <v>11497421420.84</v>
      </c>
      <c r="E91" s="52">
        <f t="shared" si="43"/>
        <v>4.8459421636888128E-2</v>
      </c>
      <c r="F91" s="86">
        <v>1664.1</v>
      </c>
      <c r="G91" s="86">
        <v>1664.1</v>
      </c>
      <c r="H91" s="53">
        <v>2041</v>
      </c>
      <c r="I91" s="75">
        <v>8.9999999999999998E-4</v>
      </c>
      <c r="J91" s="75">
        <v>4.87E-2</v>
      </c>
      <c r="K91" s="86">
        <v>11529858652</v>
      </c>
      <c r="L91" s="52">
        <f t="shared" si="37"/>
        <v>4.7744460894140084E-2</v>
      </c>
      <c r="M91" s="86">
        <v>1667.15</v>
      </c>
      <c r="N91" s="86">
        <v>1667.15</v>
      </c>
      <c r="O91" s="53">
        <v>2041</v>
      </c>
      <c r="P91" s="75">
        <v>1.5E-3</v>
      </c>
      <c r="Q91" s="75">
        <v>4.2999999999999997E-2</v>
      </c>
      <c r="R91" s="80">
        <f t="shared" si="38"/>
        <v>2.8212613918112768E-3</v>
      </c>
      <c r="S91" s="80">
        <f t="shared" si="39"/>
        <v>1.8328225467220613E-3</v>
      </c>
      <c r="T91" s="80">
        <f t="shared" si="40"/>
        <v>0</v>
      </c>
      <c r="U91" s="81">
        <f t="shared" si="41"/>
        <v>6.0000000000000006E-4</v>
      </c>
      <c r="V91" s="82">
        <f t="shared" si="42"/>
        <v>-5.7000000000000037E-3</v>
      </c>
    </row>
    <row r="92" spans="1:22">
      <c r="A92" s="173">
        <v>81</v>
      </c>
      <c r="B92" s="170" t="s">
        <v>149</v>
      </c>
      <c r="C92" s="166" t="s">
        <v>92</v>
      </c>
      <c r="D92" s="57">
        <v>23822431.25</v>
      </c>
      <c r="E92" s="52">
        <f t="shared" si="43"/>
        <v>1.0040696936332599E-4</v>
      </c>
      <c r="F92" s="85">
        <v>0.72770000000000001</v>
      </c>
      <c r="G92" s="85">
        <v>0.72770000000000001</v>
      </c>
      <c r="H92" s="53">
        <v>744</v>
      </c>
      <c r="I92" s="75">
        <v>1.6999999999999999E-3</v>
      </c>
      <c r="J92" s="75">
        <v>1.5299999999999999E-2</v>
      </c>
      <c r="K92" s="57">
        <v>23893673.75</v>
      </c>
      <c r="L92" s="52">
        <f t="shared" si="37"/>
        <v>9.8942285972979552E-5</v>
      </c>
      <c r="M92" s="85">
        <v>0.72989999999999999</v>
      </c>
      <c r="N92" s="85">
        <v>0.72770000000000001</v>
      </c>
      <c r="O92" s="53">
        <v>744</v>
      </c>
      <c r="P92" s="75">
        <v>3.0000000000000001E-3</v>
      </c>
      <c r="Q92" s="75">
        <v>6.9999999999999999E-4</v>
      </c>
      <c r="R92" s="80">
        <f t="shared" si="38"/>
        <v>2.9905637779939023E-3</v>
      </c>
      <c r="S92" s="80">
        <f t="shared" si="39"/>
        <v>0</v>
      </c>
      <c r="T92" s="80">
        <f t="shared" si="40"/>
        <v>0</v>
      </c>
      <c r="U92" s="81">
        <f t="shared" si="41"/>
        <v>1.3000000000000002E-3</v>
      </c>
      <c r="V92" s="82">
        <f t="shared" si="42"/>
        <v>-1.46E-2</v>
      </c>
    </row>
    <row r="93" spans="1:22">
      <c r="A93" s="173">
        <v>82</v>
      </c>
      <c r="B93" s="170" t="s">
        <v>150</v>
      </c>
      <c r="C93" s="166" t="s">
        <v>38</v>
      </c>
      <c r="D93" s="57">
        <v>11599556205.280001</v>
      </c>
      <c r="E93" s="52">
        <f t="shared" si="43"/>
        <v>4.888990012435137E-2</v>
      </c>
      <c r="F93" s="85">
        <v>1</v>
      </c>
      <c r="G93" s="85">
        <v>1</v>
      </c>
      <c r="H93" s="53">
        <v>4981</v>
      </c>
      <c r="I93" s="75">
        <v>0.06</v>
      </c>
      <c r="J93" s="75">
        <v>0.06</v>
      </c>
      <c r="K93" s="57">
        <v>11655971734.83</v>
      </c>
      <c r="L93" s="52">
        <f t="shared" si="37"/>
        <v>4.8266687690942313E-2</v>
      </c>
      <c r="M93" s="85">
        <v>1</v>
      </c>
      <c r="N93" s="85">
        <v>1</v>
      </c>
      <c r="O93" s="53">
        <v>5150</v>
      </c>
      <c r="P93" s="75">
        <v>0.06</v>
      </c>
      <c r="Q93" s="75">
        <v>0.06</v>
      </c>
      <c r="R93" s="80">
        <f t="shared" si="38"/>
        <v>4.863593792003823E-3</v>
      </c>
      <c r="S93" s="80">
        <f t="shared" si="39"/>
        <v>0</v>
      </c>
      <c r="T93" s="80">
        <f t="shared" si="40"/>
        <v>3.3928929933748242E-2</v>
      </c>
      <c r="U93" s="81">
        <f t="shared" si="41"/>
        <v>0</v>
      </c>
      <c r="V93" s="82">
        <f t="shared" si="42"/>
        <v>0</v>
      </c>
    </row>
    <row r="94" spans="1:22">
      <c r="A94" s="173">
        <v>83</v>
      </c>
      <c r="B94" s="170" t="s">
        <v>151</v>
      </c>
      <c r="C94" s="166" t="s">
        <v>152</v>
      </c>
      <c r="D94" s="57">
        <v>1793393249.04</v>
      </c>
      <c r="E94" s="52">
        <f t="shared" si="43"/>
        <v>7.5588078782997826E-3</v>
      </c>
      <c r="F94" s="57">
        <v>275.24</v>
      </c>
      <c r="G94" s="57">
        <v>275.24</v>
      </c>
      <c r="H94" s="53">
        <v>562</v>
      </c>
      <c r="I94" s="75">
        <v>3.0000000000000001E-3</v>
      </c>
      <c r="J94" s="75">
        <v>0.18720000000000001</v>
      </c>
      <c r="K94" s="57">
        <v>1796012144.2</v>
      </c>
      <c r="L94" s="52">
        <f t="shared" si="37"/>
        <v>7.4371797757714249E-3</v>
      </c>
      <c r="M94" s="57">
        <v>275.57</v>
      </c>
      <c r="N94" s="57">
        <v>275.57</v>
      </c>
      <c r="O94" s="53">
        <v>562</v>
      </c>
      <c r="P94" s="75">
        <v>3.0000000000000001E-3</v>
      </c>
      <c r="Q94" s="75">
        <v>0.18720000000000001</v>
      </c>
      <c r="R94" s="80">
        <f t="shared" si="38"/>
        <v>1.4603016719294418E-3</v>
      </c>
      <c r="S94" s="80">
        <f t="shared" si="39"/>
        <v>1.1989536404591777E-3</v>
      </c>
      <c r="T94" s="80">
        <f t="shared" si="40"/>
        <v>0</v>
      </c>
      <c r="U94" s="81">
        <f t="shared" si="41"/>
        <v>0</v>
      </c>
      <c r="V94" s="82">
        <f t="shared" si="42"/>
        <v>0</v>
      </c>
    </row>
    <row r="95" spans="1:22">
      <c r="A95" s="173">
        <v>84</v>
      </c>
      <c r="B95" s="170" t="s">
        <v>153</v>
      </c>
      <c r="C95" s="166" t="s">
        <v>42</v>
      </c>
      <c r="D95" s="57">
        <v>1079867325.0799999</v>
      </c>
      <c r="E95" s="52">
        <f t="shared" si="43"/>
        <v>4.5514332390303083E-3</v>
      </c>
      <c r="F95" s="85">
        <v>3.6</v>
      </c>
      <c r="G95" s="85">
        <v>3.63</v>
      </c>
      <c r="H95" s="71">
        <v>793</v>
      </c>
      <c r="I95" s="78">
        <v>6.4999999999999997E-3</v>
      </c>
      <c r="J95" s="78">
        <v>-3.7000000000000002E-3</v>
      </c>
      <c r="K95" s="57">
        <v>1084640645.53</v>
      </c>
      <c r="L95" s="52">
        <f t="shared" si="37"/>
        <v>4.4914325880065385E-3</v>
      </c>
      <c r="M95" s="85">
        <v>3.62</v>
      </c>
      <c r="N95" s="85">
        <v>3.64</v>
      </c>
      <c r="O95" s="71">
        <v>795</v>
      </c>
      <c r="P95" s="78">
        <v>1.1299999999999999E-2</v>
      </c>
      <c r="Q95" s="78">
        <v>0.15640000000000001</v>
      </c>
      <c r="R95" s="80">
        <f t="shared" si="38"/>
        <v>4.4202841767125656E-3</v>
      </c>
      <c r="S95" s="80">
        <f t="shared" si="39"/>
        <v>2.7548209366391823E-3</v>
      </c>
      <c r="T95" s="80">
        <f t="shared" si="40"/>
        <v>2.5220680958385876E-3</v>
      </c>
      <c r="U95" s="81">
        <f t="shared" si="41"/>
        <v>4.7999999999999996E-3</v>
      </c>
      <c r="V95" s="82">
        <f t="shared" si="42"/>
        <v>0.16010000000000002</v>
      </c>
    </row>
    <row r="96" spans="1:22">
      <c r="A96" s="173">
        <v>85</v>
      </c>
      <c r="B96" s="170" t="s">
        <v>154</v>
      </c>
      <c r="C96" s="166" t="s">
        <v>44</v>
      </c>
      <c r="D96" s="57">
        <v>734436851.85000002</v>
      </c>
      <c r="E96" s="52">
        <f t="shared" si="43"/>
        <v>3.0955101815227423E-3</v>
      </c>
      <c r="F96" s="85">
        <v>113.11</v>
      </c>
      <c r="G96" s="85">
        <v>113.11</v>
      </c>
      <c r="H96" s="71">
        <v>292</v>
      </c>
      <c r="I96" s="78">
        <v>0.1464</v>
      </c>
      <c r="J96" s="78">
        <v>0.16889999999999999</v>
      </c>
      <c r="K96" s="57">
        <v>735466524.41999996</v>
      </c>
      <c r="L96" s="52">
        <f t="shared" si="37"/>
        <v>3.0455232604285889E-3</v>
      </c>
      <c r="M96" s="85">
        <v>113.33271000000001</v>
      </c>
      <c r="N96" s="85">
        <v>113.33271000000001</v>
      </c>
      <c r="O96" s="71">
        <v>292</v>
      </c>
      <c r="P96" s="78">
        <v>0.14899999999999999</v>
      </c>
      <c r="Q96" s="78">
        <v>0.17150000000000001</v>
      </c>
      <c r="R96" s="80">
        <f t="shared" si="38"/>
        <v>1.4019892485055089E-3</v>
      </c>
      <c r="S96" s="80">
        <f t="shared" si="39"/>
        <v>1.9689682609849387E-3</v>
      </c>
      <c r="T96" s="80">
        <f t="shared" si="40"/>
        <v>0</v>
      </c>
      <c r="U96" s="81">
        <f t="shared" si="41"/>
        <v>2.5999999999999912E-3</v>
      </c>
      <c r="V96" s="82">
        <f t="shared" si="42"/>
        <v>2.600000000000019E-3</v>
      </c>
    </row>
    <row r="97" spans="1:22">
      <c r="A97" s="173">
        <v>86</v>
      </c>
      <c r="B97" s="166" t="s">
        <v>155</v>
      </c>
      <c r="C97" s="172" t="s">
        <v>48</v>
      </c>
      <c r="D97" s="57">
        <v>1062800538.99</v>
      </c>
      <c r="E97" s="52">
        <f t="shared" si="43"/>
        <v>4.4795000156709567E-3</v>
      </c>
      <c r="F97" s="85">
        <v>111.16</v>
      </c>
      <c r="G97" s="85">
        <v>111.88</v>
      </c>
      <c r="H97" s="53">
        <v>289</v>
      </c>
      <c r="I97" s="75">
        <v>4.3E-3</v>
      </c>
      <c r="J97" s="75">
        <v>0.13900000000000001</v>
      </c>
      <c r="K97" s="57">
        <v>1068997415.4400001</v>
      </c>
      <c r="L97" s="52">
        <f t="shared" si="37"/>
        <v>4.426654899933105E-3</v>
      </c>
      <c r="M97" s="85">
        <v>111.16</v>
      </c>
      <c r="N97" s="85">
        <v>111.88</v>
      </c>
      <c r="O97" s="53">
        <v>289</v>
      </c>
      <c r="P97" s="75">
        <v>5.5999999999999999E-3</v>
      </c>
      <c r="Q97" s="75">
        <v>0.14460000000000001</v>
      </c>
      <c r="R97" s="80">
        <f t="shared" si="38"/>
        <v>5.8307050313401798E-3</v>
      </c>
      <c r="S97" s="80">
        <f t="shared" si="39"/>
        <v>0</v>
      </c>
      <c r="T97" s="80">
        <f t="shared" si="40"/>
        <v>0</v>
      </c>
      <c r="U97" s="81">
        <f t="shared" si="41"/>
        <v>1.2999999999999999E-3</v>
      </c>
      <c r="V97" s="82">
        <f t="shared" si="42"/>
        <v>5.5999999999999939E-3</v>
      </c>
    </row>
    <row r="98" spans="1:22">
      <c r="A98" s="173">
        <v>87</v>
      </c>
      <c r="B98" s="170" t="s">
        <v>156</v>
      </c>
      <c r="C98" s="166" t="s">
        <v>20</v>
      </c>
      <c r="D98" s="159">
        <v>1638920912.9200001</v>
      </c>
      <c r="E98" s="161">
        <f t="shared" si="43"/>
        <v>6.9077366690888323E-3</v>
      </c>
      <c r="F98" s="162">
        <v>391.03059999999999</v>
      </c>
      <c r="G98" s="162">
        <v>391.03059999999999</v>
      </c>
      <c r="H98" s="55">
        <v>97</v>
      </c>
      <c r="I98" s="76">
        <v>2.5000000000000001E-3</v>
      </c>
      <c r="J98" s="76">
        <v>0.13669999999999999</v>
      </c>
      <c r="K98" s="159">
        <v>1639969565.4300001</v>
      </c>
      <c r="L98" s="161">
        <f t="shared" si="37"/>
        <v>6.7910167112647576E-3</v>
      </c>
      <c r="M98" s="162">
        <v>391.19740000000002</v>
      </c>
      <c r="N98" s="162">
        <v>391.19740000000002</v>
      </c>
      <c r="O98" s="55">
        <v>90</v>
      </c>
      <c r="P98" s="76">
        <v>-1.5E-3</v>
      </c>
      <c r="Q98" s="76">
        <v>0.15190000000000001</v>
      </c>
      <c r="R98" s="81">
        <f t="shared" si="38"/>
        <v>6.3984326622060618E-4</v>
      </c>
      <c r="S98" s="81">
        <f t="shared" si="39"/>
        <v>4.2656508211895276E-4</v>
      </c>
      <c r="T98" s="81">
        <f t="shared" si="40"/>
        <v>-7.2164948453608241E-2</v>
      </c>
      <c r="U98" s="81">
        <f t="shared" si="41"/>
        <v>-4.0000000000000001E-3</v>
      </c>
      <c r="V98" s="82">
        <f t="shared" si="42"/>
        <v>1.5200000000000019E-2</v>
      </c>
    </row>
    <row r="99" spans="1:22">
      <c r="A99" s="173">
        <v>88</v>
      </c>
      <c r="B99" s="170" t="s">
        <v>157</v>
      </c>
      <c r="C99" s="166" t="s">
        <v>104</v>
      </c>
      <c r="D99" s="69">
        <v>1787833422</v>
      </c>
      <c r="E99" s="52">
        <f>(D99/$K$72)</f>
        <v>3.6773852909547375E-4</v>
      </c>
      <c r="F99" s="85">
        <v>104.14</v>
      </c>
      <c r="G99" s="85">
        <v>104.14</v>
      </c>
      <c r="H99" s="53">
        <v>411</v>
      </c>
      <c r="I99" s="75">
        <v>1.6000000000000001E-3</v>
      </c>
      <c r="J99" s="75">
        <v>0.1391</v>
      </c>
      <c r="K99" s="69">
        <v>1793386604</v>
      </c>
      <c r="L99" s="52">
        <f t="shared" ref="L99:L113" si="51">(K99/$K$114)</f>
        <v>7.426307569512145E-3</v>
      </c>
      <c r="M99" s="85">
        <v>101.12</v>
      </c>
      <c r="N99" s="85">
        <v>101.12</v>
      </c>
      <c r="O99" s="53">
        <v>411</v>
      </c>
      <c r="P99" s="75">
        <v>2.8E-3</v>
      </c>
      <c r="Q99" s="75">
        <v>0.13950000000000001</v>
      </c>
      <c r="R99" s="80">
        <f t="shared" si="38"/>
        <v>3.1060958653451104E-3</v>
      </c>
      <c r="S99" s="80">
        <f t="shared" si="39"/>
        <v>-2.8999423852506204E-2</v>
      </c>
      <c r="T99" s="80">
        <f t="shared" si="40"/>
        <v>0</v>
      </c>
      <c r="U99" s="81">
        <f t="shared" si="41"/>
        <v>1.1999999999999999E-3</v>
      </c>
      <c r="V99" s="82">
        <f t="shared" si="42"/>
        <v>4.0000000000001146E-4</v>
      </c>
    </row>
    <row r="100" spans="1:22">
      <c r="A100" s="173">
        <v>89</v>
      </c>
      <c r="B100" s="170" t="s">
        <v>158</v>
      </c>
      <c r="C100" s="166" t="s">
        <v>46</v>
      </c>
      <c r="D100" s="57">
        <v>58500810.219999999</v>
      </c>
      <c r="E100" s="52">
        <f t="shared" ref="E100:E113" si="52">(D100/$D$114)</f>
        <v>2.4656967199723951E-4</v>
      </c>
      <c r="F100" s="57">
        <v>11.944100000000001</v>
      </c>
      <c r="G100" s="57">
        <v>12.651858000000001</v>
      </c>
      <c r="H100" s="53">
        <v>55</v>
      </c>
      <c r="I100" s="75">
        <v>-1.4E-3</v>
      </c>
      <c r="J100" s="75">
        <v>-1.3100000000000001E-2</v>
      </c>
      <c r="K100" s="57">
        <v>58728774.350000001</v>
      </c>
      <c r="L100" s="52">
        <f t="shared" si="51"/>
        <v>2.4319237164524717E-4</v>
      </c>
      <c r="M100" s="57">
        <v>11.99</v>
      </c>
      <c r="N100" s="57">
        <v>12.71</v>
      </c>
      <c r="O100" s="53">
        <v>55</v>
      </c>
      <c r="P100" s="75">
        <v>-1.2999999999999999E-2</v>
      </c>
      <c r="Q100" s="75">
        <v>-1.3100000000000001E-2</v>
      </c>
      <c r="R100" s="80">
        <f t="shared" si="38"/>
        <v>3.8967687651284412E-3</v>
      </c>
      <c r="S100" s="80">
        <f t="shared" si="39"/>
        <v>4.5955305536941795E-3</v>
      </c>
      <c r="T100" s="80">
        <f t="shared" si="40"/>
        <v>0</v>
      </c>
      <c r="U100" s="81">
        <f t="shared" si="41"/>
        <v>-1.1599999999999999E-2</v>
      </c>
      <c r="V100" s="82">
        <f t="shared" si="42"/>
        <v>0</v>
      </c>
    </row>
    <row r="101" spans="1:22">
      <c r="A101" s="173">
        <v>90</v>
      </c>
      <c r="B101" s="170" t="s">
        <v>159</v>
      </c>
      <c r="C101" s="166" t="s">
        <v>160</v>
      </c>
      <c r="D101" s="57">
        <v>1024584903.01</v>
      </c>
      <c r="E101" s="52">
        <f t="shared" si="52"/>
        <v>4.3184284545537896E-3</v>
      </c>
      <c r="F101" s="57">
        <v>155.55000000000001</v>
      </c>
      <c r="G101" s="57">
        <v>155.55000000000001</v>
      </c>
      <c r="H101" s="53">
        <v>174</v>
      </c>
      <c r="I101" s="75">
        <v>0.2863</v>
      </c>
      <c r="J101" s="75">
        <v>0.1895</v>
      </c>
      <c r="K101" s="57">
        <v>1040744198.36</v>
      </c>
      <c r="L101" s="52">
        <f t="shared" si="51"/>
        <v>4.3096600035754011E-3</v>
      </c>
      <c r="M101" s="57">
        <v>155.94999999999999</v>
      </c>
      <c r="N101" s="57">
        <v>155.94999999999999</v>
      </c>
      <c r="O101" s="53">
        <v>175</v>
      </c>
      <c r="P101" s="75">
        <v>4.2700000000000002E-2</v>
      </c>
      <c r="Q101" s="75">
        <v>0.17169999999999999</v>
      </c>
      <c r="R101" s="80">
        <f t="shared" si="38"/>
        <v>1.5771553243198927E-2</v>
      </c>
      <c r="S101" s="80">
        <f t="shared" si="39"/>
        <v>2.5715204114431195E-3</v>
      </c>
      <c r="T101" s="80">
        <f t="shared" si="40"/>
        <v>5.7471264367816091E-3</v>
      </c>
      <c r="U101" s="81">
        <f t="shared" si="41"/>
        <v>-0.24359999999999998</v>
      </c>
      <c r="V101" s="82">
        <f t="shared" si="42"/>
        <v>-1.780000000000001E-2</v>
      </c>
    </row>
    <row r="102" spans="1:22">
      <c r="A102" s="173">
        <v>91</v>
      </c>
      <c r="B102" s="170" t="s">
        <v>161</v>
      </c>
      <c r="C102" s="166" t="s">
        <v>162</v>
      </c>
      <c r="D102" s="57">
        <v>10955981811.3757</v>
      </c>
      <c r="E102" s="52">
        <f t="shared" si="52"/>
        <v>4.6177357740510079E-2</v>
      </c>
      <c r="F102" s="57">
        <v>1.1399999999999999</v>
      </c>
      <c r="G102" s="57">
        <v>1.1399999999999999</v>
      </c>
      <c r="H102" s="53">
        <v>5122</v>
      </c>
      <c r="I102" s="75">
        <v>0.17030000000000001</v>
      </c>
      <c r="J102" s="75">
        <v>0.17030000000000001</v>
      </c>
      <c r="K102" s="57">
        <v>10788286434.315201</v>
      </c>
      <c r="L102" s="52">
        <f t="shared" si="51"/>
        <v>4.4673654320003031E-2</v>
      </c>
      <c r="M102" s="57">
        <v>1</v>
      </c>
      <c r="N102" s="57">
        <v>1</v>
      </c>
      <c r="O102" s="53">
        <v>5187</v>
      </c>
      <c r="P102" s="75">
        <v>0.1661</v>
      </c>
      <c r="Q102" s="75">
        <v>0.1661</v>
      </c>
      <c r="R102" s="80">
        <f t="shared" si="38"/>
        <v>-1.5306284726246943E-2</v>
      </c>
      <c r="S102" s="80">
        <f t="shared" si="39"/>
        <v>-0.12280701754385957</v>
      </c>
      <c r="T102" s="80">
        <f t="shared" si="40"/>
        <v>1.2690355329949238E-2</v>
      </c>
      <c r="U102" s="81">
        <f t="shared" si="41"/>
        <v>-4.2000000000000093E-3</v>
      </c>
      <c r="V102" s="82">
        <f t="shared" si="42"/>
        <v>-4.2000000000000093E-3</v>
      </c>
    </row>
    <row r="103" spans="1:22" ht="14.25" customHeight="1">
      <c r="A103" s="173">
        <v>92</v>
      </c>
      <c r="B103" s="170" t="s">
        <v>163</v>
      </c>
      <c r="C103" s="166" t="s">
        <v>50</v>
      </c>
      <c r="D103" s="57">
        <v>4926647063.6400003</v>
      </c>
      <c r="E103" s="52">
        <f t="shared" si="52"/>
        <v>2.0764870536999512E-2</v>
      </c>
      <c r="F103" s="57">
        <v>5176.1000000000004</v>
      </c>
      <c r="G103" s="57">
        <v>5176.1000000000004</v>
      </c>
      <c r="H103" s="53">
        <v>22</v>
      </c>
      <c r="I103" s="75">
        <v>0</v>
      </c>
      <c r="J103" s="75">
        <v>1.6999999999999999E-3</v>
      </c>
      <c r="K103" s="57">
        <v>4925275088.1700001</v>
      </c>
      <c r="L103" s="52">
        <f t="shared" si="51"/>
        <v>2.039527204431291E-2</v>
      </c>
      <c r="M103" s="57">
        <v>5176.1000000000004</v>
      </c>
      <c r="N103" s="57">
        <v>5176.1000000000004</v>
      </c>
      <c r="O103" s="53">
        <v>17</v>
      </c>
      <c r="P103" s="75">
        <v>0</v>
      </c>
      <c r="Q103" s="75">
        <v>0</v>
      </c>
      <c r="R103" s="80">
        <f t="shared" si="38"/>
        <v>-2.7848056746865844E-4</v>
      </c>
      <c r="S103" s="80">
        <f t="shared" si="39"/>
        <v>0</v>
      </c>
      <c r="T103" s="80">
        <f t="shared" si="40"/>
        <v>-0.22727272727272727</v>
      </c>
      <c r="U103" s="81">
        <f t="shared" si="41"/>
        <v>0</v>
      </c>
      <c r="V103" s="82">
        <f t="shared" si="42"/>
        <v>-1.6999999999999999E-3</v>
      </c>
    </row>
    <row r="104" spans="1:22" ht="13.5" customHeight="1">
      <c r="A104" s="173">
        <v>93</v>
      </c>
      <c r="B104" s="170" t="s">
        <v>164</v>
      </c>
      <c r="C104" s="166" t="s">
        <v>50</v>
      </c>
      <c r="D104" s="57">
        <v>15664899962.280001</v>
      </c>
      <c r="E104" s="52">
        <f t="shared" si="52"/>
        <v>6.602454275493877E-2</v>
      </c>
      <c r="F104" s="85">
        <v>259.24</v>
      </c>
      <c r="G104" s="85">
        <v>259.24</v>
      </c>
      <c r="H104" s="53">
        <v>6053</v>
      </c>
      <c r="I104" s="75">
        <v>0</v>
      </c>
      <c r="J104" s="75">
        <v>1.5E-3</v>
      </c>
      <c r="K104" s="57">
        <v>15651091874.51</v>
      </c>
      <c r="L104" s="52">
        <f t="shared" si="51"/>
        <v>6.4810243256843036E-2</v>
      </c>
      <c r="M104" s="85">
        <v>259.24</v>
      </c>
      <c r="N104" s="85">
        <v>259.24</v>
      </c>
      <c r="O104" s="53">
        <v>6047</v>
      </c>
      <c r="P104" s="75">
        <v>0</v>
      </c>
      <c r="Q104" s="75">
        <v>0</v>
      </c>
      <c r="R104" s="80">
        <f t="shared" si="38"/>
        <v>-8.8146670602744876E-4</v>
      </c>
      <c r="S104" s="80">
        <f t="shared" si="39"/>
        <v>0</v>
      </c>
      <c r="T104" s="80">
        <f t="shared" si="40"/>
        <v>-9.9124401123409879E-4</v>
      </c>
      <c r="U104" s="81">
        <f t="shared" si="41"/>
        <v>0</v>
      </c>
      <c r="V104" s="82">
        <f t="shared" si="42"/>
        <v>-1.5E-3</v>
      </c>
    </row>
    <row r="105" spans="1:22" ht="13.5" customHeight="1">
      <c r="A105" s="173">
        <v>94</v>
      </c>
      <c r="B105" s="170" t="s">
        <v>165</v>
      </c>
      <c r="C105" s="166" t="s">
        <v>50</v>
      </c>
      <c r="D105" s="57">
        <v>604007334.32000005</v>
      </c>
      <c r="E105" s="52">
        <f t="shared" si="52"/>
        <v>2.5457748319576931E-3</v>
      </c>
      <c r="F105" s="56">
        <v>9317.14</v>
      </c>
      <c r="G105" s="56">
        <v>9352.74</v>
      </c>
      <c r="H105" s="53">
        <v>17</v>
      </c>
      <c r="I105" s="75">
        <v>2.5000000000000001E-3</v>
      </c>
      <c r="J105" s="75">
        <v>0.37069999999999997</v>
      </c>
      <c r="K105" s="57">
        <v>629428145.70000005</v>
      </c>
      <c r="L105" s="52">
        <f t="shared" si="51"/>
        <v>2.6064246228059275E-3</v>
      </c>
      <c r="M105" s="56">
        <v>9398.18</v>
      </c>
      <c r="N105" s="56">
        <v>9433.61</v>
      </c>
      <c r="O105" s="53">
        <v>18</v>
      </c>
      <c r="P105" s="75">
        <v>8.6E-3</v>
      </c>
      <c r="Q105" s="75">
        <v>1E-3</v>
      </c>
      <c r="R105" s="80">
        <f t="shared" si="38"/>
        <v>4.2086925001695717E-2</v>
      </c>
      <c r="S105" s="80">
        <f t="shared" si="39"/>
        <v>8.6466639722691755E-3</v>
      </c>
      <c r="T105" s="80">
        <f t="shared" si="40"/>
        <v>5.8823529411764705E-2</v>
      </c>
      <c r="U105" s="81">
        <f t="shared" si="41"/>
        <v>6.0999999999999995E-3</v>
      </c>
      <c r="V105" s="82">
        <f t="shared" si="42"/>
        <v>-0.36969999999999997</v>
      </c>
    </row>
    <row r="106" spans="1:22" ht="15" customHeight="1">
      <c r="A106" s="173">
        <v>95</v>
      </c>
      <c r="B106" s="170" t="s">
        <v>166</v>
      </c>
      <c r="C106" s="166" t="s">
        <v>50</v>
      </c>
      <c r="D106" s="57">
        <v>6536769685.3999996</v>
      </c>
      <c r="E106" s="52">
        <f t="shared" si="52"/>
        <v>2.7551227943498666E-2</v>
      </c>
      <c r="F106" s="85">
        <v>161</v>
      </c>
      <c r="G106" s="85">
        <v>161</v>
      </c>
      <c r="H106" s="53">
        <v>5336</v>
      </c>
      <c r="I106" s="75">
        <v>1.9E-3</v>
      </c>
      <c r="J106" s="75">
        <v>0.16769999999999999</v>
      </c>
      <c r="K106" s="57">
        <v>6659606209.6000004</v>
      </c>
      <c r="L106" s="52">
        <f t="shared" si="51"/>
        <v>2.7577034362816378E-2</v>
      </c>
      <c r="M106" s="85">
        <v>161.55000000000001</v>
      </c>
      <c r="N106" s="85">
        <v>161.55000000000001</v>
      </c>
      <c r="O106" s="53">
        <v>5377</v>
      </c>
      <c r="P106" s="75">
        <v>3.3999999999999998E-3</v>
      </c>
      <c r="Q106" s="75">
        <v>6.9999999999999999E-4</v>
      </c>
      <c r="R106" s="80">
        <f t="shared" si="38"/>
        <v>1.8791624932779642E-2</v>
      </c>
      <c r="S106" s="80">
        <f t="shared" si="39"/>
        <v>3.4161490683230519E-3</v>
      </c>
      <c r="T106" s="80">
        <f t="shared" si="40"/>
        <v>7.6836581709145424E-3</v>
      </c>
      <c r="U106" s="81">
        <f t="shared" si="41"/>
        <v>1.4999999999999998E-3</v>
      </c>
      <c r="V106" s="82">
        <f t="shared" si="42"/>
        <v>-0.16699999999999998</v>
      </c>
    </row>
    <row r="107" spans="1:22" ht="15" customHeight="1">
      <c r="A107" s="173">
        <v>96</v>
      </c>
      <c r="B107" s="170" t="s">
        <v>167</v>
      </c>
      <c r="C107" s="166" t="s">
        <v>50</v>
      </c>
      <c r="D107" s="57">
        <v>6331479543.2700005</v>
      </c>
      <c r="E107" s="52">
        <f t="shared" si="52"/>
        <v>2.6685969448464089E-2</v>
      </c>
      <c r="F107" s="85">
        <v>384.33</v>
      </c>
      <c r="G107" s="85">
        <v>384.68</v>
      </c>
      <c r="H107" s="53">
        <v>10917</v>
      </c>
      <c r="I107" s="75">
        <v>1E-3</v>
      </c>
      <c r="J107" s="75">
        <v>8.5900000000000004E-2</v>
      </c>
      <c r="K107" s="57">
        <v>6455699125.3000002</v>
      </c>
      <c r="L107" s="52">
        <f t="shared" si="51"/>
        <v>2.6732667219537414E-2</v>
      </c>
      <c r="M107" s="85">
        <v>386.42</v>
      </c>
      <c r="N107" s="85">
        <v>386.79</v>
      </c>
      <c r="O107" s="53">
        <v>10987</v>
      </c>
      <c r="P107" s="75">
        <v>5.4999999999999997E-3</v>
      </c>
      <c r="Q107" s="75">
        <v>4.0000000000000001E-3</v>
      </c>
      <c r="R107" s="80">
        <f t="shared" si="38"/>
        <v>1.961936087466918E-2</v>
      </c>
      <c r="S107" s="80">
        <f t="shared" si="39"/>
        <v>5.485078506810891E-3</v>
      </c>
      <c r="T107" s="80">
        <f t="shared" si="40"/>
        <v>6.4120179536502706E-3</v>
      </c>
      <c r="U107" s="81">
        <f t="shared" si="41"/>
        <v>4.4999999999999997E-3</v>
      </c>
      <c r="V107" s="82">
        <f t="shared" si="42"/>
        <v>-8.1900000000000001E-2</v>
      </c>
    </row>
    <row r="108" spans="1:22" ht="15" customHeight="1">
      <c r="A108" s="173">
        <v>97</v>
      </c>
      <c r="B108" s="170" t="s">
        <v>168</v>
      </c>
      <c r="C108" s="166" t="s">
        <v>119</v>
      </c>
      <c r="D108" s="57">
        <v>91526016.219999999</v>
      </c>
      <c r="E108" s="52">
        <f t="shared" si="52"/>
        <v>3.8576456828052835E-4</v>
      </c>
      <c r="F108" s="85">
        <v>112.86199999999999</v>
      </c>
      <c r="G108" s="85">
        <v>112.86199999999999</v>
      </c>
      <c r="H108" s="53">
        <v>23</v>
      </c>
      <c r="I108" s="75">
        <v>2.5000000000000001E-3</v>
      </c>
      <c r="J108" s="75">
        <v>0.23830000000000001</v>
      </c>
      <c r="K108" s="57">
        <v>91729973.5</v>
      </c>
      <c r="L108" s="52">
        <f t="shared" si="51"/>
        <v>3.7984838017346894E-4</v>
      </c>
      <c r="M108" s="85">
        <v>113.31789999999999</v>
      </c>
      <c r="N108" s="85">
        <v>113.31789999999999</v>
      </c>
      <c r="O108" s="53">
        <v>23</v>
      </c>
      <c r="P108" s="75">
        <v>4.1000000000000003E-3</v>
      </c>
      <c r="Q108" s="75">
        <v>0.16189999999999999</v>
      </c>
      <c r="R108" s="80">
        <f t="shared" ref="R108" si="53">((K108-D108)/D108)</f>
        <v>2.2284077077030372E-3</v>
      </c>
      <c r="S108" s="80">
        <f t="shared" ref="S108" si="54">((N108-G108)/G108)</f>
        <v>4.0394464035725022E-3</v>
      </c>
      <c r="T108" s="80">
        <f t="shared" ref="T108" si="55">((O108-H108)/H108)</f>
        <v>0</v>
      </c>
      <c r="U108" s="81">
        <f t="shared" ref="U108" si="56">P108-I108</f>
        <v>1.6000000000000003E-3</v>
      </c>
      <c r="V108" s="82">
        <f t="shared" ref="V108" si="57">Q108-J108</f>
        <v>-7.6400000000000023E-2</v>
      </c>
    </row>
    <row r="109" spans="1:22">
      <c r="A109" s="173">
        <v>98</v>
      </c>
      <c r="B109" s="170" t="s">
        <v>169</v>
      </c>
      <c r="C109" s="166" t="s">
        <v>53</v>
      </c>
      <c r="D109" s="57">
        <v>84348551756.979996</v>
      </c>
      <c r="E109" s="52">
        <f t="shared" si="52"/>
        <v>0.35551293498240266</v>
      </c>
      <c r="F109" s="57">
        <v>1.9751000000000001</v>
      </c>
      <c r="G109" s="57">
        <v>1.9751000000000001</v>
      </c>
      <c r="H109" s="53">
        <v>6795</v>
      </c>
      <c r="I109" s="75">
        <v>5.9799999999999999E-2</v>
      </c>
      <c r="J109" s="75">
        <v>8.1699999999999995E-2</v>
      </c>
      <c r="K109" s="57">
        <v>84481591629.339996</v>
      </c>
      <c r="L109" s="52">
        <f t="shared" si="51"/>
        <v>0.34983326071582582</v>
      </c>
      <c r="M109" s="57">
        <v>1.9784999999999999</v>
      </c>
      <c r="N109" s="57">
        <v>1.9784999999999999</v>
      </c>
      <c r="O109" s="53">
        <v>6844</v>
      </c>
      <c r="P109" s="75">
        <v>1.6999999999999999E-3</v>
      </c>
      <c r="Q109" s="75">
        <v>6.6699999999999995E-2</v>
      </c>
      <c r="R109" s="80">
        <f t="shared" si="38"/>
        <v>1.5772632675817261E-3</v>
      </c>
      <c r="S109" s="80">
        <f t="shared" si="39"/>
        <v>1.721431826236569E-3</v>
      </c>
      <c r="T109" s="80">
        <f t="shared" si="40"/>
        <v>7.2111846946284032E-3</v>
      </c>
      <c r="U109" s="81">
        <f t="shared" si="41"/>
        <v>-5.8099999999999999E-2</v>
      </c>
      <c r="V109" s="82">
        <f t="shared" si="42"/>
        <v>-1.4999999999999999E-2</v>
      </c>
    </row>
    <row r="110" spans="1:22">
      <c r="A110" s="173">
        <v>99</v>
      </c>
      <c r="B110" s="170" t="s">
        <v>170</v>
      </c>
      <c r="C110" s="166" t="s">
        <v>53</v>
      </c>
      <c r="D110" s="57">
        <v>59161739222.669998</v>
      </c>
      <c r="E110" s="52">
        <f t="shared" si="52"/>
        <v>0.2493553607217025</v>
      </c>
      <c r="F110" s="57">
        <v>128.71340000000001</v>
      </c>
      <c r="G110" s="57">
        <v>128.71340000000001</v>
      </c>
      <c r="H110" s="53">
        <v>1069</v>
      </c>
      <c r="I110" s="75">
        <v>0.16550000000000001</v>
      </c>
      <c r="J110" s="75">
        <v>0.19550000000000001</v>
      </c>
      <c r="K110" s="57">
        <v>62800988458.160004</v>
      </c>
      <c r="L110" s="52">
        <f t="shared" si="51"/>
        <v>0.26005516876252882</v>
      </c>
      <c r="M110" s="57">
        <v>129.05959999999999</v>
      </c>
      <c r="N110" s="57">
        <v>129.05959999999999</v>
      </c>
      <c r="O110" s="53">
        <v>1187</v>
      </c>
      <c r="P110" s="75">
        <v>2.7000000000000001E-3</v>
      </c>
      <c r="Q110" s="75">
        <v>0.1181</v>
      </c>
      <c r="R110" s="80">
        <f t="shared" ref="R110:R112" si="58">((K110-D110)/D110)</f>
        <v>6.1513560678004765E-2</v>
      </c>
      <c r="S110" s="80">
        <f t="shared" ref="S110:S112" si="59">((N110-G110)/G110)</f>
        <v>2.6896966438613372E-3</v>
      </c>
      <c r="T110" s="80">
        <f t="shared" ref="T110:T112" si="60">((O110-H110)/H110)</f>
        <v>0.11038353601496725</v>
      </c>
      <c r="U110" s="81">
        <f t="shared" ref="U110:U112" si="61">P110-I110</f>
        <v>-0.1628</v>
      </c>
      <c r="V110" s="82">
        <f t="shared" ref="V110:V112" si="62">Q110-J110</f>
        <v>-7.740000000000001E-2</v>
      </c>
    </row>
    <row r="111" spans="1:22">
      <c r="A111" s="173">
        <v>100</v>
      </c>
      <c r="B111" s="170" t="s">
        <v>171</v>
      </c>
      <c r="C111" s="170" t="s">
        <v>172</v>
      </c>
      <c r="D111" s="57">
        <v>115425570.31999999</v>
      </c>
      <c r="E111" s="52">
        <f t="shared" si="52"/>
        <v>4.8649659563461514E-4</v>
      </c>
      <c r="F111" s="57">
        <v>116.36734742236899</v>
      </c>
      <c r="G111" s="57">
        <v>116.36734742236899</v>
      </c>
      <c r="H111" s="87">
        <v>86</v>
      </c>
      <c r="I111" s="89">
        <v>1.6999999999999999E-3</v>
      </c>
      <c r="J111" s="89">
        <v>5.3999999999999999E-2</v>
      </c>
      <c r="K111" s="57">
        <v>115425570.31999999</v>
      </c>
      <c r="L111" s="52">
        <f t="shared" si="51"/>
        <v>4.7797044132636573E-4</v>
      </c>
      <c r="M111" s="57">
        <v>114.150677009348</v>
      </c>
      <c r="N111" s="57">
        <v>114.150677009348</v>
      </c>
      <c r="O111" s="87">
        <v>87</v>
      </c>
      <c r="P111" s="89">
        <v>-1.9E-2</v>
      </c>
      <c r="Q111" s="89">
        <v>3.39E-2</v>
      </c>
      <c r="R111" s="80">
        <f t="shared" si="58"/>
        <v>0</v>
      </c>
      <c r="S111" s="80">
        <f t="shared" si="59"/>
        <v>-1.9048903855953044E-2</v>
      </c>
      <c r="T111" s="80">
        <f t="shared" si="60"/>
        <v>1.1627906976744186E-2</v>
      </c>
      <c r="U111" s="81">
        <f t="shared" si="61"/>
        <v>-2.07E-2</v>
      </c>
      <c r="V111" s="82">
        <f t="shared" si="62"/>
        <v>-2.01E-2</v>
      </c>
    </row>
    <row r="112" spans="1:22">
      <c r="A112" s="173">
        <v>101</v>
      </c>
      <c r="B112" s="170" t="s">
        <v>173</v>
      </c>
      <c r="C112" s="166" t="s">
        <v>126</v>
      </c>
      <c r="D112" s="57">
        <v>364978988.62</v>
      </c>
      <c r="E112" s="52">
        <f t="shared" si="52"/>
        <v>1.5383162929109532E-3</v>
      </c>
      <c r="F112" s="57">
        <v>1.49</v>
      </c>
      <c r="G112" s="57">
        <v>1.49</v>
      </c>
      <c r="H112" s="53">
        <v>746</v>
      </c>
      <c r="I112" s="75">
        <v>-1.2999999999999999E-3</v>
      </c>
      <c r="J112" s="75">
        <v>0.2712</v>
      </c>
      <c r="K112" s="57">
        <v>372353218.38</v>
      </c>
      <c r="L112" s="52">
        <f t="shared" si="51"/>
        <v>1.5418925947255501E-3</v>
      </c>
      <c r="M112" s="57">
        <v>1.38</v>
      </c>
      <c r="N112" s="57">
        <v>1.38</v>
      </c>
      <c r="O112" s="53">
        <v>755</v>
      </c>
      <c r="P112" s="75">
        <v>4.4000000000000003E-3</v>
      </c>
      <c r="Q112" s="75">
        <v>1.1999999999999999E-3</v>
      </c>
      <c r="R112" s="80">
        <f t="shared" si="58"/>
        <v>2.020453228796059E-2</v>
      </c>
      <c r="S112" s="80">
        <f t="shared" si="59"/>
        <v>-7.3825503355704758E-2</v>
      </c>
      <c r="T112" s="80">
        <f t="shared" si="60"/>
        <v>1.2064343163538873E-2</v>
      </c>
      <c r="U112" s="81">
        <f t="shared" si="61"/>
        <v>5.7000000000000002E-3</v>
      </c>
      <c r="V112" s="82">
        <f t="shared" si="62"/>
        <v>-0.27</v>
      </c>
    </row>
    <row r="113" spans="1:28">
      <c r="A113" s="176">
        <v>102</v>
      </c>
      <c r="B113" s="170" t="s">
        <v>174</v>
      </c>
      <c r="C113" s="166" t="s">
        <v>128</v>
      </c>
      <c r="D113" s="57">
        <v>1988848679.55</v>
      </c>
      <c r="E113" s="52">
        <f t="shared" si="52"/>
        <v>8.3826149539572379E-3</v>
      </c>
      <c r="F113" s="85">
        <v>30.023</v>
      </c>
      <c r="G113" s="85">
        <v>30.023</v>
      </c>
      <c r="H113" s="53">
        <v>1304</v>
      </c>
      <c r="I113" s="75">
        <v>0.13350000000000001</v>
      </c>
      <c r="J113" s="75">
        <v>0.13350000000000001</v>
      </c>
      <c r="K113" s="57">
        <v>2002515376.4300001</v>
      </c>
      <c r="L113" s="52">
        <f t="shared" si="51"/>
        <v>8.292297413662721E-3</v>
      </c>
      <c r="M113" s="85">
        <v>30.309200000000001</v>
      </c>
      <c r="N113" s="85">
        <v>30.309200000000001</v>
      </c>
      <c r="O113" s="53">
        <v>1310</v>
      </c>
      <c r="P113" s="75">
        <v>0.1462</v>
      </c>
      <c r="Q113" s="75">
        <v>0.1462</v>
      </c>
      <c r="R113" s="80">
        <f t="shared" si="38"/>
        <v>6.8716624952544717E-3</v>
      </c>
      <c r="S113" s="80">
        <f t="shared" si="39"/>
        <v>9.5326916031043159E-3</v>
      </c>
      <c r="T113" s="80">
        <f t="shared" si="40"/>
        <v>4.601226993865031E-3</v>
      </c>
      <c r="U113" s="81">
        <f t="shared" si="41"/>
        <v>1.2699999999999989E-2</v>
      </c>
      <c r="V113" s="82">
        <f t="shared" si="42"/>
        <v>1.2699999999999989E-2</v>
      </c>
    </row>
    <row r="114" spans="1:28">
      <c r="A114" s="60"/>
      <c r="B114" s="61"/>
      <c r="C114" s="62" t="s">
        <v>56</v>
      </c>
      <c r="D114" s="84">
        <f>SUM(D75:D113)</f>
        <v>237258742107.80859</v>
      </c>
      <c r="E114" s="64">
        <f>(D114/$D$231)</f>
        <v>3.0923525743331935E-2</v>
      </c>
      <c r="F114" s="65"/>
      <c r="G114" s="70"/>
      <c r="H114" s="67">
        <f>SUM(H75:H113)</f>
        <v>57095</v>
      </c>
      <c r="I114" s="78"/>
      <c r="J114" s="78"/>
      <c r="K114" s="84">
        <f>SUM(K75:K113)</f>
        <v>241491021912.76636</v>
      </c>
      <c r="L114" s="64">
        <f>(K114/$K$231)</f>
        <v>3.0970782181733603E-2</v>
      </c>
      <c r="M114" s="65"/>
      <c r="N114" s="70"/>
      <c r="O114" s="67">
        <f>SUM(O75:O113)</f>
        <v>57727</v>
      </c>
      <c r="P114" s="78"/>
      <c r="Q114" s="78"/>
      <c r="R114" s="80">
        <f t="shared" si="38"/>
        <v>1.783824598983437E-2</v>
      </c>
      <c r="S114" s="80" t="e">
        <f t="shared" si="39"/>
        <v>#DIV/0!</v>
      </c>
      <c r="T114" s="80">
        <f t="shared" si="40"/>
        <v>1.1069270514055521E-2</v>
      </c>
      <c r="U114" s="81">
        <f t="shared" si="41"/>
        <v>0</v>
      </c>
      <c r="V114" s="82">
        <f t="shared" si="42"/>
        <v>0</v>
      </c>
    </row>
    <row r="115" spans="1:28" ht="3.75" customHeight="1">
      <c r="A115" s="60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</row>
    <row r="116" spans="1:28" ht="15" customHeight="1">
      <c r="A116" s="196" t="s">
        <v>175</v>
      </c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</row>
    <row r="117" spans="1:28">
      <c r="A117" s="195" t="s">
        <v>176</v>
      </c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Z117" s="90"/>
      <c r="AB117" s="92"/>
    </row>
    <row r="118" spans="1:28" ht="16.5" customHeight="1">
      <c r="A118" s="173">
        <v>103</v>
      </c>
      <c r="B118" s="170" t="s">
        <v>177</v>
      </c>
      <c r="C118" s="166" t="s">
        <v>20</v>
      </c>
      <c r="D118" s="57">
        <v>3530706445.3299999</v>
      </c>
      <c r="E118" s="52">
        <f t="shared" ref="E118:E123" si="63">(D118/$D$156)</f>
        <v>1.805342687205107E-3</v>
      </c>
      <c r="F118" s="57">
        <v>114.6808</v>
      </c>
      <c r="G118" s="57">
        <v>114.5214</v>
      </c>
      <c r="H118" s="53">
        <v>174</v>
      </c>
      <c r="I118" s="75">
        <v>1.1999999999999999E-3</v>
      </c>
      <c r="J118" s="75">
        <v>5.91E-2</v>
      </c>
      <c r="K118" s="57">
        <v>3497871091.0799999</v>
      </c>
      <c r="L118" s="52">
        <f t="shared" ref="L118:L134" si="64">(K118/$K$156)</f>
        <v>1.7870049669080023E-3</v>
      </c>
      <c r="M118" s="165">
        <v>115.0699</v>
      </c>
      <c r="N118" s="57">
        <v>115.0699</v>
      </c>
      <c r="O118" s="53">
        <v>163</v>
      </c>
      <c r="P118" s="75">
        <v>4.0000000000000002E-4</v>
      </c>
      <c r="Q118" s="75">
        <v>4.0000000000000002E-4</v>
      </c>
      <c r="R118" s="80">
        <f>((K118-D118)/D118)</f>
        <v>-9.2999389097982686E-3</v>
      </c>
      <c r="S118" s="80">
        <f>((N118-G118)/G118)</f>
        <v>4.7894978580422893E-3</v>
      </c>
      <c r="T118" s="80">
        <f>((O118-H118)/H118)</f>
        <v>-6.3218390804597707E-2</v>
      </c>
      <c r="U118" s="80">
        <f>P118-I118</f>
        <v>-7.9999999999999993E-4</v>
      </c>
      <c r="V118" s="127">
        <f>Q118-J118</f>
        <v>-5.8700000000000002E-2</v>
      </c>
      <c r="X118" s="90"/>
      <c r="Y118" s="93"/>
      <c r="Z118" s="90"/>
      <c r="AA118" s="94"/>
    </row>
    <row r="119" spans="1:28" ht="16.5" customHeight="1">
      <c r="A119" s="173">
        <v>104</v>
      </c>
      <c r="B119" s="170" t="s">
        <v>178</v>
      </c>
      <c r="C119" s="166" t="s">
        <v>60</v>
      </c>
      <c r="D119" s="57">
        <v>5784720306.9796982</v>
      </c>
      <c r="E119" s="52">
        <f t="shared" si="63"/>
        <v>2.9578790152735507E-3</v>
      </c>
      <c r="F119" s="57">
        <v>144337.67000000001</v>
      </c>
      <c r="G119" s="57">
        <v>144337.67000000001</v>
      </c>
      <c r="H119" s="53">
        <v>98</v>
      </c>
      <c r="I119" s="75">
        <v>-5.7070000000000003E-3</v>
      </c>
      <c r="J119" s="75">
        <v>7.0363999999999996E-2</v>
      </c>
      <c r="K119" s="57">
        <f>4574166.63*W137</f>
        <v>6544936716.7855768</v>
      </c>
      <c r="L119" s="52">
        <f t="shared" si="64"/>
        <v>3.3437008158534458E-3</v>
      </c>
      <c r="M119" s="57">
        <f>100*W137</f>
        <v>143084.79</v>
      </c>
      <c r="N119" s="57">
        <f>100*W137</f>
        <v>143084.79</v>
      </c>
      <c r="O119" s="53">
        <v>99</v>
      </c>
      <c r="P119" s="75">
        <v>-6.8673999999999999E-2</v>
      </c>
      <c r="Q119" s="75">
        <v>1.6900000000000001E-3</v>
      </c>
      <c r="R119" s="81">
        <f>((K119-D119)/D119)</f>
        <v>0.13141800631028272</v>
      </c>
      <c r="S119" s="81">
        <f>((N119-G119)/G119)</f>
        <v>-8.6802010867987854E-3</v>
      </c>
      <c r="T119" s="81">
        <f>((O119-H119)/H119)</f>
        <v>1.020408163265306E-2</v>
      </c>
      <c r="U119" s="81">
        <f>P119-I119</f>
        <v>-6.2966999999999995E-2</v>
      </c>
      <c r="V119" s="82">
        <f>Q119-J119</f>
        <v>-6.8673999999999999E-2</v>
      </c>
      <c r="X119" s="90"/>
      <c r="Y119" s="93"/>
      <c r="Z119" s="90"/>
      <c r="AA119" s="94"/>
    </row>
    <row r="120" spans="1:28">
      <c r="A120" s="173">
        <v>105</v>
      </c>
      <c r="B120" s="170" t="s">
        <v>179</v>
      </c>
      <c r="C120" s="166" t="s">
        <v>24</v>
      </c>
      <c r="D120" s="57">
        <v>17747131456.984821</v>
      </c>
      <c r="E120" s="52">
        <f t="shared" si="63"/>
        <v>9.0745731741911084E-3</v>
      </c>
      <c r="F120" s="57">
        <v>1772.8996006099999</v>
      </c>
      <c r="G120" s="57">
        <v>1772.8996006099999</v>
      </c>
      <c r="H120" s="53">
        <v>321</v>
      </c>
      <c r="I120" s="75">
        <v>5.0999999999999997E-2</v>
      </c>
      <c r="J120" s="75">
        <v>8.2500000000000004E-2</v>
      </c>
      <c r="K120" s="57">
        <f>12286013.4*W137</f>
        <v>17579416472.76186</v>
      </c>
      <c r="L120" s="52">
        <f t="shared" si="64"/>
        <v>8.9810355310922223E-3</v>
      </c>
      <c r="M120" s="57">
        <f>1.2287*W137</f>
        <v>1758.0828147299999</v>
      </c>
      <c r="N120" s="57">
        <f>1.2287*W137</f>
        <v>1758.0828147299999</v>
      </c>
      <c r="O120" s="53">
        <v>321</v>
      </c>
      <c r="P120" s="75">
        <v>2.12E-2</v>
      </c>
      <c r="Q120" s="75">
        <v>8.1900000000000001E-2</v>
      </c>
      <c r="R120" s="81">
        <f t="shared" ref="R120:R132" si="65">((K120-D120)/D120)</f>
        <v>-9.4502587434744587E-3</v>
      </c>
      <c r="S120" s="81">
        <f t="shared" ref="S120:S132" si="66">((N120-G120)/G120)</f>
        <v>-8.3573744812746303E-3</v>
      </c>
      <c r="T120" s="81">
        <f t="shared" ref="T120:T132" si="67">((O120-H120)/H120)</f>
        <v>0</v>
      </c>
      <c r="U120" s="81">
        <f t="shared" ref="U120:U132" si="68">P120-I120</f>
        <v>-2.9799999999999997E-2</v>
      </c>
      <c r="V120" s="82">
        <f t="shared" ref="V120:V132" si="69">Q120-J120</f>
        <v>-6.0000000000000331E-4</v>
      </c>
    </row>
    <row r="121" spans="1:28">
      <c r="A121" s="173">
        <v>106</v>
      </c>
      <c r="B121" s="170" t="s">
        <v>180</v>
      </c>
      <c r="C121" s="166" t="s">
        <v>24</v>
      </c>
      <c r="D121" s="57">
        <v>4221909020.366643</v>
      </c>
      <c r="E121" s="52">
        <f t="shared" si="63"/>
        <v>2.1587726688650833E-3</v>
      </c>
      <c r="F121" s="57">
        <v>1515.9785480099999</v>
      </c>
      <c r="G121" s="57">
        <v>1515.9785480099999</v>
      </c>
      <c r="H121" s="53">
        <v>102</v>
      </c>
      <c r="I121" s="75">
        <v>4.9700000000000001E-2</v>
      </c>
      <c r="J121" s="75">
        <v>5.0999999999999997E-2</v>
      </c>
      <c r="K121" s="57">
        <f>2926543.04*W137</f>
        <v>4187437963.0436158</v>
      </c>
      <c r="L121" s="52">
        <f t="shared" si="64"/>
        <v>2.1392933712338818E-3</v>
      </c>
      <c r="M121" s="57">
        <f>1.0506*W137</f>
        <v>1503.2488037399999</v>
      </c>
      <c r="N121" s="57">
        <f>1.0506*W137</f>
        <v>1503.2488037399999</v>
      </c>
      <c r="O121" s="53">
        <v>103</v>
      </c>
      <c r="P121" s="75">
        <v>3.4799999999999998E-2</v>
      </c>
      <c r="Q121" s="75">
        <v>5.0700000000000002E-2</v>
      </c>
      <c r="R121" s="81">
        <f t="shared" si="65"/>
        <v>-8.1648034471461829E-3</v>
      </c>
      <c r="S121" s="81">
        <f t="shared" ref="S121" si="70">((N121-G121)/G121)</f>
        <v>-8.3970477594885549E-3</v>
      </c>
      <c r="T121" s="81">
        <f t="shared" ref="T121" si="71">((O121-H121)/H121)</f>
        <v>9.8039215686274508E-3</v>
      </c>
      <c r="U121" s="81">
        <f t="shared" ref="U121" si="72">P121-I121</f>
        <v>-1.4900000000000004E-2</v>
      </c>
      <c r="V121" s="82">
        <f t="shared" ref="V121" si="73">Q121-J121</f>
        <v>-2.9999999999999472E-4</v>
      </c>
    </row>
    <row r="122" spans="1:28">
      <c r="A122" s="173">
        <v>107</v>
      </c>
      <c r="B122" s="170" t="s">
        <v>181</v>
      </c>
      <c r="C122" s="166" t="s">
        <v>28</v>
      </c>
      <c r="D122" s="57">
        <v>43078089735.986923</v>
      </c>
      <c r="E122" s="52">
        <f t="shared" si="63"/>
        <v>2.2026955649766707E-2</v>
      </c>
      <c r="F122" s="57">
        <v>1612.1074362300001</v>
      </c>
      <c r="G122" s="57">
        <v>1612.1074362300001</v>
      </c>
      <c r="H122" s="53">
        <v>625</v>
      </c>
      <c r="I122" s="75">
        <v>1.4E-3</v>
      </c>
      <c r="J122" s="75">
        <v>0.104</v>
      </c>
      <c r="K122" s="57">
        <f>34542944.66*W137</f>
        <v>49425699826.577209</v>
      </c>
      <c r="L122" s="52">
        <f t="shared" si="64"/>
        <v>2.5250779340677938E-2</v>
      </c>
      <c r="M122" s="57">
        <f xml:space="preserve"> 1.2478*W137</f>
        <v>1785.4120096199999</v>
      </c>
      <c r="N122" s="57">
        <f xml:space="preserve"> 1.2478*W137</f>
        <v>1785.4120096199999</v>
      </c>
      <c r="O122" s="53">
        <v>625</v>
      </c>
      <c r="P122" s="75">
        <v>0.1172</v>
      </c>
      <c r="Q122" s="75">
        <v>5.9999999999999995E-4</v>
      </c>
      <c r="R122" s="81">
        <f t="shared" si="65"/>
        <v>0.14735124350900752</v>
      </c>
      <c r="S122" s="81">
        <f t="shared" ref="S122:T125" si="74">((N122-G122)/G122)</f>
        <v>0.10750187580257177</v>
      </c>
      <c r="T122" s="81">
        <f t="shared" si="74"/>
        <v>0</v>
      </c>
      <c r="U122" s="81">
        <f t="shared" si="68"/>
        <v>0.1158</v>
      </c>
      <c r="V122" s="82">
        <f t="shared" si="69"/>
        <v>-0.10339999999999999</v>
      </c>
    </row>
    <row r="123" spans="1:28">
      <c r="A123" s="173">
        <v>108</v>
      </c>
      <c r="B123" s="170" t="s">
        <v>182</v>
      </c>
      <c r="C123" s="166" t="s">
        <v>69</v>
      </c>
      <c r="D123" s="57">
        <v>1455199557.321137</v>
      </c>
      <c r="E123" s="52">
        <f t="shared" si="63"/>
        <v>7.4408165048914915E-4</v>
      </c>
      <c r="F123" s="57">
        <v>1641.40798324</v>
      </c>
      <c r="G123" s="57">
        <v>1645.4494379999999</v>
      </c>
      <c r="H123" s="53">
        <v>63</v>
      </c>
      <c r="I123" s="75">
        <v>1.1299999999999999E-3</v>
      </c>
      <c r="J123" s="75">
        <v>0.13289999999999999</v>
      </c>
      <c r="K123" s="57">
        <f>1010820.15*W137</f>
        <v>1446329888.905185</v>
      </c>
      <c r="L123" s="52">
        <f t="shared" si="64"/>
        <v>7.3890621694210176E-4</v>
      </c>
      <c r="M123" s="57">
        <f>1.138*W137</f>
        <v>1628.3049101999998</v>
      </c>
      <c r="N123" s="57">
        <f>1.14*W137</f>
        <v>1631.1666059999998</v>
      </c>
      <c r="O123" s="53">
        <v>63</v>
      </c>
      <c r="P123" s="75">
        <v>9.0000000000000006E-5</v>
      </c>
      <c r="Q123" s="75">
        <v>0.13089999999999999</v>
      </c>
      <c r="R123" s="81">
        <f t="shared" si="65"/>
        <v>-6.0951560707454139E-3</v>
      </c>
      <c r="S123" s="81">
        <f t="shared" si="74"/>
        <v>-8.6802010867988149E-3</v>
      </c>
      <c r="T123" s="81">
        <f t="shared" si="74"/>
        <v>0</v>
      </c>
      <c r="U123" s="81">
        <f t="shared" si="68"/>
        <v>-1.0399999999999999E-3</v>
      </c>
      <c r="V123" s="82">
        <f t="shared" si="69"/>
        <v>-2.0000000000000018E-3</v>
      </c>
    </row>
    <row r="124" spans="1:28">
      <c r="A124" s="173">
        <v>109</v>
      </c>
      <c r="B124" s="170" t="s">
        <v>183</v>
      </c>
      <c r="C124" s="166" t="s">
        <v>30</v>
      </c>
      <c r="D124" s="57">
        <v>750962338.87871993</v>
      </c>
      <c r="E124" s="52">
        <v>0</v>
      </c>
      <c r="F124" s="57">
        <v>2038.1922380699998</v>
      </c>
      <c r="G124" s="57">
        <v>2038.1922380699998</v>
      </c>
      <c r="H124" s="53">
        <v>68</v>
      </c>
      <c r="I124" s="75">
        <v>3.57E-4</v>
      </c>
      <c r="J124" s="75">
        <v>0.16139999999999999</v>
      </c>
      <c r="K124" s="57">
        <f>530148.53*W137</f>
        <v>758561910.83858705</v>
      </c>
      <c r="L124" s="52">
        <f t="shared" si="64"/>
        <v>3.8753683800200894E-4</v>
      </c>
      <c r="M124" s="57">
        <f>1.4125*W137</f>
        <v>2021.0726587500001</v>
      </c>
      <c r="N124" s="57">
        <f>1.4125*W137</f>
        <v>2021.0726587500001</v>
      </c>
      <c r="O124" s="53">
        <v>67</v>
      </c>
      <c r="P124" s="75">
        <v>4.0000000000000002E-4</v>
      </c>
      <c r="Q124" s="75">
        <v>0.16139999999999999</v>
      </c>
      <c r="R124" s="81">
        <f t="shared" si="65"/>
        <v>1.0119777739073074E-2</v>
      </c>
      <c r="S124" s="81">
        <f t="shared" si="74"/>
        <v>-8.3993938354954001E-3</v>
      </c>
      <c r="T124" s="81">
        <f t="shared" si="74"/>
        <v>-1.4705882352941176E-2</v>
      </c>
      <c r="U124" s="81">
        <f t="shared" si="68"/>
        <v>4.3000000000000015E-5</v>
      </c>
      <c r="V124" s="82">
        <f t="shared" si="69"/>
        <v>0</v>
      </c>
    </row>
    <row r="125" spans="1:28">
      <c r="A125" s="173">
        <v>110</v>
      </c>
      <c r="B125" s="170" t="s">
        <v>184</v>
      </c>
      <c r="C125" s="166" t="s">
        <v>79</v>
      </c>
      <c r="D125" s="57">
        <v>2055002625.8429191</v>
      </c>
      <c r="E125" s="52">
        <f t="shared" ref="E125:E134" si="75">(D125/$D$156)</f>
        <v>1.0507766703912566E-3</v>
      </c>
      <c r="F125" s="57">
        <v>158987.943505</v>
      </c>
      <c r="G125" s="57">
        <v>159016.81103899999</v>
      </c>
      <c r="H125" s="53">
        <v>84</v>
      </c>
      <c r="I125" s="75">
        <v>1.6999999999999999E-3</v>
      </c>
      <c r="J125" s="75">
        <v>6.2300000000000001E-2</v>
      </c>
      <c r="K125" s="57">
        <f>1420533.71*W137</f>
        <v>2032567675.8327088</v>
      </c>
      <c r="L125" s="52">
        <f t="shared" si="64"/>
        <v>1.0384054865693255E-3</v>
      </c>
      <c r="M125" s="57">
        <f>109.54*W137</f>
        <v>156735.078966</v>
      </c>
      <c r="N125" s="57">
        <f>110.22*W137</f>
        <v>157708.05553799999</v>
      </c>
      <c r="O125" s="53">
        <v>84</v>
      </c>
      <c r="P125" s="75">
        <v>-2.0999999999999999E-3</v>
      </c>
      <c r="Q125" s="75">
        <v>2.0000000000000001E-4</v>
      </c>
      <c r="R125" s="81">
        <f t="shared" si="65"/>
        <v>-1.0917236663387682E-2</v>
      </c>
      <c r="S125" s="81">
        <f t="shared" si="74"/>
        <v>-8.2302964853132755E-3</v>
      </c>
      <c r="T125" s="81">
        <f t="shared" si="74"/>
        <v>0</v>
      </c>
      <c r="U125" s="81">
        <f t="shared" si="68"/>
        <v>-3.7999999999999996E-3</v>
      </c>
      <c r="V125" s="82">
        <f t="shared" si="69"/>
        <v>-6.2100000000000002E-2</v>
      </c>
    </row>
    <row r="126" spans="1:28">
      <c r="A126" s="173">
        <v>111</v>
      </c>
      <c r="B126" s="170" t="s">
        <v>185</v>
      </c>
      <c r="C126" s="166" t="s">
        <v>82</v>
      </c>
      <c r="D126" s="57">
        <v>5047901300.8599997</v>
      </c>
      <c r="E126" s="52">
        <f t="shared" si="75"/>
        <v>2.5811241575449005E-3</v>
      </c>
      <c r="F126" s="57">
        <v>1684.49</v>
      </c>
      <c r="G126" s="57">
        <v>1684.49</v>
      </c>
      <c r="H126" s="53">
        <v>58</v>
      </c>
      <c r="I126" s="75">
        <v>8.9999999999999993E-3</v>
      </c>
      <c r="J126" s="75">
        <v>8.5999999999999993E-2</v>
      </c>
      <c r="K126" s="57">
        <v>4994155670.3099995</v>
      </c>
      <c r="L126" s="52">
        <f t="shared" si="64"/>
        <v>2.5514322157596109E-3</v>
      </c>
      <c r="M126" s="57">
        <v>1655.2377000000001</v>
      </c>
      <c r="N126" s="57">
        <v>1655.2377000000001</v>
      </c>
      <c r="O126" s="53">
        <v>62</v>
      </c>
      <c r="P126" s="75">
        <v>8.9999999999999993E-3</v>
      </c>
      <c r="Q126" s="75">
        <v>6.6896999999999998E-2</v>
      </c>
      <c r="R126" s="81">
        <f t="shared" si="65"/>
        <v>-1.0647123893021377E-2</v>
      </c>
      <c r="S126" s="81">
        <f t="shared" si="66"/>
        <v>-1.736567150888392E-2</v>
      </c>
      <c r="T126" s="81">
        <f t="shared" si="67"/>
        <v>6.8965517241379309E-2</v>
      </c>
      <c r="U126" s="81">
        <f t="shared" si="68"/>
        <v>0</v>
      </c>
      <c r="V126" s="82">
        <f t="shared" si="69"/>
        <v>-1.9102999999999995E-2</v>
      </c>
      <c r="X126" s="91"/>
    </row>
    <row r="127" spans="1:28">
      <c r="A127" s="173">
        <v>112</v>
      </c>
      <c r="B127" s="170" t="s">
        <v>186</v>
      </c>
      <c r="C127" s="166" t="s">
        <v>32</v>
      </c>
      <c r="D127" s="57">
        <v>57835526224.462822</v>
      </c>
      <c r="E127" s="52">
        <f t="shared" si="75"/>
        <v>2.9572819475858214E-2</v>
      </c>
      <c r="F127" s="57">
        <v>184275.90328900001</v>
      </c>
      <c r="G127" s="57">
        <v>184275.90328900001</v>
      </c>
      <c r="H127" s="53">
        <v>2549</v>
      </c>
      <c r="I127" s="75">
        <v>1E-3</v>
      </c>
      <c r="J127" s="75">
        <v>7.8799999999999995E-2</v>
      </c>
      <c r="K127" s="57">
        <f>40184932.61 *W137</f>
        <v>57498526436.660019</v>
      </c>
      <c r="L127" s="52">
        <f t="shared" si="64"/>
        <v>2.9375054041936542E-2</v>
      </c>
      <c r="M127" s="57">
        <f>127.92*W137</f>
        <v>183034.063368</v>
      </c>
      <c r="N127" s="57">
        <f>127.92*W137</f>
        <v>183034.063368</v>
      </c>
      <c r="O127" s="53">
        <v>2549</v>
      </c>
      <c r="P127" s="75">
        <v>1.6000000000000001E-3</v>
      </c>
      <c r="Q127" s="75">
        <v>2.0000000000000001E-4</v>
      </c>
      <c r="R127" s="81">
        <f t="shared" si="65"/>
        <v>-5.826864728348603E-3</v>
      </c>
      <c r="S127" s="81">
        <f t="shared" si="66"/>
        <v>-6.7390250099733763E-3</v>
      </c>
      <c r="T127" s="81">
        <f t="shared" si="67"/>
        <v>0</v>
      </c>
      <c r="U127" s="81">
        <f t="shared" si="68"/>
        <v>6.0000000000000006E-4</v>
      </c>
      <c r="V127" s="82">
        <f t="shared" si="69"/>
        <v>-7.8599999999999989E-2</v>
      </c>
    </row>
    <row r="128" spans="1:28">
      <c r="A128" s="173">
        <v>113</v>
      </c>
      <c r="B128" s="171" t="s">
        <v>187</v>
      </c>
      <c r="C128" s="171" t="s">
        <v>32</v>
      </c>
      <c r="D128" s="57">
        <v>161715906963.91071</v>
      </c>
      <c r="E128" s="52">
        <f t="shared" si="75"/>
        <v>8.2689579143062991E-2</v>
      </c>
      <c r="F128" s="57">
        <v>179685.965383</v>
      </c>
      <c r="G128" s="57">
        <v>179685.965383</v>
      </c>
      <c r="H128" s="53">
        <v>980</v>
      </c>
      <c r="I128" s="75">
        <v>1.1000000000000001E-3</v>
      </c>
      <c r="J128" s="75">
        <v>8.6999999999999994E-2</v>
      </c>
      <c r="K128" s="57">
        <f>112974568.58*W137</f>
        <v>161649424206.09897</v>
      </c>
      <c r="L128" s="52">
        <f t="shared" si="64"/>
        <v>8.2584039386347646E-2</v>
      </c>
      <c r="M128" s="57">
        <f>124.71*W137</f>
        <v>178441.04160899998</v>
      </c>
      <c r="N128" s="57">
        <f>124.71*W137</f>
        <v>178441.04160899998</v>
      </c>
      <c r="O128" s="53">
        <v>980</v>
      </c>
      <c r="P128" s="75">
        <v>1.4E-3</v>
      </c>
      <c r="Q128" s="75">
        <v>2.0000000000000001E-4</v>
      </c>
      <c r="R128" s="81">
        <f t="shared" si="65"/>
        <v>-4.1110833844300592E-4</v>
      </c>
      <c r="S128" s="81">
        <f t="shared" si="66"/>
        <v>-6.9283306091629015E-3</v>
      </c>
      <c r="T128" s="81">
        <f t="shared" si="67"/>
        <v>0</v>
      </c>
      <c r="U128" s="81">
        <f t="shared" si="68"/>
        <v>2.9999999999999992E-4</v>
      </c>
      <c r="V128" s="82">
        <f t="shared" si="69"/>
        <v>-8.6799999999999988E-2</v>
      </c>
      <c r="X128" s="90"/>
    </row>
    <row r="129" spans="1:25">
      <c r="A129" s="173">
        <v>114</v>
      </c>
      <c r="B129" s="170" t="s">
        <v>188</v>
      </c>
      <c r="C129" s="166" t="s">
        <v>88</v>
      </c>
      <c r="D129" s="57">
        <v>2342149516.5202208</v>
      </c>
      <c r="E129" s="52">
        <f t="shared" si="75"/>
        <v>1.1976023969887273E-3</v>
      </c>
      <c r="F129" s="57">
        <v>1443.3767</v>
      </c>
      <c r="G129" s="57">
        <v>1443.3767</v>
      </c>
      <c r="H129" s="53">
        <v>16</v>
      </c>
      <c r="I129" s="75">
        <v>8.2900000000000001E-2</v>
      </c>
      <c r="J129" s="75">
        <v>8.5199999999999998E-2</v>
      </c>
      <c r="K129" s="57">
        <f>1624066.92*W137</f>
        <v>2323792741.9414678</v>
      </c>
      <c r="L129" s="52">
        <f t="shared" si="64"/>
        <v>1.187187596050604E-3</v>
      </c>
      <c r="M129" s="57">
        <f>1*W137</f>
        <v>1430.8479</v>
      </c>
      <c r="N129" s="57">
        <f>1*W137</f>
        <v>1430.8479</v>
      </c>
      <c r="O129" s="53">
        <v>16</v>
      </c>
      <c r="P129" s="75">
        <v>8.2699999999999996E-2</v>
      </c>
      <c r="Q129" s="75">
        <v>8.2699999999999996E-2</v>
      </c>
      <c r="R129" s="81">
        <f t="shared" ref="R129" si="76">((K129-D129)/D129)</f>
        <v>-7.8375758888467664E-3</v>
      </c>
      <c r="S129" s="81">
        <f t="shared" ref="S129" si="77">((N129-G129)/G129)</f>
        <v>-8.6802010867987871E-3</v>
      </c>
      <c r="T129" s="81">
        <f t="shared" si="67"/>
        <v>0</v>
      </c>
      <c r="U129" s="81">
        <f t="shared" si="68"/>
        <v>-2.0000000000000573E-4</v>
      </c>
      <c r="V129" s="82">
        <f t="shared" si="69"/>
        <v>-2.5000000000000022E-3</v>
      </c>
    </row>
    <row r="130" spans="1:25">
      <c r="A130" s="173">
        <v>115</v>
      </c>
      <c r="B130" s="170" t="s">
        <v>189</v>
      </c>
      <c r="C130" s="166" t="s">
        <v>36</v>
      </c>
      <c r="D130" s="57">
        <v>261464788.5951837</v>
      </c>
      <c r="E130" s="52">
        <f t="shared" si="75"/>
        <v>1.3369379509766216E-4</v>
      </c>
      <c r="F130" s="57">
        <v>195020.39944380001</v>
      </c>
      <c r="G130" s="57">
        <v>195020.39944380001</v>
      </c>
      <c r="H130" s="53">
        <v>10</v>
      </c>
      <c r="I130" s="75">
        <v>1.8E-3</v>
      </c>
      <c r="J130" s="75">
        <v>0.19170000000000001</v>
      </c>
      <c r="K130" s="57">
        <f>181147.9904*W137</f>
        <v>259195221.65306017</v>
      </c>
      <c r="L130" s="52">
        <f t="shared" si="64"/>
        <v>1.3241858731558544E-4</v>
      </c>
      <c r="M130" s="57">
        <f>135.114*W137</f>
        <v>193327.58316060001</v>
      </c>
      <c r="N130" s="57">
        <f>135.114*W137</f>
        <v>193327.58316060001</v>
      </c>
      <c r="O130" s="53">
        <v>10</v>
      </c>
      <c r="P130" s="75">
        <v>1.8E-3</v>
      </c>
      <c r="Q130" s="75">
        <v>0.19170000000000001</v>
      </c>
      <c r="R130" s="81">
        <f t="shared" si="65"/>
        <v>-8.680201086798801E-3</v>
      </c>
      <c r="S130" s="81">
        <f t="shared" si="66"/>
        <v>-8.6802010867987247E-3</v>
      </c>
      <c r="T130" s="81">
        <f t="shared" si="67"/>
        <v>0</v>
      </c>
      <c r="U130" s="81">
        <f t="shared" si="68"/>
        <v>0</v>
      </c>
      <c r="V130" s="82">
        <f t="shared" si="69"/>
        <v>0</v>
      </c>
    </row>
    <row r="131" spans="1:25">
      <c r="A131" s="173">
        <v>116</v>
      </c>
      <c r="B131" s="170" t="s">
        <v>190</v>
      </c>
      <c r="C131" s="166" t="s">
        <v>42</v>
      </c>
      <c r="D131" s="57">
        <v>14742839764.246458</v>
      </c>
      <c r="E131" s="52">
        <f t="shared" si="75"/>
        <v>7.5384001386530827E-3</v>
      </c>
      <c r="F131" s="57">
        <v>2136.1975160000002</v>
      </c>
      <c r="G131" s="57">
        <v>2150.6312830000002</v>
      </c>
      <c r="H131" s="71">
        <v>113</v>
      </c>
      <c r="I131" s="78">
        <v>2.2200000000000001E-2</v>
      </c>
      <c r="J131" s="78">
        <v>7.3200000000000001E-2</v>
      </c>
      <c r="K131" s="57">
        <f xml:space="preserve"> 10179732.44*W137</f>
        <v>14565648784.335875</v>
      </c>
      <c r="L131" s="52">
        <f t="shared" si="64"/>
        <v>7.4413510521364164E-3</v>
      </c>
      <c r="M131" s="57">
        <f>1.48*W137</f>
        <v>2117.654892</v>
      </c>
      <c r="N131" s="57">
        <f>1.49*W137</f>
        <v>2131.9633709999998</v>
      </c>
      <c r="O131" s="71">
        <v>111</v>
      </c>
      <c r="P131" s="78">
        <v>2.1600000000000001E-2</v>
      </c>
      <c r="Q131" s="78">
        <v>5.3900000000000003E-2</v>
      </c>
      <c r="R131" s="81">
        <f t="shared" si="65"/>
        <v>-1.2018782184711627E-2</v>
      </c>
      <c r="S131" s="81">
        <f t="shared" si="66"/>
        <v>-8.6802010867989138E-3</v>
      </c>
      <c r="T131" s="81">
        <f t="shared" si="67"/>
        <v>-1.7699115044247787E-2</v>
      </c>
      <c r="U131" s="81">
        <f t="shared" si="68"/>
        <v>-5.9999999999999984E-4</v>
      </c>
      <c r="V131" s="82">
        <f t="shared" si="69"/>
        <v>-1.9299999999999998E-2</v>
      </c>
    </row>
    <row r="132" spans="1:25">
      <c r="A132" s="173">
        <v>117</v>
      </c>
      <c r="B132" s="170" t="s">
        <v>191</v>
      </c>
      <c r="C132" s="166" t="s">
        <v>104</v>
      </c>
      <c r="D132" s="57">
        <v>37432947030.289604</v>
      </c>
      <c r="E132" s="52">
        <f t="shared" si="75"/>
        <v>1.9140446318060611E-2</v>
      </c>
      <c r="F132" s="57">
        <v>152824.724996</v>
      </c>
      <c r="G132" s="57">
        <v>152824.724996</v>
      </c>
      <c r="H132" s="53">
        <v>835</v>
      </c>
      <c r="I132" s="78">
        <v>2E-3</v>
      </c>
      <c r="J132" s="75">
        <v>9.5799999999999996E-2</v>
      </c>
      <c r="K132" s="57">
        <f>26988410*W137</f>
        <v>38616309772.838997</v>
      </c>
      <c r="L132" s="52">
        <f t="shared" si="64"/>
        <v>1.972843926229843E-2</v>
      </c>
      <c r="M132" s="57">
        <f>103.99*W137</f>
        <v>148793.87312099998</v>
      </c>
      <c r="N132" s="57">
        <f>103.99*W137</f>
        <v>148793.87312099998</v>
      </c>
      <c r="O132" s="53">
        <v>840</v>
      </c>
      <c r="P132" s="78">
        <v>3.7100000000000001E-2</v>
      </c>
      <c r="Q132" s="75">
        <v>0.1313</v>
      </c>
      <c r="R132" s="81">
        <f t="shared" si="65"/>
        <v>3.1612866109415633E-2</v>
      </c>
      <c r="S132" s="81">
        <f t="shared" si="66"/>
        <v>-2.6375652729658271E-2</v>
      </c>
      <c r="T132" s="81">
        <f t="shared" si="67"/>
        <v>5.9880239520958087E-3</v>
      </c>
      <c r="U132" s="81">
        <f t="shared" si="68"/>
        <v>3.5099999999999999E-2</v>
      </c>
      <c r="V132" s="82">
        <f t="shared" si="69"/>
        <v>3.5500000000000004E-2</v>
      </c>
    </row>
    <row r="133" spans="1:25">
      <c r="A133" s="173">
        <v>118</v>
      </c>
      <c r="B133" s="170" t="s">
        <v>192</v>
      </c>
      <c r="C133" s="166" t="s">
        <v>46</v>
      </c>
      <c r="D133" s="57">
        <v>2783987807.978332</v>
      </c>
      <c r="E133" s="52">
        <f t="shared" si="75"/>
        <v>1.4235258887211433E-3</v>
      </c>
      <c r="F133" s="57">
        <v>221991.33646000002</v>
      </c>
      <c r="G133" s="57">
        <v>230839.23563100002</v>
      </c>
      <c r="H133" s="53">
        <v>49</v>
      </c>
      <c r="I133" s="75">
        <v>9.9000000000000008E-3</v>
      </c>
      <c r="J133" s="75">
        <v>0.12770000000000001</v>
      </c>
      <c r="K133" s="57">
        <f>1933728.81*W137</f>
        <v>2766871806.9579992</v>
      </c>
      <c r="L133" s="52">
        <f t="shared" si="64"/>
        <v>1.4135494228019222E-3</v>
      </c>
      <c r="M133" s="57">
        <f>154.19*W137</f>
        <v>220622.43770099999</v>
      </c>
      <c r="N133" s="57">
        <f>160.37*W137</f>
        <v>229465.07772299999</v>
      </c>
      <c r="O133" s="53">
        <v>48</v>
      </c>
      <c r="P133" s="75">
        <v>0.12640000000000001</v>
      </c>
      <c r="Q133" s="75">
        <v>0.12770000000000001</v>
      </c>
      <c r="R133" s="81">
        <f t="shared" ref="R133:R134" si="78">((K133-D133)/D133)</f>
        <v>-6.1480157963630091E-3</v>
      </c>
      <c r="S133" s="81">
        <f t="shared" ref="S133:S134" si="79">((N133-G133)/G133)</f>
        <v>-5.9528784361278812E-3</v>
      </c>
      <c r="T133" s="81">
        <f t="shared" ref="T133:T134" si="80">((O133-H133)/H133)</f>
        <v>-2.0408163265306121E-2</v>
      </c>
      <c r="U133" s="81">
        <f t="shared" ref="U133:U134" si="81">P133-I133</f>
        <v>0.11650000000000001</v>
      </c>
      <c r="V133" s="82">
        <f t="shared" ref="V133:V134" si="82">Q133-J133</f>
        <v>0</v>
      </c>
    </row>
    <row r="134" spans="1:25">
      <c r="A134" s="173">
        <v>119</v>
      </c>
      <c r="B134" s="170" t="s">
        <v>193</v>
      </c>
      <c r="C134" s="166" t="s">
        <v>53</v>
      </c>
      <c r="D134" s="51">
        <v>162387114398.9184</v>
      </c>
      <c r="E134" s="52">
        <f t="shared" si="75"/>
        <v>8.3032785085882618E-2</v>
      </c>
      <c r="F134" s="57">
        <v>181998.08272799998</v>
      </c>
      <c r="G134" s="57">
        <v>181998.08272799998</v>
      </c>
      <c r="H134" s="53">
        <v>4064</v>
      </c>
      <c r="I134" s="75">
        <v>5.7799999999999997E-2</v>
      </c>
      <c r="J134" s="75">
        <v>7.5999999999999998E-2</v>
      </c>
      <c r="K134" s="51">
        <f>111555303.63*1434.21</f>
        <v>159993732019.18231</v>
      </c>
      <c r="L134" s="52">
        <f t="shared" si="64"/>
        <v>8.1738173405398268E-2</v>
      </c>
      <c r="M134" s="57">
        <f>124.8125*1434.21</f>
        <v>179007.33562500001</v>
      </c>
      <c r="N134" s="57">
        <f>124.8125*1434.21</f>
        <v>179007.33562500001</v>
      </c>
      <c r="O134" s="53">
        <v>4139</v>
      </c>
      <c r="P134" s="75">
        <v>1E-3</v>
      </c>
      <c r="Q134" s="75">
        <v>6.13E-2</v>
      </c>
      <c r="R134" s="81">
        <f t="shared" si="78"/>
        <v>-1.4738745673234436E-2</v>
      </c>
      <c r="S134" s="81">
        <f t="shared" si="79"/>
        <v>-1.6432849501330778E-2</v>
      </c>
      <c r="T134" s="81">
        <f t="shared" si="80"/>
        <v>1.8454724409448817E-2</v>
      </c>
      <c r="U134" s="81">
        <f t="shared" si="81"/>
        <v>-5.6799999999999996E-2</v>
      </c>
      <c r="V134" s="82">
        <f t="shared" si="82"/>
        <v>-1.4699999999999998E-2</v>
      </c>
    </row>
    <row r="135" spans="1:25" ht="6" customHeight="1">
      <c r="A135" s="95"/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</row>
    <row r="136" spans="1:25">
      <c r="A136" s="195" t="s">
        <v>194</v>
      </c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</row>
    <row r="137" spans="1:25">
      <c r="A137" s="173">
        <v>120</v>
      </c>
      <c r="B137" s="170" t="s">
        <v>195</v>
      </c>
      <c r="C137" s="166" t="s">
        <v>64</v>
      </c>
      <c r="D137" s="51">
        <v>1545260446.5930362</v>
      </c>
      <c r="E137" s="52">
        <f>(D137/$D$156)</f>
        <v>7.9013214218756492E-4</v>
      </c>
      <c r="F137" s="57">
        <v>173796.98844700001</v>
      </c>
      <c r="G137" s="57">
        <v>173796.98844700001</v>
      </c>
      <c r="H137" s="53">
        <v>23</v>
      </c>
      <c r="I137" s="75">
        <v>6.9999999999999999E-4</v>
      </c>
      <c r="J137" s="75">
        <v>0.16020000000000001</v>
      </c>
      <c r="K137" s="51">
        <f>1109599.72*W137</f>
        <v>1587668429.2025878</v>
      </c>
      <c r="L137" s="52">
        <f t="shared" ref="L137:L154" si="83">(K137/$K$156)</f>
        <v>8.1111375888699418E-4</v>
      </c>
      <c r="M137" s="57">
        <f>N137</f>
        <v>174348.81661499999</v>
      </c>
      <c r="N137" s="57">
        <f>121.85*W137</f>
        <v>174348.81661499999</v>
      </c>
      <c r="O137" s="53">
        <v>23</v>
      </c>
      <c r="P137" s="75">
        <v>1.1599999999999999E-2</v>
      </c>
      <c r="Q137" s="75">
        <v>7.7799999999999994E-2</v>
      </c>
      <c r="R137" s="81">
        <f>((K137-D137)/D137)</f>
        <v>2.7443906108547633E-2</v>
      </c>
      <c r="S137" s="81">
        <f>((N137-G137)/G137)</f>
        <v>3.1751307829379336E-3</v>
      </c>
      <c r="T137" s="81">
        <f>((O137-H137)/H137)</f>
        <v>0</v>
      </c>
      <c r="U137" s="81">
        <f>P137-I137</f>
        <v>1.09E-2</v>
      </c>
      <c r="V137" s="82">
        <f>Q137-J137</f>
        <v>-8.2400000000000015E-2</v>
      </c>
      <c r="W137" s="102">
        <v>1430.8479</v>
      </c>
      <c r="Y137" s="142"/>
    </row>
    <row r="138" spans="1:25">
      <c r="A138" s="173">
        <v>121</v>
      </c>
      <c r="B138" s="166" t="s">
        <v>196</v>
      </c>
      <c r="C138" s="166" t="s">
        <v>26</v>
      </c>
      <c r="D138" s="57">
        <v>24799795393.594303</v>
      </c>
      <c r="E138" s="52">
        <f t="shared" ref="E138:E155" si="84">(D138/$D$156)</f>
        <v>1.2680784979229196E-2</v>
      </c>
      <c r="F138" s="51">
        <v>195635.27791799998</v>
      </c>
      <c r="G138" s="51">
        <v>195635.27791799998</v>
      </c>
      <c r="H138" s="53">
        <v>652</v>
      </c>
      <c r="I138" s="75">
        <v>5.0000000000000001E-4</v>
      </c>
      <c r="J138" s="75">
        <v>5.8000000000000003E-2</v>
      </c>
      <c r="K138" s="57">
        <f>18706143.18*W137</f>
        <v>26765645686.20232</v>
      </c>
      <c r="L138" s="52">
        <f t="shared" si="83"/>
        <v>1.3674129359917388E-2</v>
      </c>
      <c r="M138" s="51">
        <f>135.66*W137</f>
        <v>194108.826114</v>
      </c>
      <c r="N138" s="51">
        <f>135.66*W137</f>
        <v>194108.826114</v>
      </c>
      <c r="O138" s="53">
        <v>652</v>
      </c>
      <c r="P138" s="75">
        <v>5.0000000000000001E-4</v>
      </c>
      <c r="Q138" s="75">
        <v>2.9999999999999997E-4</v>
      </c>
      <c r="R138" s="81">
        <f t="shared" ref="R138:R156" si="85">((K138-D138)/D138)</f>
        <v>7.926881094816568E-2</v>
      </c>
      <c r="S138" s="81">
        <f t="shared" ref="S138:S156" si="86">((N138-G138)/G138)</f>
        <v>-7.8025385822274368E-3</v>
      </c>
      <c r="T138" s="81">
        <f t="shared" ref="T138:T156" si="87">((O138-H138)/H138)</f>
        <v>0</v>
      </c>
      <c r="U138" s="81">
        <f t="shared" ref="U138:U156" si="88">P138-I138</f>
        <v>0</v>
      </c>
      <c r="V138" s="82">
        <f t="shared" ref="V138:V156" si="89">Q138-J138</f>
        <v>-5.7700000000000001E-2</v>
      </c>
    </row>
    <row r="139" spans="1:25">
      <c r="A139" s="173">
        <v>122</v>
      </c>
      <c r="B139" s="166" t="s">
        <v>197</v>
      </c>
      <c r="C139" s="166" t="s">
        <v>138</v>
      </c>
      <c r="D139" s="57">
        <v>390301674.79235798</v>
      </c>
      <c r="E139" s="52">
        <f t="shared" si="84"/>
        <v>1.9957146970467853E-4</v>
      </c>
      <c r="F139" s="51">
        <v>144337.67000000001</v>
      </c>
      <c r="G139" s="51">
        <v>144337.67000000001</v>
      </c>
      <c r="H139" s="53">
        <v>15</v>
      </c>
      <c r="I139" s="75">
        <v>1E-3</v>
      </c>
      <c r="J139" s="75">
        <v>1E-3</v>
      </c>
      <c r="K139" s="57">
        <f>272154.75*W137</f>
        <v>389412052.51252502</v>
      </c>
      <c r="L139" s="52">
        <f t="shared" si="83"/>
        <v>1.9894423033150208E-4</v>
      </c>
      <c r="M139" s="51">
        <f>100*W137</f>
        <v>143084.79</v>
      </c>
      <c r="N139" s="51">
        <f>100*W137</f>
        <v>143084.79</v>
      </c>
      <c r="O139" s="53">
        <v>16</v>
      </c>
      <c r="P139" s="75">
        <v>6.4000000000000003E-3</v>
      </c>
      <c r="Q139" s="75">
        <v>6.4000000000000003E-3</v>
      </c>
      <c r="R139" s="81">
        <v>0</v>
      </c>
      <c r="S139" s="81">
        <f t="shared" ref="S139" si="90">((N139-G139)/G139)</f>
        <v>-8.6802010867987854E-3</v>
      </c>
      <c r="T139" s="81">
        <f t="shared" ref="T139" si="91">((O139-H139)/H139)</f>
        <v>6.6666666666666666E-2</v>
      </c>
      <c r="U139" s="81">
        <f t="shared" ref="U139" si="92">P139-I139</f>
        <v>5.4000000000000003E-3</v>
      </c>
      <c r="V139" s="82">
        <f t="shared" ref="V139" si="93">Q139-J139</f>
        <v>5.4000000000000003E-3</v>
      </c>
    </row>
    <row r="140" spans="1:25">
      <c r="A140" s="173">
        <v>123</v>
      </c>
      <c r="B140" s="170" t="s">
        <v>198</v>
      </c>
      <c r="C140" s="166" t="s">
        <v>73</v>
      </c>
      <c r="D140" s="51">
        <v>16938065159.040001</v>
      </c>
      <c r="E140" s="52">
        <f t="shared" si="84"/>
        <v>8.6608763837397931E-3</v>
      </c>
      <c r="F140" s="51">
        <v>170838.08</v>
      </c>
      <c r="G140" s="51">
        <v>170838.08</v>
      </c>
      <c r="H140" s="53">
        <v>456</v>
      </c>
      <c r="I140" s="75">
        <v>8.9999999999999998E-4</v>
      </c>
      <c r="J140" s="75">
        <v>6.7299999999999999E-2</v>
      </c>
      <c r="K140" s="51">
        <v>17504044517.049999</v>
      </c>
      <c r="L140" s="52">
        <f t="shared" ref="L140:L141" si="94">(K140/$K$114)</f>
        <v>7.2483210259356862E-2</v>
      </c>
      <c r="M140" s="51">
        <v>170635.85</v>
      </c>
      <c r="N140" s="51">
        <v>170635.85</v>
      </c>
      <c r="O140" s="53">
        <v>456</v>
      </c>
      <c r="P140" s="75">
        <v>1.6000000000000001E-3</v>
      </c>
      <c r="Q140" s="75">
        <v>6.7400000000000002E-2</v>
      </c>
      <c r="R140" s="81">
        <f t="shared" si="85"/>
        <v>3.3414640497349248E-2</v>
      </c>
      <c r="S140" s="81">
        <f t="shared" si="86"/>
        <v>-1.1837524748579554E-3</v>
      </c>
      <c r="T140" s="81">
        <f t="shared" si="87"/>
        <v>0</v>
      </c>
      <c r="U140" s="81">
        <f t="shared" si="88"/>
        <v>7.000000000000001E-4</v>
      </c>
      <c r="V140" s="82">
        <f t="shared" si="89"/>
        <v>1.0000000000000286E-4</v>
      </c>
    </row>
    <row r="141" spans="1:25">
      <c r="A141" s="173">
        <v>124</v>
      </c>
      <c r="B141" s="170" t="s">
        <v>199</v>
      </c>
      <c r="C141" s="166" t="s">
        <v>75</v>
      </c>
      <c r="D141" s="57">
        <v>220555739.56041303</v>
      </c>
      <c r="E141" s="52">
        <f t="shared" ref="E141" si="95">(D141/$D$114)</f>
        <v>9.2960005435835174E-4</v>
      </c>
      <c r="F141" s="56">
        <v>1484.07992294</v>
      </c>
      <c r="G141" s="56">
        <v>1484.07992294</v>
      </c>
      <c r="H141" s="53">
        <v>5</v>
      </c>
      <c r="I141" s="75">
        <v>8.7608293585117458E-4</v>
      </c>
      <c r="J141" s="75">
        <v>8.4746099305320066E-2</v>
      </c>
      <c r="K141" s="57">
        <f>153461.11*W137</f>
        <v>219579506.97516897</v>
      </c>
      <c r="L141" s="52">
        <f t="shared" si="94"/>
        <v>9.092657161163016E-4</v>
      </c>
      <c r="M141" s="56">
        <f>1.0055*W137</f>
        <v>1438.7175634500002</v>
      </c>
      <c r="N141" s="56">
        <f>1.0055*W137</f>
        <v>1438.7175634500002</v>
      </c>
      <c r="O141" s="53">
        <v>5</v>
      </c>
      <c r="P141" s="75">
        <v>-2.2100000000000002E-2</v>
      </c>
      <c r="Q141" s="75">
        <v>6.2E-2</v>
      </c>
      <c r="R141" s="80">
        <f t="shared" si="85"/>
        <v>-4.4262397668261861E-3</v>
      </c>
      <c r="S141" s="80">
        <f t="shared" si="86"/>
        <v>-3.0565981514078976E-2</v>
      </c>
      <c r="T141" s="80">
        <f t="shared" si="87"/>
        <v>0</v>
      </c>
      <c r="U141" s="81">
        <f t="shared" si="88"/>
        <v>-2.2976082935851176E-2</v>
      </c>
      <c r="V141" s="82">
        <f t="shared" si="89"/>
        <v>-2.2746099305320067E-2</v>
      </c>
    </row>
    <row r="142" spans="1:25">
      <c r="A142" s="173">
        <v>125</v>
      </c>
      <c r="B142" s="170" t="s">
        <v>200</v>
      </c>
      <c r="C142" s="166" t="s">
        <v>71</v>
      </c>
      <c r="D142" s="51">
        <v>10793147131.594601</v>
      </c>
      <c r="E142" s="52">
        <f t="shared" si="84"/>
        <v>5.5188188391379778E-3</v>
      </c>
      <c r="F142" s="51">
        <v>1943.4165601372599</v>
      </c>
      <c r="G142" s="51">
        <v>1943.4165601372599</v>
      </c>
      <c r="H142" s="53">
        <v>305</v>
      </c>
      <c r="I142" s="75">
        <v>0.15440000000000001</v>
      </c>
      <c r="J142" s="75">
        <v>6.08E-2</v>
      </c>
      <c r="K142" s="51">
        <v>10983512658.8619</v>
      </c>
      <c r="L142" s="52">
        <f t="shared" si="83"/>
        <v>5.6112964613063924E-3</v>
      </c>
      <c r="M142" s="51">
        <v>1920.7806908298501</v>
      </c>
      <c r="N142" s="51">
        <v>1920.7806908298501</v>
      </c>
      <c r="O142" s="53">
        <v>305</v>
      </c>
      <c r="P142" s="75">
        <v>8.3299999999999999E-2</v>
      </c>
      <c r="Q142" s="75">
        <v>3.5900000000000001E-2</v>
      </c>
      <c r="R142" s="81">
        <f t="shared" si="85"/>
        <v>1.7637629224014358E-2</v>
      </c>
      <c r="S142" s="81">
        <f t="shared" si="86"/>
        <v>-1.1647461368658461E-2</v>
      </c>
      <c r="T142" s="80">
        <f t="shared" si="87"/>
        <v>0</v>
      </c>
      <c r="U142" s="81">
        <f t="shared" si="88"/>
        <v>-7.110000000000001E-2</v>
      </c>
      <c r="V142" s="82">
        <f t="shared" si="89"/>
        <v>-2.4899999999999999E-2</v>
      </c>
    </row>
    <row r="143" spans="1:25">
      <c r="A143" s="173">
        <v>126</v>
      </c>
      <c r="B143" s="170" t="s">
        <v>201</v>
      </c>
      <c r="C143" s="166" t="s">
        <v>94</v>
      </c>
      <c r="D143" s="51">
        <v>421395530.749506</v>
      </c>
      <c r="E143" s="52">
        <f t="shared" si="84"/>
        <v>2.1547057271379302E-4</v>
      </c>
      <c r="F143" s="51">
        <v>1501.111768</v>
      </c>
      <c r="G143" s="51">
        <v>1501.111768</v>
      </c>
      <c r="H143" s="53">
        <v>11</v>
      </c>
      <c r="I143" s="75">
        <v>1E-4</v>
      </c>
      <c r="J143" s="75">
        <v>3.6799999999999999E-2</v>
      </c>
      <c r="K143" s="51">
        <f>301170.8*W137</f>
        <v>430929606.72131997</v>
      </c>
      <c r="L143" s="52">
        <f t="shared" si="83"/>
        <v>2.2015486778872219E-4</v>
      </c>
      <c r="M143" s="51">
        <f>1.04*W137</f>
        <v>1488.0818160000001</v>
      </c>
      <c r="N143" s="51">
        <f>1.04*W137</f>
        <v>1488.0818160000001</v>
      </c>
      <c r="O143" s="53">
        <v>16</v>
      </c>
      <c r="P143" s="75">
        <v>5.9999999999999995E-4</v>
      </c>
      <c r="Q143" s="75">
        <v>4.0000000000000002E-4</v>
      </c>
      <c r="R143" s="81">
        <f t="shared" si="85"/>
        <v>2.2625004956403787E-2</v>
      </c>
      <c r="S143" s="81">
        <f t="shared" si="86"/>
        <v>-8.6802010867986657E-3</v>
      </c>
      <c r="T143" s="80">
        <f t="shared" si="87"/>
        <v>0.45454545454545453</v>
      </c>
      <c r="U143" s="81">
        <f t="shared" si="88"/>
        <v>4.999999999999999E-4</v>
      </c>
      <c r="V143" s="82">
        <f t="shared" si="89"/>
        <v>-3.6400000000000002E-2</v>
      </c>
    </row>
    <row r="144" spans="1:25">
      <c r="A144" s="173">
        <v>127</v>
      </c>
      <c r="B144" s="170" t="s">
        <v>202</v>
      </c>
      <c r="C144" s="166" t="s">
        <v>38</v>
      </c>
      <c r="D144" s="51">
        <v>116259171231.98599</v>
      </c>
      <c r="E144" s="52">
        <f t="shared" si="84"/>
        <v>5.944635949040928E-2</v>
      </c>
      <c r="F144" s="51">
        <v>142173</v>
      </c>
      <c r="G144" s="51">
        <v>142173</v>
      </c>
      <c r="H144" s="53">
        <v>2184</v>
      </c>
      <c r="I144" s="75">
        <v>5.6099999999999997E-2</v>
      </c>
      <c r="J144" s="75">
        <v>5.2699999999999997E-2</v>
      </c>
      <c r="K144" s="51">
        <v>116915533827.66499</v>
      </c>
      <c r="L144" s="52">
        <f t="shared" si="83"/>
        <v>5.9730228535731789E-2</v>
      </c>
      <c r="M144" s="51">
        <f>100*1421.73</f>
        <v>142173</v>
      </c>
      <c r="N144" s="51">
        <f>100*1421.73</f>
        <v>142173</v>
      </c>
      <c r="O144" s="53">
        <v>2197</v>
      </c>
      <c r="P144" s="75">
        <v>4.9000000000000002E-2</v>
      </c>
      <c r="Q144" s="75">
        <v>5.45E-2</v>
      </c>
      <c r="R144" s="81">
        <f t="shared" si="85"/>
        <v>5.6456844541690494E-3</v>
      </c>
      <c r="S144" s="81">
        <f t="shared" si="86"/>
        <v>0</v>
      </c>
      <c r="T144" s="81">
        <f t="shared" si="87"/>
        <v>5.9523809523809521E-3</v>
      </c>
      <c r="U144" s="81">
        <f t="shared" si="88"/>
        <v>-7.0999999999999952E-3</v>
      </c>
      <c r="V144" s="82">
        <f t="shared" si="89"/>
        <v>1.800000000000003E-3</v>
      </c>
    </row>
    <row r="145" spans="1:24" ht="15.6">
      <c r="A145" s="173">
        <v>128</v>
      </c>
      <c r="B145" s="170" t="s">
        <v>203</v>
      </c>
      <c r="C145" s="166" t="s">
        <v>152</v>
      </c>
      <c r="D145" s="51">
        <v>1505744473.1576211</v>
      </c>
      <c r="E145" s="52">
        <f t="shared" si="84"/>
        <v>7.6992658990672393E-4</v>
      </c>
      <c r="F145" s="51">
        <v>1645.4494379999999</v>
      </c>
      <c r="G145" s="51">
        <v>1645.4494379999999</v>
      </c>
      <c r="H145" s="53">
        <v>53</v>
      </c>
      <c r="I145" s="75">
        <v>1.9E-3</v>
      </c>
      <c r="J145" s="75">
        <v>9.1700000000000004E-2</v>
      </c>
      <c r="K145" s="51">
        <f>1043722.4*W137</f>
        <v>1493408004.22296</v>
      </c>
      <c r="L145" s="52">
        <f t="shared" si="83"/>
        <v>7.629576538632824E-4</v>
      </c>
      <c r="M145" s="51">
        <f>1.14*W137</f>
        <v>1631.1666059999998</v>
      </c>
      <c r="N145" s="51">
        <f>1.14*W137</f>
        <v>1631.1666059999998</v>
      </c>
      <c r="O145" s="53">
        <v>53</v>
      </c>
      <c r="P145" s="75">
        <v>1.9E-3</v>
      </c>
      <c r="Q145" s="75">
        <v>9.1700000000000004E-2</v>
      </c>
      <c r="R145" s="81">
        <f t="shared" si="85"/>
        <v>-8.1929365536975614E-3</v>
      </c>
      <c r="S145" s="81">
        <f t="shared" si="86"/>
        <v>-8.6802010867988149E-3</v>
      </c>
      <c r="T145" s="81">
        <f t="shared" si="87"/>
        <v>0</v>
      </c>
      <c r="U145" s="81">
        <f t="shared" si="88"/>
        <v>0</v>
      </c>
      <c r="V145" s="82">
        <f t="shared" si="89"/>
        <v>0</v>
      </c>
      <c r="X145" s="103"/>
    </row>
    <row r="146" spans="1:24" ht="15.6">
      <c r="A146" s="173">
        <v>129</v>
      </c>
      <c r="B146" s="170" t="s">
        <v>204</v>
      </c>
      <c r="C146" s="166" t="s">
        <v>44</v>
      </c>
      <c r="D146" s="57">
        <v>8908513313.6359558</v>
      </c>
      <c r="E146" s="52">
        <f t="shared" si="84"/>
        <v>4.5551562027804906E-3</v>
      </c>
      <c r="F146" s="51">
        <v>15761.673564000001</v>
      </c>
      <c r="G146" s="51">
        <v>15761.673564000001</v>
      </c>
      <c r="H146" s="53">
        <v>179</v>
      </c>
      <c r="I146" s="75">
        <v>6.0900000000000003E-2</v>
      </c>
      <c r="J146" s="75">
        <v>8.0699999999999994E-2</v>
      </c>
      <c r="K146" s="57">
        <f>6210224.29*W137</f>
        <v>8885886383.8754902</v>
      </c>
      <c r="L146" s="52">
        <f t="shared" si="83"/>
        <v>4.5396536035474258E-3</v>
      </c>
      <c r="M146" s="51">
        <f>10.93*W137</f>
        <v>15639.167546999999</v>
      </c>
      <c r="N146" s="51">
        <f>10.93*W137</f>
        <v>15639.167546999999</v>
      </c>
      <c r="O146" s="53">
        <v>180</v>
      </c>
      <c r="P146" s="75">
        <v>4.0800000000000003E-2</v>
      </c>
      <c r="Q146" s="75">
        <v>8.0399999999999999E-2</v>
      </c>
      <c r="R146" s="81">
        <f t="shared" si="85"/>
        <v>-2.5399220906850255E-3</v>
      </c>
      <c r="S146" s="81">
        <f t="shared" si="86"/>
        <v>-7.7723990731420733E-3</v>
      </c>
      <c r="T146" s="81">
        <f t="shared" si="87"/>
        <v>5.5865921787709499E-3</v>
      </c>
      <c r="U146" s="81">
        <f t="shared" si="88"/>
        <v>-2.01E-2</v>
      </c>
      <c r="V146" s="82">
        <f t="shared" si="89"/>
        <v>-2.9999999999999472E-4</v>
      </c>
      <c r="X146" s="103"/>
    </row>
    <row r="147" spans="1:24" ht="15.6">
      <c r="A147" s="173">
        <v>130</v>
      </c>
      <c r="B147" s="166" t="s">
        <v>205</v>
      </c>
      <c r="C147" s="172" t="s">
        <v>48</v>
      </c>
      <c r="D147" s="51">
        <v>28221647959.119999</v>
      </c>
      <c r="E147" s="52">
        <f t="shared" si="84"/>
        <v>1.443046782642168E-2</v>
      </c>
      <c r="F147" s="51">
        <v>1631.0156709999999</v>
      </c>
      <c r="G147" s="51">
        <v>1631.0156709999999</v>
      </c>
      <c r="H147" s="53">
        <v>460</v>
      </c>
      <c r="I147" s="75">
        <v>3.5999999999999999E-3</v>
      </c>
      <c r="J147" s="75">
        <v>0.1694</v>
      </c>
      <c r="K147" s="51">
        <v>28070168567.200001</v>
      </c>
      <c r="L147" s="52">
        <f t="shared" si="83"/>
        <v>1.4340588702496595E-2</v>
      </c>
      <c r="M147" s="51">
        <f>1.13*W137</f>
        <v>1616.8581269999997</v>
      </c>
      <c r="N147" s="51">
        <f>1.13*W137</f>
        <v>1616.8581269999997</v>
      </c>
      <c r="O147" s="53">
        <v>460</v>
      </c>
      <c r="P147" s="75">
        <v>3.5000000000000001E-3</v>
      </c>
      <c r="Q147" s="75">
        <v>0.17130000000000001</v>
      </c>
      <c r="R147" s="81">
        <f t="shared" si="85"/>
        <v>-5.3674892458236718E-3</v>
      </c>
      <c r="S147" s="81">
        <f t="shared" si="86"/>
        <v>-8.6802010867988427E-3</v>
      </c>
      <c r="T147" s="81">
        <f t="shared" si="87"/>
        <v>0</v>
      </c>
      <c r="U147" s="81">
        <f t="shared" si="88"/>
        <v>-9.9999999999999829E-5</v>
      </c>
      <c r="V147" s="82">
        <f t="shared" si="89"/>
        <v>1.9000000000000128E-3</v>
      </c>
      <c r="X147" s="103"/>
    </row>
    <row r="148" spans="1:24">
      <c r="A148" s="173">
        <v>131</v>
      </c>
      <c r="B148" s="170" t="s">
        <v>206</v>
      </c>
      <c r="C148" s="166" t="s">
        <v>106</v>
      </c>
      <c r="D148" s="57">
        <v>461718784.48079997</v>
      </c>
      <c r="E148" s="52">
        <f t="shared" si="84"/>
        <v>2.3608890855544737E-4</v>
      </c>
      <c r="F148" s="51">
        <v>1927.3562000000002</v>
      </c>
      <c r="G148" s="51">
        <v>1927.3562000000002</v>
      </c>
      <c r="H148" s="53">
        <v>2</v>
      </c>
      <c r="I148" s="75">
        <v>3.9500000000000004E-3</v>
      </c>
      <c r="J148" s="75">
        <v>0.19572000000000001</v>
      </c>
      <c r="K148" s="57">
        <f>318684.07*1434.21</f>
        <v>457059880.03470004</v>
      </c>
      <c r="L148" s="52">
        <f t="shared" si="83"/>
        <v>2.3350439582500449E-4</v>
      </c>
      <c r="M148" s="51">
        <f>1.33*1434.21</f>
        <v>1907.4993000000002</v>
      </c>
      <c r="N148" s="51">
        <f>1.33*1434.21</f>
        <v>1907.4993000000002</v>
      </c>
      <c r="O148" s="53">
        <v>2</v>
      </c>
      <c r="P148" s="75">
        <v>2.1499999999999999E-4</v>
      </c>
      <c r="Q148" s="75">
        <v>-9.0300000000000005E-4</v>
      </c>
      <c r="R148" s="81">
        <f t="shared" si="85"/>
        <v>-1.0090350669485642E-2</v>
      </c>
      <c r="S148" s="81">
        <f t="shared" si="86"/>
        <v>-1.030266226865589E-2</v>
      </c>
      <c r="T148" s="81">
        <f t="shared" si="87"/>
        <v>0</v>
      </c>
      <c r="U148" s="81">
        <f t="shared" ref="U148" si="96">P148-I148</f>
        <v>-3.7350000000000005E-3</v>
      </c>
      <c r="V148" s="82">
        <f t="shared" ref="V148" si="97">Q148-J148</f>
        <v>-0.19662299999999999</v>
      </c>
    </row>
    <row r="149" spans="1:24">
      <c r="A149" s="173">
        <v>132</v>
      </c>
      <c r="B149" s="170" t="s">
        <v>207</v>
      </c>
      <c r="C149" s="166" t="s">
        <v>111</v>
      </c>
      <c r="D149" s="57">
        <v>913699684.30224204</v>
      </c>
      <c r="E149" s="52">
        <f t="shared" si="84"/>
        <v>4.6719858161487339E-4</v>
      </c>
      <c r="F149" s="51">
        <v>1572.1259016399999</v>
      </c>
      <c r="G149" s="51">
        <v>1572.1259016399999</v>
      </c>
      <c r="H149" s="53">
        <v>9</v>
      </c>
      <c r="I149" s="75">
        <v>8.3400000000000002E-2</v>
      </c>
      <c r="J149" s="75">
        <v>0.1123</v>
      </c>
      <c r="K149" s="57">
        <f>644817.71*W137</f>
        <v>922636066.23630893</v>
      </c>
      <c r="L149" s="52">
        <f t="shared" si="83"/>
        <v>4.7135963278271536E-4</v>
      </c>
      <c r="M149" s="51">
        <f>1.070976*W137</f>
        <v>1532.4037605504</v>
      </c>
      <c r="N149" s="51">
        <f>1.070976*W137</f>
        <v>1532.4037605504</v>
      </c>
      <c r="O149" s="53">
        <v>9</v>
      </c>
      <c r="P149" s="75">
        <v>-0.95020000000000004</v>
      </c>
      <c r="Q149" s="75">
        <v>32.558</v>
      </c>
      <c r="R149" s="81">
        <f t="shared" ref="R149" si="98">((K149-D149)/D149)</f>
        <v>9.780436709783116E-3</v>
      </c>
      <c r="S149" s="81">
        <f t="shared" ref="S149" si="99">((N149-G149)/G149)</f>
        <v>-2.5266513991126852E-2</v>
      </c>
      <c r="T149" s="81">
        <f t="shared" si="87"/>
        <v>0</v>
      </c>
      <c r="U149" s="81">
        <f t="shared" si="88"/>
        <v>-1.0336000000000001</v>
      </c>
      <c r="V149" s="82">
        <f t="shared" si="89"/>
        <v>32.445700000000002</v>
      </c>
    </row>
    <row r="150" spans="1:24">
      <c r="A150" s="173">
        <v>133</v>
      </c>
      <c r="B150" s="170" t="s">
        <v>208</v>
      </c>
      <c r="C150" s="166" t="s">
        <v>50</v>
      </c>
      <c r="D150" s="57">
        <v>1017737450703.85</v>
      </c>
      <c r="E150" s="52">
        <f t="shared" si="84"/>
        <v>0.52039581669362855</v>
      </c>
      <c r="F150" s="51">
        <v>2422.38</v>
      </c>
      <c r="G150" s="51">
        <v>2422.38</v>
      </c>
      <c r="H150" s="53">
        <v>12830</v>
      </c>
      <c r="I150" s="75">
        <v>5.9999999999999995E-4</v>
      </c>
      <c r="J150" s="75">
        <v>6.1600000000000002E-2</v>
      </c>
      <c r="K150" s="57">
        <v>1010773985315.74</v>
      </c>
      <c r="L150" s="52">
        <f t="shared" si="83"/>
        <v>0.51638784996588449</v>
      </c>
      <c r="M150" s="51">
        <v>2399.58</v>
      </c>
      <c r="N150" s="51">
        <v>2399.58</v>
      </c>
      <c r="O150" s="53">
        <v>12879</v>
      </c>
      <c r="P150" s="75">
        <v>8.9999999999999998E-4</v>
      </c>
      <c r="Q150" s="75">
        <v>2.0000000000000001E-4</v>
      </c>
      <c r="R150" s="81">
        <f t="shared" si="85"/>
        <v>-6.8421039073428723E-3</v>
      </c>
      <c r="S150" s="81">
        <f t="shared" si="86"/>
        <v>-9.4122309464246649E-3</v>
      </c>
      <c r="T150" s="81">
        <f t="shared" si="87"/>
        <v>3.8191738113795789E-3</v>
      </c>
      <c r="U150" s="81">
        <f t="shared" si="88"/>
        <v>3.0000000000000003E-4</v>
      </c>
      <c r="V150" s="82">
        <f t="shared" si="89"/>
        <v>-6.1400000000000003E-2</v>
      </c>
    </row>
    <row r="151" spans="1:24">
      <c r="A151" s="173">
        <v>134</v>
      </c>
      <c r="B151" s="170" t="s">
        <v>209</v>
      </c>
      <c r="C151" s="170" t="s">
        <v>117</v>
      </c>
      <c r="D151" s="57">
        <v>574040151.20088005</v>
      </c>
      <c r="E151" s="52">
        <f t="shared" si="84"/>
        <v>2.9352176545387095E-4</v>
      </c>
      <c r="F151" s="51">
        <v>162784.02422600001</v>
      </c>
      <c r="G151" s="51">
        <v>162784.02422600001</v>
      </c>
      <c r="H151" s="53">
        <v>30</v>
      </c>
      <c r="I151" s="75">
        <v>0</v>
      </c>
      <c r="J151" s="75">
        <v>7.6499999999999999E-2</v>
      </c>
      <c r="K151" s="57">
        <f>401388.85*W137</f>
        <v>574326393.10591495</v>
      </c>
      <c r="L151" s="52">
        <f t="shared" si="83"/>
        <v>2.9341393389935956E-4</v>
      </c>
      <c r="M151" s="51">
        <f>N151</f>
        <v>162873.41645699998</v>
      </c>
      <c r="N151" s="51">
        <f>113.83*W137</f>
        <v>162873.41645699998</v>
      </c>
      <c r="O151" s="53">
        <v>30</v>
      </c>
      <c r="P151" s="75">
        <v>0</v>
      </c>
      <c r="Q151" s="75">
        <v>6.9999999999999999E-4</v>
      </c>
      <c r="R151" s="81">
        <f t="shared" ref="R151" si="100">((K151-D151)/D151)</f>
        <v>4.9864439697482413E-4</v>
      </c>
      <c r="S151" s="81">
        <f t="shared" ref="S151" si="101">((N151-G151)/G151)</f>
        <v>5.4914621643625859E-4</v>
      </c>
      <c r="T151" s="81">
        <f t="shared" ref="T151" si="102">((O151-H151)/H151)</f>
        <v>0</v>
      </c>
      <c r="U151" s="81">
        <f t="shared" ref="U151" si="103">P151-I151</f>
        <v>0</v>
      </c>
      <c r="V151" s="82">
        <f t="shared" ref="V151" si="104">Q151-J151</f>
        <v>-7.5799999999999992E-2</v>
      </c>
    </row>
    <row r="152" spans="1:24" ht="16.5" customHeight="1">
      <c r="A152" s="173">
        <v>135</v>
      </c>
      <c r="B152" s="170" t="s">
        <v>210</v>
      </c>
      <c r="C152" s="166" t="s">
        <v>53</v>
      </c>
      <c r="D152" s="57">
        <v>194231006885.7468</v>
      </c>
      <c r="E152" s="52">
        <f t="shared" si="84"/>
        <v>9.9315401418736099E-2</v>
      </c>
      <c r="F152" s="51">
        <v>1820.509188</v>
      </c>
      <c r="G152" s="51">
        <v>1820.509188</v>
      </c>
      <c r="H152" s="53">
        <v>883</v>
      </c>
      <c r="I152" s="75">
        <v>8.8900000000000007E-2</v>
      </c>
      <c r="J152" s="75">
        <v>8.7599999999999997E-2</v>
      </c>
      <c r="K152" s="57">
        <f>135719084.31*1434.21</f>
        <v>194649667908.24512</v>
      </c>
      <c r="L152" s="52">
        <f t="shared" si="83"/>
        <v>9.9443322610161838E-2</v>
      </c>
      <c r="M152" s="51">
        <f>1.2484*1434.21</f>
        <v>1790.467764</v>
      </c>
      <c r="N152" s="51">
        <f>1.2484*1434.21</f>
        <v>1790.467764</v>
      </c>
      <c r="O152" s="53">
        <v>925</v>
      </c>
      <c r="P152" s="75">
        <v>8.9999999999999998E-4</v>
      </c>
      <c r="Q152" s="75">
        <v>6.0199999999999997E-2</v>
      </c>
      <c r="R152" s="81">
        <f t="shared" si="85"/>
        <v>2.1554798546896893E-3</v>
      </c>
      <c r="S152" s="81">
        <f t="shared" si="86"/>
        <v>-1.6501660193763333E-2</v>
      </c>
      <c r="T152" s="81">
        <f t="shared" si="87"/>
        <v>4.7565118912797279E-2</v>
      </c>
      <c r="U152" s="81">
        <f t="shared" si="88"/>
        <v>-8.8000000000000009E-2</v>
      </c>
      <c r="V152" s="82">
        <f t="shared" si="89"/>
        <v>-2.7400000000000001E-2</v>
      </c>
    </row>
    <row r="153" spans="1:24" ht="16.5" customHeight="1">
      <c r="A153" s="173">
        <v>136</v>
      </c>
      <c r="B153" s="170" t="s">
        <v>211</v>
      </c>
      <c r="C153" s="166" t="s">
        <v>113</v>
      </c>
      <c r="D153" s="51">
        <v>1919958388.3194904</v>
      </c>
      <c r="E153" s="52">
        <f t="shared" si="84"/>
        <v>9.8172501445860805E-4</v>
      </c>
      <c r="F153" s="51">
        <v>161210.74362299999</v>
      </c>
      <c r="G153" s="51">
        <v>161210.74362299999</v>
      </c>
      <c r="H153" s="53">
        <v>31</v>
      </c>
      <c r="I153" s="75">
        <v>4.0000000000000001E-3</v>
      </c>
      <c r="J153" s="75">
        <v>8.5699999999999998E-2</v>
      </c>
      <c r="K153" s="51">
        <f>1327412.06638308*W137</f>
        <v>1899324767.6188908</v>
      </c>
      <c r="L153" s="52">
        <f t="shared" si="83"/>
        <v>9.7033387026803915E-4</v>
      </c>
      <c r="M153" s="51">
        <f>111.87*W137</f>
        <v>160068.954573</v>
      </c>
      <c r="N153" s="51">
        <f>111.87*W137</f>
        <v>160068.954573</v>
      </c>
      <c r="O153" s="53">
        <v>31</v>
      </c>
      <c r="P153" s="75">
        <v>2.0999999999999999E-3</v>
      </c>
      <c r="Q153" s="75">
        <v>0.1173</v>
      </c>
      <c r="R153" s="81">
        <f t="shared" si="85"/>
        <v>-1.0746910363333424E-2</v>
      </c>
      <c r="S153" s="81">
        <f t="shared" si="86"/>
        <v>-7.0825865841182851E-3</v>
      </c>
      <c r="T153" s="81">
        <f t="shared" si="87"/>
        <v>0</v>
      </c>
      <c r="U153" s="81">
        <f t="shared" si="88"/>
        <v>-1.9000000000000002E-3</v>
      </c>
      <c r="V153" s="82">
        <f t="shared" si="89"/>
        <v>3.1600000000000003E-2</v>
      </c>
    </row>
    <row r="154" spans="1:24" ht="16.5" customHeight="1">
      <c r="A154" s="173">
        <v>137</v>
      </c>
      <c r="B154" s="170" t="s">
        <v>212</v>
      </c>
      <c r="C154" s="166" t="s">
        <v>124</v>
      </c>
      <c r="D154" s="51">
        <v>4926282305.9305687</v>
      </c>
      <c r="E154" s="52">
        <f t="shared" si="84"/>
        <v>2.5189371798052199E-3</v>
      </c>
      <c r="F154" s="51">
        <v>1674.3169719999999</v>
      </c>
      <c r="G154" s="51">
        <v>1674.3169719999999</v>
      </c>
      <c r="H154" s="53">
        <v>45</v>
      </c>
      <c r="I154" s="75">
        <v>0.15659999999999999</v>
      </c>
      <c r="J154" s="75">
        <v>0.161</v>
      </c>
      <c r="K154" s="51">
        <f>3481496.32*W137</f>
        <v>4981491698.3297281</v>
      </c>
      <c r="L154" s="52">
        <f t="shared" si="83"/>
        <v>2.5449624001945836E-3</v>
      </c>
      <c r="M154" s="51">
        <f>1.16*W137</f>
        <v>1659.7835639999998</v>
      </c>
      <c r="N154" s="51">
        <f>1.16*W137</f>
        <v>1659.7835639999998</v>
      </c>
      <c r="O154" s="53">
        <v>49</v>
      </c>
      <c r="P154" s="75">
        <v>0.1198</v>
      </c>
      <c r="Q154" s="75">
        <v>-4.0000000000000002E-4</v>
      </c>
      <c r="R154" s="81">
        <f t="shared" ref="R154" si="105">((K154-D154)/D154)</f>
        <v>1.120711095519128E-2</v>
      </c>
      <c r="S154" s="81">
        <f t="shared" ref="S154" si="106">((N154-G154)/G154)</f>
        <v>-8.6802010867987611E-3</v>
      </c>
      <c r="T154" s="81">
        <f t="shared" si="87"/>
        <v>8.8888888888888892E-2</v>
      </c>
      <c r="U154" s="81">
        <f t="shared" si="88"/>
        <v>-3.6799999999999986E-2</v>
      </c>
      <c r="V154" s="82">
        <f t="shared" si="89"/>
        <v>-0.16140000000000002</v>
      </c>
    </row>
    <row r="155" spans="1:24">
      <c r="A155" s="173">
        <v>138</v>
      </c>
      <c r="B155" s="170" t="s">
        <v>213</v>
      </c>
      <c r="C155" s="166" t="s">
        <v>126</v>
      </c>
      <c r="D155" s="51">
        <v>1757440545.404922</v>
      </c>
      <c r="E155" s="52">
        <f t="shared" si="84"/>
        <v>8.986253844584307E-4</v>
      </c>
      <c r="F155" s="51">
        <v>2150.6312830000002</v>
      </c>
      <c r="G155" s="51">
        <v>2150.6312830000002</v>
      </c>
      <c r="H155" s="53">
        <v>123</v>
      </c>
      <c r="I155" s="75">
        <v>5.9999999999999995E-4</v>
      </c>
      <c r="J155" s="75">
        <v>0.19539999999999999</v>
      </c>
      <c r="K155" s="51">
        <f>1221851.82*W137</f>
        <v>1748284110.758178</v>
      </c>
      <c r="L155" s="52">
        <f>(K155/$K$156)</f>
        <v>8.931696761090704E-4</v>
      </c>
      <c r="M155" s="51">
        <f>1.49*W137</f>
        <v>2131.9633709999998</v>
      </c>
      <c r="N155" s="51">
        <f>1.49*W137</f>
        <v>2131.9633709999998</v>
      </c>
      <c r="O155" s="53">
        <v>124</v>
      </c>
      <c r="P155" s="75">
        <v>1.5E-3</v>
      </c>
      <c r="Q155" s="75">
        <v>1.1999999999999999E-3</v>
      </c>
      <c r="R155" s="81">
        <f t="shared" si="85"/>
        <v>-5.2100963931239735E-3</v>
      </c>
      <c r="S155" s="81">
        <f t="shared" si="86"/>
        <v>-8.6802010867989138E-3</v>
      </c>
      <c r="T155" s="81">
        <f t="shared" si="87"/>
        <v>8.130081300813009E-3</v>
      </c>
      <c r="U155" s="81">
        <f t="shared" si="88"/>
        <v>9.0000000000000008E-4</v>
      </c>
      <c r="V155" s="82">
        <f t="shared" si="89"/>
        <v>-0.19419999999999998</v>
      </c>
    </row>
    <row r="156" spans="1:24">
      <c r="A156" s="60"/>
      <c r="B156" s="61"/>
      <c r="C156" s="96" t="s">
        <v>56</v>
      </c>
      <c r="D156" s="84">
        <f>SUM(D118:D155)</f>
        <v>1955698754786.5325</v>
      </c>
      <c r="E156" s="64">
        <f>(D156/$D$231)</f>
        <v>0.25489935693228621</v>
      </c>
      <c r="F156" s="65"/>
      <c r="G156" s="70"/>
      <c r="H156" s="67">
        <f>SUM(H118:H155)</f>
        <v>28505</v>
      </c>
      <c r="I156" s="100"/>
      <c r="J156" s="100"/>
      <c r="K156" s="84">
        <f>SUM(K118:K155)</f>
        <v>1957393043586.3616</v>
      </c>
      <c r="L156" s="64">
        <f>(K156/$K$231)</f>
        <v>0.25103208026860824</v>
      </c>
      <c r="M156" s="65"/>
      <c r="N156" s="70"/>
      <c r="O156" s="67">
        <f>SUM(O118:O155)</f>
        <v>28692</v>
      </c>
      <c r="P156" s="100"/>
      <c r="Q156" s="100"/>
      <c r="R156" s="81">
        <f t="shared" si="85"/>
        <v>8.6633424277760809E-4</v>
      </c>
      <c r="S156" s="81" t="e">
        <f t="shared" si="86"/>
        <v>#DIV/0!</v>
      </c>
      <c r="T156" s="81">
        <f t="shared" si="87"/>
        <v>6.5602525872653916E-3</v>
      </c>
      <c r="U156" s="81">
        <f t="shared" si="88"/>
        <v>0</v>
      </c>
      <c r="V156" s="82">
        <f t="shared" si="89"/>
        <v>0</v>
      </c>
    </row>
    <row r="157" spans="1:24" ht="6" customHeight="1">
      <c r="A157" s="60"/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</row>
    <row r="158" spans="1:24">
      <c r="A158" s="194" t="s">
        <v>214</v>
      </c>
      <c r="B158" s="194"/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</row>
    <row r="159" spans="1:24">
      <c r="A159" s="173">
        <v>139</v>
      </c>
      <c r="B159" s="170" t="s">
        <v>215</v>
      </c>
      <c r="C159" s="166" t="s">
        <v>216</v>
      </c>
      <c r="D159" s="97">
        <v>2573222057.3277001</v>
      </c>
      <c r="E159" s="52">
        <f>(D159/$D$165)</f>
        <v>5.3269714116814561E-3</v>
      </c>
      <c r="F159" s="85">
        <v>121.26</v>
      </c>
      <c r="G159" s="85">
        <v>121.26</v>
      </c>
      <c r="H159" s="53">
        <v>8</v>
      </c>
      <c r="I159" s="75">
        <v>3.0000000000000001E-3</v>
      </c>
      <c r="J159" s="75">
        <v>0.15010000000000001</v>
      </c>
      <c r="K159" s="97">
        <v>2230811723.49968</v>
      </c>
      <c r="L159" s="52">
        <f>(K159/$K$165)</f>
        <v>4.619986414661631E-3</v>
      </c>
      <c r="M159" s="85">
        <v>105.13</v>
      </c>
      <c r="N159" s="85">
        <v>105.13</v>
      </c>
      <c r="O159" s="53">
        <v>8</v>
      </c>
      <c r="P159" s="75">
        <v>3.0000000000000001E-3</v>
      </c>
      <c r="Q159" s="75">
        <v>5.1299999999999998E-2</v>
      </c>
      <c r="R159" s="81">
        <f t="shared" ref="R159:R165" si="107">((K159-D159)/D159)</f>
        <v>-0.13306676462412045</v>
      </c>
      <c r="S159" s="81">
        <f t="shared" ref="S159:T165" si="108">((N159-G159)/G159)</f>
        <v>-0.13301995711693887</v>
      </c>
      <c r="T159" s="81">
        <f t="shared" si="108"/>
        <v>0</v>
      </c>
      <c r="U159" s="81">
        <f t="shared" ref="U159:V165" si="109">P159-I159</f>
        <v>0</v>
      </c>
      <c r="V159" s="82">
        <f t="shared" si="109"/>
        <v>-9.8800000000000013E-2</v>
      </c>
    </row>
    <row r="160" spans="1:24">
      <c r="A160" s="173">
        <v>140</v>
      </c>
      <c r="B160" s="170" t="s">
        <v>217</v>
      </c>
      <c r="C160" s="166" t="s">
        <v>24</v>
      </c>
      <c r="D160" s="97">
        <v>269848683583.47</v>
      </c>
      <c r="E160" s="52">
        <v>0</v>
      </c>
      <c r="F160" s="85">
        <v>107.9395</v>
      </c>
      <c r="G160" s="85">
        <v>107.9395</v>
      </c>
      <c r="H160" s="53">
        <v>45</v>
      </c>
      <c r="I160" s="75">
        <v>0.12559999999999999</v>
      </c>
      <c r="J160" s="75">
        <v>0.10199999999999999</v>
      </c>
      <c r="K160" s="97">
        <v>270008526008.78</v>
      </c>
      <c r="L160" s="52">
        <f t="shared" ref="L160:L164" si="110">(K160/$K$165)</f>
        <v>0.55918467204682243</v>
      </c>
      <c r="M160" s="85">
        <v>108.0034</v>
      </c>
      <c r="N160" s="85">
        <v>108.0034</v>
      </c>
      <c r="O160" s="53">
        <v>45</v>
      </c>
      <c r="P160" s="75">
        <v>7.7700000000000005E-2</v>
      </c>
      <c r="Q160" s="75">
        <v>0.1014</v>
      </c>
      <c r="R160" s="81">
        <f t="shared" ref="R160" si="111">((K160-D160)/D160)</f>
        <v>5.9234094896206844E-4</v>
      </c>
      <c r="S160" s="81">
        <f t="shared" ref="S160" si="112">((N160-G160)/G160)</f>
        <v>5.9199829534140741E-4</v>
      </c>
      <c r="T160" s="81">
        <f t="shared" ref="T160" si="113">((O160-H160)/H160)</f>
        <v>0</v>
      </c>
      <c r="U160" s="81">
        <f t="shared" ref="U160" si="114">P160-I160</f>
        <v>-4.7899999999999984E-2</v>
      </c>
      <c r="V160" s="82">
        <f t="shared" ref="V160" si="115">Q160-J160</f>
        <v>-5.9999999999998943E-4</v>
      </c>
    </row>
    <row r="161" spans="1:22">
      <c r="A161" s="173">
        <v>141</v>
      </c>
      <c r="B161" s="170" t="s">
        <v>218</v>
      </c>
      <c r="C161" s="166" t="s">
        <v>48</v>
      </c>
      <c r="D161" s="57">
        <v>163627573866</v>
      </c>
      <c r="E161" s="52">
        <f>(D161/$D$165)</f>
        <v>0.33873462481204525</v>
      </c>
      <c r="F161" s="85">
        <v>103</v>
      </c>
      <c r="G161" s="85">
        <v>103</v>
      </c>
      <c r="H161" s="53">
        <v>851</v>
      </c>
      <c r="I161" s="75">
        <v>9.2999999999999999E-2</v>
      </c>
      <c r="J161" s="75">
        <v>9.2999999999999999E-2</v>
      </c>
      <c r="K161" s="57">
        <v>163627573866</v>
      </c>
      <c r="L161" s="52">
        <f t="shared" si="110"/>
        <v>0.33887089634755141</v>
      </c>
      <c r="M161" s="85">
        <v>103</v>
      </c>
      <c r="N161" s="85">
        <v>103</v>
      </c>
      <c r="O161" s="53">
        <v>851</v>
      </c>
      <c r="P161" s="75">
        <v>9.2999999999999999E-2</v>
      </c>
      <c r="Q161" s="75">
        <v>9.2999999999999999E-2</v>
      </c>
      <c r="R161" s="81">
        <f t="shared" si="107"/>
        <v>0</v>
      </c>
      <c r="S161" s="81">
        <f t="shared" si="108"/>
        <v>0</v>
      </c>
      <c r="T161" s="81">
        <f t="shared" si="108"/>
        <v>0</v>
      </c>
      <c r="U161" s="81">
        <f t="shared" si="109"/>
        <v>0</v>
      </c>
      <c r="V161" s="82">
        <f t="shared" si="109"/>
        <v>0</v>
      </c>
    </row>
    <row r="162" spans="1:22" ht="15.75" customHeight="1">
      <c r="A162" s="173">
        <v>142</v>
      </c>
      <c r="B162" s="170" t="s">
        <v>220</v>
      </c>
      <c r="C162" s="166" t="s">
        <v>162</v>
      </c>
      <c r="D162" s="57">
        <v>3049990506.2774901</v>
      </c>
      <c r="E162" s="52">
        <f>(D162/$D$165)</f>
        <v>6.3139565380971527E-3</v>
      </c>
      <c r="F162" s="85">
        <v>418.75</v>
      </c>
      <c r="G162" s="85">
        <v>418.75</v>
      </c>
      <c r="H162" s="53">
        <v>3871</v>
      </c>
      <c r="I162" s="75">
        <v>0.53339999999999999</v>
      </c>
      <c r="J162" s="75">
        <v>0.2515</v>
      </c>
      <c r="K162" s="57">
        <v>2989526862.4400001</v>
      </c>
      <c r="L162" s="52">
        <f t="shared" si="110"/>
        <v>6.191277078762757E-3</v>
      </c>
      <c r="M162" s="85">
        <v>418.75</v>
      </c>
      <c r="N162" s="85">
        <v>418.75</v>
      </c>
      <c r="O162" s="53">
        <v>3871</v>
      </c>
      <c r="P162" s="75">
        <v>0.53339999999999999</v>
      </c>
      <c r="Q162" s="75">
        <v>0.2515</v>
      </c>
      <c r="R162" s="81">
        <f t="shared" si="107"/>
        <v>-1.9824207227217203E-2</v>
      </c>
      <c r="S162" s="81">
        <f t="shared" si="108"/>
        <v>0</v>
      </c>
      <c r="T162" s="81">
        <f t="shared" si="108"/>
        <v>0</v>
      </c>
      <c r="U162" s="81">
        <f t="shared" si="109"/>
        <v>0</v>
      </c>
      <c r="V162" s="82">
        <f t="shared" si="109"/>
        <v>0</v>
      </c>
    </row>
    <row r="163" spans="1:22">
      <c r="A163" s="173">
        <v>143</v>
      </c>
      <c r="B163" s="170" t="s">
        <v>219</v>
      </c>
      <c r="C163" s="166" t="s">
        <v>162</v>
      </c>
      <c r="D163" s="57">
        <v>10852776222.459999</v>
      </c>
      <c r="E163" s="52">
        <f>(D163/$D$165)</f>
        <v>2.2466941206954787E-2</v>
      </c>
      <c r="F163" s="85">
        <v>62.74</v>
      </c>
      <c r="G163" s="85">
        <v>62.74</v>
      </c>
      <c r="H163" s="53">
        <v>5970</v>
      </c>
      <c r="I163" s="75">
        <v>1.66E-2</v>
      </c>
      <c r="J163" s="75">
        <v>0.20369999999999999</v>
      </c>
      <c r="K163" s="57">
        <v>10901574055.17</v>
      </c>
      <c r="L163" s="52">
        <f t="shared" si="110"/>
        <v>2.2577039336291765E-2</v>
      </c>
      <c r="M163" s="85">
        <v>51.8</v>
      </c>
      <c r="N163" s="85">
        <v>51.8</v>
      </c>
      <c r="O163" s="53">
        <v>5970</v>
      </c>
      <c r="P163" s="75">
        <v>0.21609999999999999</v>
      </c>
      <c r="Q163" s="75">
        <v>0.20979999999999999</v>
      </c>
      <c r="R163" s="81">
        <f t="shared" si="107"/>
        <v>4.4963456086943975E-3</v>
      </c>
      <c r="S163" s="81">
        <f t="shared" si="108"/>
        <v>-0.17437041759642979</v>
      </c>
      <c r="T163" s="81">
        <f t="shared" si="108"/>
        <v>0</v>
      </c>
      <c r="U163" s="81">
        <f t="shared" si="109"/>
        <v>0.19949999999999998</v>
      </c>
      <c r="V163" s="82">
        <f t="shared" si="109"/>
        <v>6.0999999999999943E-3</v>
      </c>
    </row>
    <row r="164" spans="1:22">
      <c r="A164" s="173">
        <v>144</v>
      </c>
      <c r="B164" s="170" t="s">
        <v>327</v>
      </c>
      <c r="C164" s="166" t="s">
        <v>50</v>
      </c>
      <c r="D164" s="57">
        <v>33103107071.77</v>
      </c>
      <c r="E164" s="52">
        <f>(D164/$D$165)</f>
        <v>6.852859997332604E-2</v>
      </c>
      <c r="F164" s="85">
        <v>6.9</v>
      </c>
      <c r="G164" s="85">
        <v>6.9</v>
      </c>
      <c r="H164" s="53">
        <v>211092</v>
      </c>
      <c r="I164" s="75">
        <v>-7.1999999999999998E-3</v>
      </c>
      <c r="J164" s="75">
        <v>0.38</v>
      </c>
      <c r="K164" s="57">
        <v>33103087772.23</v>
      </c>
      <c r="L164" s="52">
        <f t="shared" si="110"/>
        <v>6.8556128775910163E-2</v>
      </c>
      <c r="M164" s="85">
        <v>6.9</v>
      </c>
      <c r="N164" s="85">
        <v>6.9</v>
      </c>
      <c r="O164" s="53">
        <v>211092</v>
      </c>
      <c r="P164" s="75">
        <v>0</v>
      </c>
      <c r="Q164" s="75">
        <v>0</v>
      </c>
      <c r="R164" s="81">
        <f t="shared" si="107"/>
        <v>-5.8301294676275213E-7</v>
      </c>
      <c r="S164" s="81">
        <f t="shared" si="108"/>
        <v>0</v>
      </c>
      <c r="T164" s="81">
        <f t="shared" si="108"/>
        <v>0</v>
      </c>
      <c r="U164" s="81">
        <f t="shared" si="109"/>
        <v>7.1999999999999998E-3</v>
      </c>
      <c r="V164" s="82">
        <f t="shared" si="109"/>
        <v>-0.38</v>
      </c>
    </row>
    <row r="165" spans="1:22">
      <c r="A165" s="60"/>
      <c r="B165" s="98"/>
      <c r="C165" s="62" t="s">
        <v>56</v>
      </c>
      <c r="D165" s="63">
        <f>SUM(D159:D164)</f>
        <v>483055353307.30524</v>
      </c>
      <c r="E165" s="64">
        <f>(D165/$D$231)</f>
        <v>6.2959849322075323E-2</v>
      </c>
      <c r="F165" s="65"/>
      <c r="G165" s="99"/>
      <c r="H165" s="67">
        <f>SUM(H159:H164)</f>
        <v>221837</v>
      </c>
      <c r="I165" s="101"/>
      <c r="J165" s="101"/>
      <c r="K165" s="63">
        <f>SUM(K159:K164)</f>
        <v>482861100288.11963</v>
      </c>
      <c r="L165" s="64">
        <f>(K165/$K$231)</f>
        <v>6.19260535758452E-2</v>
      </c>
      <c r="M165" s="65"/>
      <c r="N165" s="99"/>
      <c r="O165" s="67">
        <f>SUM(O159:O164)</f>
        <v>221837</v>
      </c>
      <c r="P165" s="101"/>
      <c r="Q165" s="101"/>
      <c r="R165" s="81">
        <f t="shared" si="107"/>
        <v>-4.0213407812505911E-4</v>
      </c>
      <c r="S165" s="81" t="e">
        <f t="shared" si="108"/>
        <v>#DIV/0!</v>
      </c>
      <c r="T165" s="81">
        <f t="shared" si="108"/>
        <v>0</v>
      </c>
      <c r="U165" s="81">
        <f t="shared" si="109"/>
        <v>0</v>
      </c>
      <c r="V165" s="82">
        <f t="shared" si="109"/>
        <v>0</v>
      </c>
    </row>
    <row r="166" spans="1:22" ht="5.25" customHeight="1">
      <c r="A166" s="60"/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</row>
    <row r="167" spans="1:22" ht="15" customHeight="1">
      <c r="A167" s="194" t="s">
        <v>221</v>
      </c>
      <c r="B167" s="194"/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  <c r="Q167" s="194"/>
      <c r="R167" s="194"/>
      <c r="S167" s="194"/>
      <c r="T167" s="194"/>
      <c r="U167" s="194"/>
      <c r="V167" s="194"/>
    </row>
    <row r="168" spans="1:22">
      <c r="A168" s="176">
        <v>145</v>
      </c>
      <c r="B168" s="170" t="s">
        <v>222</v>
      </c>
      <c r="C168" s="166" t="s">
        <v>60</v>
      </c>
      <c r="D168" s="51">
        <v>595674829.94000006</v>
      </c>
      <c r="E168" s="52">
        <f t="shared" ref="E168:E196" si="116">(D168/$D$197)</f>
        <v>7.1326623062336735E-3</v>
      </c>
      <c r="F168" s="51">
        <v>7.76</v>
      </c>
      <c r="G168" s="51">
        <v>7.87</v>
      </c>
      <c r="H168" s="55">
        <v>11940</v>
      </c>
      <c r="I168" s="76">
        <v>5.5830000000000003E-3</v>
      </c>
      <c r="J168" s="76">
        <v>0.35883599999999999</v>
      </c>
      <c r="K168" s="51">
        <v>609328842.63999999</v>
      </c>
      <c r="L168" s="79">
        <f t="shared" ref="L168:L196" si="117">(K168/$K$197)</f>
        <v>7.245435042908299E-3</v>
      </c>
      <c r="M168" s="51">
        <v>7.87</v>
      </c>
      <c r="N168" s="51">
        <v>7.99</v>
      </c>
      <c r="O168" s="55">
        <v>11944</v>
      </c>
      <c r="P168" s="76">
        <v>-0.35486499999999999</v>
      </c>
      <c r="Q168" s="76">
        <v>3.9709999999999997E-3</v>
      </c>
      <c r="R168" s="81">
        <f>((K168-D168)/D168)</f>
        <v>2.2921923193187872E-2</v>
      </c>
      <c r="S168" s="81">
        <f>((N168-G168)/G168)</f>
        <v>1.5247776365946646E-2</v>
      </c>
      <c r="T168" s="81">
        <f>((O168-H168)/H168)</f>
        <v>3.3500837520938025E-4</v>
      </c>
      <c r="U168" s="81">
        <f>P168-I168</f>
        <v>-0.36044799999999999</v>
      </c>
      <c r="V168" s="82">
        <f>Q168-J168</f>
        <v>-0.35486499999999999</v>
      </c>
    </row>
    <row r="169" spans="1:22">
      <c r="A169" s="176">
        <v>146</v>
      </c>
      <c r="B169" s="170" t="s">
        <v>223</v>
      </c>
      <c r="C169" s="170" t="s">
        <v>224</v>
      </c>
      <c r="D169" s="51">
        <v>2010877739.7191463</v>
      </c>
      <c r="E169" s="52">
        <f t="shared" si="116"/>
        <v>2.4078425234089255E-2</v>
      </c>
      <c r="F169" s="51">
        <v>2189.3893879956199</v>
      </c>
      <c r="G169" s="51">
        <v>2202.4423104389639</v>
      </c>
      <c r="H169" s="55">
        <v>179</v>
      </c>
      <c r="I169" s="76">
        <v>0</v>
      </c>
      <c r="J169" s="76">
        <v>0.4491</v>
      </c>
      <c r="K169" s="51">
        <v>2010877739.7191501</v>
      </c>
      <c r="L169" s="79">
        <f t="shared" si="117"/>
        <v>2.3911036246438339E-2</v>
      </c>
      <c r="M169" s="51">
        <v>2189.3893879956199</v>
      </c>
      <c r="N169" s="51">
        <v>2202.4423104389598</v>
      </c>
      <c r="O169" s="55">
        <v>179</v>
      </c>
      <c r="P169" s="76">
        <v>0</v>
      </c>
      <c r="Q169" s="76">
        <v>0.4491</v>
      </c>
      <c r="R169" s="81">
        <f>((K169-D169)/D169)</f>
        <v>1.8970309284729505E-15</v>
      </c>
      <c r="S169" s="81">
        <f>((N169-G169)/G169)</f>
        <v>-1.8582671330730406E-15</v>
      </c>
      <c r="T169" s="81">
        <f>((O169-H169)/H169)</f>
        <v>0</v>
      </c>
      <c r="U169" s="81">
        <f>P169-I169</f>
        <v>0</v>
      </c>
      <c r="V169" s="82">
        <f>Q169-J169</f>
        <v>0</v>
      </c>
    </row>
    <row r="170" spans="1:22">
      <c r="A170" s="176">
        <v>147</v>
      </c>
      <c r="B170" s="170" t="s">
        <v>225</v>
      </c>
      <c r="C170" s="166" t="s">
        <v>24</v>
      </c>
      <c r="D170" s="51">
        <v>9893847014.0499992</v>
      </c>
      <c r="E170" s="52">
        <f t="shared" si="116"/>
        <v>0.11846978605402077</v>
      </c>
      <c r="F170" s="51">
        <v>1049.1917000000001</v>
      </c>
      <c r="G170" s="51">
        <v>1080.8255999999999</v>
      </c>
      <c r="H170" s="55">
        <v>22328</v>
      </c>
      <c r="I170" s="76">
        <v>0.13220000000000001</v>
      </c>
      <c r="J170" s="76">
        <v>0.32440000000000002</v>
      </c>
      <c r="K170" s="51">
        <v>9953650972.7800007</v>
      </c>
      <c r="L170" s="79">
        <f t="shared" si="117"/>
        <v>0.11835732451231942</v>
      </c>
      <c r="M170" s="51">
        <v>1053.9329</v>
      </c>
      <c r="N170" s="51">
        <v>1085.7097000000001</v>
      </c>
      <c r="O170" s="55">
        <v>22418</v>
      </c>
      <c r="P170" s="76">
        <v>0.19650000000000001</v>
      </c>
      <c r="Q170" s="76">
        <v>0.32679999999999998</v>
      </c>
      <c r="R170" s="81">
        <f t="shared" ref="R170:R196" si="118">((K170-D170)/D170)</f>
        <v>6.0445606895958041E-3</v>
      </c>
      <c r="S170" s="81">
        <f t="shared" ref="S170:T196" si="119">((N170-G170)/G170)</f>
        <v>4.5188603970892412E-3</v>
      </c>
      <c r="T170" s="81">
        <f t="shared" si="119"/>
        <v>4.0308133285560733E-3</v>
      </c>
      <c r="U170" s="81">
        <f t="shared" ref="U170:V196" si="120">P170-I170</f>
        <v>6.4299999999999996E-2</v>
      </c>
      <c r="V170" s="82">
        <f t="shared" si="120"/>
        <v>2.3999999999999577E-3</v>
      </c>
    </row>
    <row r="171" spans="1:22">
      <c r="A171" s="176">
        <v>148</v>
      </c>
      <c r="B171" s="170" t="s">
        <v>226</v>
      </c>
      <c r="C171" s="166" t="s">
        <v>128</v>
      </c>
      <c r="D171" s="51">
        <v>5464589300.7600002</v>
      </c>
      <c r="E171" s="52">
        <f t="shared" si="116"/>
        <v>6.543346833792639E-2</v>
      </c>
      <c r="F171" s="51">
        <v>31.991800000000001</v>
      </c>
      <c r="G171" s="51">
        <v>32.3506</v>
      </c>
      <c r="H171" s="53">
        <v>6188</v>
      </c>
      <c r="I171" s="75">
        <v>-5.79E-2</v>
      </c>
      <c r="J171" s="75">
        <v>0.50439999999999996</v>
      </c>
      <c r="K171" s="51">
        <v>5861584185.3299999</v>
      </c>
      <c r="L171" s="79">
        <f t="shared" si="117"/>
        <v>6.9699191128621468E-2</v>
      </c>
      <c r="M171" s="51">
        <v>34.133899999999997</v>
      </c>
      <c r="N171" s="51">
        <v>34.5383</v>
      </c>
      <c r="O171" s="53">
        <v>6192</v>
      </c>
      <c r="P171" s="75">
        <v>1.3299999999999999E-2</v>
      </c>
      <c r="Q171" s="75">
        <v>1.06E-2</v>
      </c>
      <c r="R171" s="81">
        <f t="shared" si="118"/>
        <v>7.2648622379505576E-2</v>
      </c>
      <c r="S171" s="81">
        <f t="shared" si="119"/>
        <v>6.7624711751868571E-2</v>
      </c>
      <c r="T171" s="81">
        <f t="shared" si="119"/>
        <v>6.4641241111829345E-4</v>
      </c>
      <c r="U171" s="81">
        <f t="shared" si="120"/>
        <v>7.1199999999999999E-2</v>
      </c>
      <c r="V171" s="82">
        <f t="shared" si="120"/>
        <v>-0.49379999999999996</v>
      </c>
    </row>
    <row r="172" spans="1:22">
      <c r="A172" s="176">
        <v>149</v>
      </c>
      <c r="B172" s="170" t="s">
        <v>227</v>
      </c>
      <c r="C172" s="166" t="s">
        <v>136</v>
      </c>
      <c r="D172" s="57">
        <v>2507589035.7399998</v>
      </c>
      <c r="E172" s="52">
        <f t="shared" si="116"/>
        <v>3.0026089563913762E-2</v>
      </c>
      <c r="F172" s="51">
        <v>5.9832999999999998</v>
      </c>
      <c r="G172" s="51">
        <v>6.1184000000000003</v>
      </c>
      <c r="H172" s="53">
        <v>2736</v>
      </c>
      <c r="I172" s="75">
        <v>0.2432</v>
      </c>
      <c r="J172" s="75">
        <v>0.37230000000000002</v>
      </c>
      <c r="K172" s="57">
        <v>2526362325.3099999</v>
      </c>
      <c r="L172" s="79">
        <f t="shared" si="117"/>
        <v>3.0040583740591088E-2</v>
      </c>
      <c r="M172" s="51">
        <v>6.0278</v>
      </c>
      <c r="N172" s="51">
        <v>6.1643999999999997</v>
      </c>
      <c r="O172" s="53">
        <v>2736</v>
      </c>
      <c r="P172" s="75">
        <v>0.39200000000000002</v>
      </c>
      <c r="Q172" s="75">
        <v>0.59699999999999998</v>
      </c>
      <c r="R172" s="81">
        <f t="shared" si="118"/>
        <v>7.4865894300977821E-3</v>
      </c>
      <c r="S172" s="81">
        <f t="shared" si="119"/>
        <v>7.5183054393304413E-3</v>
      </c>
      <c r="T172" s="81">
        <f t="shared" si="119"/>
        <v>0</v>
      </c>
      <c r="U172" s="81">
        <f t="shared" si="120"/>
        <v>0.14880000000000002</v>
      </c>
      <c r="V172" s="82">
        <f t="shared" si="120"/>
        <v>0.22469999999999996</v>
      </c>
    </row>
    <row r="173" spans="1:22">
      <c r="A173" s="176">
        <v>150</v>
      </c>
      <c r="B173" s="170" t="s">
        <v>228</v>
      </c>
      <c r="C173" s="166" t="s">
        <v>28</v>
      </c>
      <c r="D173" s="57">
        <v>1117666057.0999999</v>
      </c>
      <c r="E173" s="52">
        <f t="shared" si="116"/>
        <v>1.3383030733793072E-2</v>
      </c>
      <c r="F173" s="51">
        <v>1.2277</v>
      </c>
      <c r="G173" s="51">
        <v>1.238</v>
      </c>
      <c r="H173" s="53">
        <v>226</v>
      </c>
      <c r="I173" s="75">
        <v>3.2199999999999999E-2</v>
      </c>
      <c r="J173" s="75">
        <v>0.2329</v>
      </c>
      <c r="K173" s="57">
        <v>1157674832.4300001</v>
      </c>
      <c r="L173" s="79">
        <f t="shared" si="117"/>
        <v>1.3765732412796647E-2</v>
      </c>
      <c r="M173" s="51">
        <v>1.2551000000000001</v>
      </c>
      <c r="N173" s="51">
        <v>1.2655000000000001</v>
      </c>
      <c r="O173" s="53">
        <v>226</v>
      </c>
      <c r="P173" s="75">
        <v>2.23E-2</v>
      </c>
      <c r="Q173" s="75">
        <v>9.7000000000000003E-3</v>
      </c>
      <c r="R173" s="81">
        <f t="shared" ref="R173" si="121">((K173-D173)/D173)</f>
        <v>3.5796716806279903E-2</v>
      </c>
      <c r="S173" s="81">
        <f t="shared" ref="S173" si="122">((N173-G173)/G173)</f>
        <v>2.2213247172859517E-2</v>
      </c>
      <c r="T173" s="81">
        <f t="shared" ref="T173" si="123">((O173-H173)/H173)</f>
        <v>0</v>
      </c>
      <c r="U173" s="81">
        <f t="shared" ref="U173" si="124">P173-I173</f>
        <v>-9.8999999999999991E-3</v>
      </c>
      <c r="V173" s="82">
        <f t="shared" ref="V173" si="125">Q173-J173</f>
        <v>-0.22320000000000001</v>
      </c>
    </row>
    <row r="174" spans="1:22">
      <c r="A174" s="176">
        <v>151</v>
      </c>
      <c r="B174" s="170" t="s">
        <v>229</v>
      </c>
      <c r="C174" s="166" t="s">
        <v>71</v>
      </c>
      <c r="D174" s="51">
        <v>6264457730.0389204</v>
      </c>
      <c r="E174" s="52">
        <f t="shared" si="116"/>
        <v>7.501116259107915E-2</v>
      </c>
      <c r="F174" s="51">
        <v>11115.431317673099</v>
      </c>
      <c r="G174" s="51">
        <v>11198.4729041379</v>
      </c>
      <c r="H174" s="53">
        <v>1357</v>
      </c>
      <c r="I174" s="75">
        <v>0.1236</v>
      </c>
      <c r="J174" s="75">
        <v>0.46089999999999998</v>
      </c>
      <c r="K174" s="51">
        <v>6351777444.9744301</v>
      </c>
      <c r="L174" s="79">
        <f t="shared" si="117"/>
        <v>7.5528003376925917E-2</v>
      </c>
      <c r="M174" s="51">
        <v>11244.4062928078</v>
      </c>
      <c r="N174" s="51">
        <v>11329.1255858639</v>
      </c>
      <c r="O174" s="53">
        <v>1357</v>
      </c>
      <c r="P174" s="75">
        <v>0.60499999999999998</v>
      </c>
      <c r="Q174" s="75">
        <v>1.2456</v>
      </c>
      <c r="R174" s="81">
        <f t="shared" si="118"/>
        <v>1.3938910389130709E-2</v>
      </c>
      <c r="S174" s="81">
        <f t="shared" si="119"/>
        <v>1.1667008782753154E-2</v>
      </c>
      <c r="T174" s="81">
        <f t="shared" si="119"/>
        <v>0</v>
      </c>
      <c r="U174" s="81">
        <f t="shared" si="120"/>
        <v>0.48139999999999999</v>
      </c>
      <c r="V174" s="82">
        <f t="shared" si="120"/>
        <v>0.78470000000000006</v>
      </c>
    </row>
    <row r="175" spans="1:22">
      <c r="A175" s="176">
        <v>152</v>
      </c>
      <c r="B175" s="170" t="s">
        <v>230</v>
      </c>
      <c r="C175" s="166" t="s">
        <v>73</v>
      </c>
      <c r="D175" s="51">
        <v>1290019898.23</v>
      </c>
      <c r="E175" s="52">
        <f t="shared" si="116"/>
        <v>1.5446810642180951E-2</v>
      </c>
      <c r="F175" s="51">
        <v>230.59</v>
      </c>
      <c r="G175" s="51">
        <v>232.28</v>
      </c>
      <c r="H175" s="53">
        <v>508</v>
      </c>
      <c r="I175" s="75">
        <v>1.1000000000000001E-3</v>
      </c>
      <c r="J175" s="75">
        <v>0.251</v>
      </c>
      <c r="K175" s="51">
        <v>1263284663.75</v>
      </c>
      <c r="L175" s="79">
        <f t="shared" si="117"/>
        <v>1.5021522585811067E-2</v>
      </c>
      <c r="M175" s="51">
        <v>232.94</v>
      </c>
      <c r="N175" s="51">
        <v>234.72</v>
      </c>
      <c r="O175" s="53">
        <v>508</v>
      </c>
      <c r="P175" s="75">
        <v>1.03E-2</v>
      </c>
      <c r="Q175" s="75">
        <v>0.26269999999999999</v>
      </c>
      <c r="R175" s="81">
        <f t="shared" si="118"/>
        <v>-2.0724668291305183E-2</v>
      </c>
      <c r="S175" s="81">
        <f t="shared" si="119"/>
        <v>1.0504563457895633E-2</v>
      </c>
      <c r="T175" s="81">
        <f t="shared" si="119"/>
        <v>0</v>
      </c>
      <c r="U175" s="81">
        <f t="shared" si="120"/>
        <v>9.1999999999999998E-3</v>
      </c>
      <c r="V175" s="82">
        <f t="shared" si="120"/>
        <v>1.1699999999999988E-2</v>
      </c>
    </row>
    <row r="176" spans="1:22">
      <c r="A176" s="176">
        <v>153</v>
      </c>
      <c r="B176" s="170" t="s">
        <v>231</v>
      </c>
      <c r="C176" s="166" t="s">
        <v>232</v>
      </c>
      <c r="D176" s="51">
        <v>1193351568.4100001</v>
      </c>
      <c r="E176" s="52">
        <f t="shared" si="116"/>
        <v>1.4289295639602902E-2</v>
      </c>
      <c r="F176" s="51">
        <v>2.1135000000000002</v>
      </c>
      <c r="G176" s="51">
        <v>2.1494</v>
      </c>
      <c r="H176" s="53">
        <v>3726</v>
      </c>
      <c r="I176" s="75">
        <v>1.23170211758028E-3</v>
      </c>
      <c r="J176" s="75">
        <v>0.44374615752442126</v>
      </c>
      <c r="K176" s="51">
        <v>1309098966.01</v>
      </c>
      <c r="L176" s="79">
        <f t="shared" si="117"/>
        <v>1.5566293369387965E-2</v>
      </c>
      <c r="M176" s="51">
        <v>2.1366999999999998</v>
      </c>
      <c r="N176" s="51">
        <v>2.1724999999999999</v>
      </c>
      <c r="O176" s="53">
        <v>3847</v>
      </c>
      <c r="P176" s="75">
        <v>1.0999999999999999E-2</v>
      </c>
      <c r="Q176" s="75">
        <v>0.45960000000000001</v>
      </c>
      <c r="R176" s="81">
        <f t="shared" si="118"/>
        <v>9.6993543783764943E-2</v>
      </c>
      <c r="S176" s="81">
        <f t="shared" si="119"/>
        <v>1.0747185261003024E-2</v>
      </c>
      <c r="T176" s="81">
        <f t="shared" si="119"/>
        <v>3.2474503488996241E-2</v>
      </c>
      <c r="U176" s="81">
        <f t="shared" si="120"/>
        <v>9.7682978824197193E-3</v>
      </c>
      <c r="V176" s="82">
        <f t="shared" si="120"/>
        <v>1.585384247557875E-2</v>
      </c>
    </row>
    <row r="177" spans="1:22">
      <c r="A177" s="176">
        <v>154</v>
      </c>
      <c r="B177" s="170" t="s">
        <v>233</v>
      </c>
      <c r="C177" s="166" t="s">
        <v>30</v>
      </c>
      <c r="D177" s="69">
        <v>202128987.96000001</v>
      </c>
      <c r="E177" s="52">
        <f t="shared" si="116"/>
        <v>2.4203101104081745E-3</v>
      </c>
      <c r="F177" s="51">
        <v>209.02430000000001</v>
      </c>
      <c r="G177" s="51">
        <v>210.3124</v>
      </c>
      <c r="H177" s="53">
        <v>164</v>
      </c>
      <c r="I177" s="75">
        <v>2.6389999999999999E-3</v>
      </c>
      <c r="J177" s="75">
        <v>0.30769999999999997</v>
      </c>
      <c r="K177" s="69">
        <v>204362136.80000001</v>
      </c>
      <c r="L177" s="79">
        <f t="shared" si="117"/>
        <v>2.4300385666941975E-3</v>
      </c>
      <c r="M177" s="51">
        <v>211.1506</v>
      </c>
      <c r="N177" s="51">
        <v>212.45760000000001</v>
      </c>
      <c r="O177" s="53">
        <v>162</v>
      </c>
      <c r="P177" s="75">
        <v>2.7299999999999998E-3</v>
      </c>
      <c r="Q177" s="75">
        <v>0.32029999999999997</v>
      </c>
      <c r="R177" s="81">
        <f t="shared" si="118"/>
        <v>1.1048137442027508E-2</v>
      </c>
      <c r="S177" s="81">
        <f t="shared" si="119"/>
        <v>1.0200064285320394E-2</v>
      </c>
      <c r="T177" s="81">
        <f t="shared" si="119"/>
        <v>-1.2195121951219513E-2</v>
      </c>
      <c r="U177" s="81">
        <f t="shared" si="120"/>
        <v>9.0999999999999935E-5</v>
      </c>
      <c r="V177" s="82">
        <f t="shared" si="120"/>
        <v>1.26E-2</v>
      </c>
    </row>
    <row r="178" spans="1:22">
      <c r="A178" s="176">
        <v>155</v>
      </c>
      <c r="B178" s="170" t="s">
        <v>234</v>
      </c>
      <c r="C178" s="166" t="s">
        <v>79</v>
      </c>
      <c r="D178" s="69">
        <v>497631667.72000003</v>
      </c>
      <c r="E178" s="52">
        <f t="shared" si="116"/>
        <v>5.9586849407287619E-3</v>
      </c>
      <c r="F178" s="51">
        <v>173.9</v>
      </c>
      <c r="G178" s="51">
        <v>175.38</v>
      </c>
      <c r="H178" s="53">
        <v>53</v>
      </c>
      <c r="I178" s="75">
        <v>2.7699999999999999E-2</v>
      </c>
      <c r="J178" s="75">
        <v>0.52200000000000002</v>
      </c>
      <c r="K178" s="69">
        <v>502627061.74000001</v>
      </c>
      <c r="L178" s="79">
        <f t="shared" si="117"/>
        <v>5.9766606662941561E-3</v>
      </c>
      <c r="M178" s="51">
        <v>175.05</v>
      </c>
      <c r="N178" s="51">
        <v>176.13</v>
      </c>
      <c r="O178" s="53">
        <v>53</v>
      </c>
      <c r="P178" s="75">
        <v>1.0200000000000001E-2</v>
      </c>
      <c r="Q178" s="75">
        <v>9.4999999999999998E-3</v>
      </c>
      <c r="R178" s="81">
        <f t="shared" si="118"/>
        <v>1.0038336271659292E-2</v>
      </c>
      <c r="S178" s="81">
        <f t="shared" si="119"/>
        <v>4.2764283270612389E-3</v>
      </c>
      <c r="T178" s="81">
        <f t="shared" si="119"/>
        <v>0</v>
      </c>
      <c r="U178" s="81">
        <f t="shared" si="120"/>
        <v>-1.7499999999999998E-2</v>
      </c>
      <c r="V178" s="82">
        <f t="shared" si="120"/>
        <v>-0.51250000000000007</v>
      </c>
    </row>
    <row r="179" spans="1:22" ht="15.75" customHeight="1">
      <c r="A179" s="176">
        <v>156</v>
      </c>
      <c r="B179" s="170" t="s">
        <v>235</v>
      </c>
      <c r="C179" s="166" t="s">
        <v>82</v>
      </c>
      <c r="D179" s="57">
        <v>525428278.16000003</v>
      </c>
      <c r="E179" s="52">
        <f t="shared" si="116"/>
        <v>6.2915239756539407E-3</v>
      </c>
      <c r="F179" s="51">
        <v>1.8</v>
      </c>
      <c r="G179" s="51">
        <v>1.82</v>
      </c>
      <c r="H179" s="53">
        <v>128</v>
      </c>
      <c r="I179" s="75">
        <v>0.43509999999999999</v>
      </c>
      <c r="J179" s="75">
        <v>0.48199999999999998</v>
      </c>
      <c r="K179" s="57">
        <v>525428278.16000003</v>
      </c>
      <c r="L179" s="79">
        <f t="shared" si="117"/>
        <v>6.247786404827445E-3</v>
      </c>
      <c r="M179" s="51">
        <v>1.8366</v>
      </c>
      <c r="N179" s="51">
        <v>1.8566</v>
      </c>
      <c r="O179" s="53">
        <v>119</v>
      </c>
      <c r="P179" s="75">
        <v>0.43509999999999999</v>
      </c>
      <c r="Q179" s="75">
        <v>1.436E-2</v>
      </c>
      <c r="R179" s="81">
        <f t="shared" si="118"/>
        <v>0</v>
      </c>
      <c r="S179" s="81">
        <f t="shared" si="119"/>
        <v>2.0109890109890092E-2</v>
      </c>
      <c r="T179" s="81">
        <f t="shared" si="119"/>
        <v>-7.03125E-2</v>
      </c>
      <c r="U179" s="81">
        <f t="shared" si="120"/>
        <v>0</v>
      </c>
      <c r="V179" s="82">
        <f t="shared" si="120"/>
        <v>-0.46764</v>
      </c>
    </row>
    <row r="180" spans="1:22">
      <c r="A180" s="176">
        <v>157</v>
      </c>
      <c r="B180" s="170" t="s">
        <v>236</v>
      </c>
      <c r="C180" s="166" t="s">
        <v>32</v>
      </c>
      <c r="D180" s="51">
        <v>14110202394.629999</v>
      </c>
      <c r="E180" s="52">
        <f t="shared" si="116"/>
        <v>0.16895679269114477</v>
      </c>
      <c r="F180" s="51">
        <v>423.53</v>
      </c>
      <c r="G180" s="51">
        <v>427.5</v>
      </c>
      <c r="H180" s="53">
        <v>5550</v>
      </c>
      <c r="I180" s="75">
        <v>1.9E-3</v>
      </c>
      <c r="J180" s="75">
        <v>0.43759999999999999</v>
      </c>
      <c r="K180" s="51">
        <v>14037716038.08</v>
      </c>
      <c r="L180" s="79">
        <f t="shared" si="117"/>
        <v>0.16692031065529586</v>
      </c>
      <c r="M180" s="51">
        <v>423.53</v>
      </c>
      <c r="N180" s="51">
        <v>427.5</v>
      </c>
      <c r="O180" s="53">
        <v>5550</v>
      </c>
      <c r="P180" s="75">
        <v>1.4E-2</v>
      </c>
      <c r="Q180" s="75">
        <v>0.45610000000000001</v>
      </c>
      <c r="R180" s="81">
        <f t="shared" si="118"/>
        <v>-5.1371592357587863E-3</v>
      </c>
      <c r="S180" s="81">
        <f t="shared" si="119"/>
        <v>0</v>
      </c>
      <c r="T180" s="81">
        <f t="shared" si="119"/>
        <v>0</v>
      </c>
      <c r="U180" s="81">
        <f t="shared" si="120"/>
        <v>1.21E-2</v>
      </c>
      <c r="V180" s="82">
        <f t="shared" si="120"/>
        <v>1.8500000000000016E-2</v>
      </c>
    </row>
    <row r="181" spans="1:22">
      <c r="A181" s="176">
        <v>158</v>
      </c>
      <c r="B181" s="170" t="s">
        <v>237</v>
      </c>
      <c r="C181" s="166" t="s">
        <v>92</v>
      </c>
      <c r="D181" s="51">
        <v>4426191798.6400003</v>
      </c>
      <c r="E181" s="52">
        <f t="shared" si="116"/>
        <v>5.29996061869865E-2</v>
      </c>
      <c r="F181" s="51">
        <v>3.0548999999999999</v>
      </c>
      <c r="G181" s="51">
        <v>3.1145</v>
      </c>
      <c r="H181" s="53">
        <v>10207</v>
      </c>
      <c r="I181" s="75">
        <v>5.7999999999999996E-3</v>
      </c>
      <c r="J181" s="75">
        <v>0.31900000000000001</v>
      </c>
      <c r="K181" s="51">
        <v>4468261862.3500004</v>
      </c>
      <c r="L181" s="79">
        <f t="shared" si="117"/>
        <v>5.3131410845569806E-2</v>
      </c>
      <c r="M181" s="51">
        <v>3.0836000000000001</v>
      </c>
      <c r="N181" s="51">
        <v>3.1444000000000001</v>
      </c>
      <c r="O181" s="53">
        <v>10207</v>
      </c>
      <c r="P181" s="75">
        <v>9.4999999999999998E-3</v>
      </c>
      <c r="Q181" s="75">
        <v>7.6E-3</v>
      </c>
      <c r="R181" s="81">
        <f t="shared" si="118"/>
        <v>9.5047990742124101E-3</v>
      </c>
      <c r="S181" s="81">
        <f t="shared" si="119"/>
        <v>9.6002568630598924E-3</v>
      </c>
      <c r="T181" s="81">
        <f t="shared" si="119"/>
        <v>0</v>
      </c>
      <c r="U181" s="81">
        <f t="shared" si="120"/>
        <v>3.7000000000000002E-3</v>
      </c>
      <c r="V181" s="82">
        <f t="shared" si="120"/>
        <v>-0.31140000000000001</v>
      </c>
    </row>
    <row r="182" spans="1:22">
      <c r="A182" s="176">
        <v>159</v>
      </c>
      <c r="B182" s="170" t="s">
        <v>238</v>
      </c>
      <c r="C182" s="166" t="s">
        <v>94</v>
      </c>
      <c r="D182" s="51">
        <v>304676647.04000002</v>
      </c>
      <c r="E182" s="52">
        <f t="shared" si="116"/>
        <v>3.6482247137263847E-3</v>
      </c>
      <c r="F182" s="51">
        <v>347.31</v>
      </c>
      <c r="G182" s="51">
        <v>349.71</v>
      </c>
      <c r="H182" s="53">
        <v>32</v>
      </c>
      <c r="I182" s="75">
        <v>-3.3999999999999998E-3</v>
      </c>
      <c r="J182" s="75">
        <v>0.20219999999999999</v>
      </c>
      <c r="K182" s="51">
        <v>305139584.63</v>
      </c>
      <c r="L182" s="79">
        <f t="shared" si="117"/>
        <v>3.6283676148954219E-3</v>
      </c>
      <c r="M182" s="51">
        <v>347.84</v>
      </c>
      <c r="N182" s="51">
        <v>350.23</v>
      </c>
      <c r="O182" s="53">
        <v>32</v>
      </c>
      <c r="P182" s="75">
        <v>1.1999999999999999E-3</v>
      </c>
      <c r="Q182" s="75">
        <v>6.9999999999999999E-4</v>
      </c>
      <c r="R182" s="81">
        <f t="shared" si="118"/>
        <v>1.5194390331438701E-3</v>
      </c>
      <c r="S182" s="81">
        <f t="shared" si="119"/>
        <v>1.4869463269567317E-3</v>
      </c>
      <c r="T182" s="81">
        <f t="shared" si="119"/>
        <v>0</v>
      </c>
      <c r="U182" s="81">
        <f t="shared" si="120"/>
        <v>4.5999999999999999E-3</v>
      </c>
      <c r="V182" s="82">
        <f t="shared" si="120"/>
        <v>-0.20149999999999998</v>
      </c>
    </row>
    <row r="183" spans="1:22">
      <c r="A183" s="176">
        <v>160</v>
      </c>
      <c r="B183" s="170" t="s">
        <v>239</v>
      </c>
      <c r="C183" s="170" t="s">
        <v>96</v>
      </c>
      <c r="D183" s="72">
        <v>72630262.260000005</v>
      </c>
      <c r="E183" s="52">
        <f t="shared" si="116"/>
        <v>8.6968108752546926E-4</v>
      </c>
      <c r="F183" s="51">
        <v>1.4363999999999999</v>
      </c>
      <c r="G183" s="51">
        <v>1.4363999999999999</v>
      </c>
      <c r="H183" s="53">
        <v>23</v>
      </c>
      <c r="I183" s="75">
        <v>5.3E-3</v>
      </c>
      <c r="J183" s="75">
        <v>0.18870000000000001</v>
      </c>
      <c r="K183" s="72">
        <v>72614753</v>
      </c>
      <c r="L183" s="79">
        <f t="shared" si="117"/>
        <v>8.6345079897879185E-4</v>
      </c>
      <c r="M183" s="51">
        <v>1.4363999999999999</v>
      </c>
      <c r="N183" s="51">
        <v>1.4363999999999999</v>
      </c>
      <c r="O183" s="53">
        <v>23</v>
      </c>
      <c r="P183" s="75">
        <v>-2.0000000000000001E-4</v>
      </c>
      <c r="Q183" s="75">
        <v>0.18840000000000001</v>
      </c>
      <c r="R183" s="81">
        <f t="shared" si="118"/>
        <v>-2.1353716092178908E-4</v>
      </c>
      <c r="S183" s="81">
        <f t="shared" si="119"/>
        <v>0</v>
      </c>
      <c r="T183" s="81">
        <f t="shared" si="119"/>
        <v>0</v>
      </c>
      <c r="U183" s="81">
        <f t="shared" si="120"/>
        <v>-5.4999999999999997E-3</v>
      </c>
      <c r="V183" s="82">
        <f t="shared" si="120"/>
        <v>-2.9999999999999472E-4</v>
      </c>
    </row>
    <row r="184" spans="1:22" ht="13.5" customHeight="1">
      <c r="A184" s="176">
        <v>161</v>
      </c>
      <c r="B184" s="170" t="s">
        <v>240</v>
      </c>
      <c r="C184" s="166" t="s">
        <v>38</v>
      </c>
      <c r="D184" s="57">
        <v>5690053842.04</v>
      </c>
      <c r="E184" s="52">
        <f t="shared" si="116"/>
        <v>6.8133200396677474E-2</v>
      </c>
      <c r="F184" s="51">
        <v>6.2074999999999996</v>
      </c>
      <c r="G184" s="51">
        <v>6.3521999999999998</v>
      </c>
      <c r="H184" s="53">
        <v>3969</v>
      </c>
      <c r="I184" s="75">
        <v>6.1000000000000004E-3</v>
      </c>
      <c r="J184" s="75">
        <v>0.46429999999999999</v>
      </c>
      <c r="K184" s="57">
        <v>6031181658.8299999</v>
      </c>
      <c r="L184" s="79">
        <f t="shared" si="117"/>
        <v>7.1715848459926582E-2</v>
      </c>
      <c r="M184" s="51">
        <v>6.2343570000000001</v>
      </c>
      <c r="N184" s="51">
        <v>6.3522230000000004</v>
      </c>
      <c r="O184" s="53">
        <v>4093</v>
      </c>
      <c r="P184" s="75">
        <v>4.3E-3</v>
      </c>
      <c r="Q184" s="75">
        <v>3.8999999999999998E-3</v>
      </c>
      <c r="R184" s="81">
        <f t="shared" si="118"/>
        <v>5.9951597341598918E-2</v>
      </c>
      <c r="S184" s="81">
        <f t="shared" si="119"/>
        <v>3.6207927962832341E-6</v>
      </c>
      <c r="T184" s="81">
        <f t="shared" si="119"/>
        <v>3.1242126480221719E-2</v>
      </c>
      <c r="U184" s="81">
        <f t="shared" si="120"/>
        <v>-1.8000000000000004E-3</v>
      </c>
      <c r="V184" s="82">
        <f t="shared" si="120"/>
        <v>-0.46039999999999998</v>
      </c>
    </row>
    <row r="185" spans="1:22" ht="13.5" customHeight="1">
      <c r="A185" s="176">
        <v>162</v>
      </c>
      <c r="B185" s="170" t="s">
        <v>241</v>
      </c>
      <c r="C185" s="166" t="s">
        <v>242</v>
      </c>
      <c r="D185" s="57">
        <v>100661503.70999999</v>
      </c>
      <c r="E185" s="52">
        <f t="shared" si="116"/>
        <v>1.2053296146043936E-3</v>
      </c>
      <c r="F185" s="51">
        <v>2.7970999999999999</v>
      </c>
      <c r="G185" s="51">
        <v>2.8117000000000001</v>
      </c>
      <c r="H185" s="53">
        <v>111</v>
      </c>
      <c r="I185" s="75">
        <v>2E-3</v>
      </c>
      <c r="J185" s="75">
        <v>0.33</v>
      </c>
      <c r="K185" s="57">
        <v>105854323.65000001</v>
      </c>
      <c r="L185" s="79">
        <f t="shared" si="117"/>
        <v>1.2586973935028345E-3</v>
      </c>
      <c r="M185" s="51">
        <v>2.7951999999999999</v>
      </c>
      <c r="N185" s="51">
        <v>2.8094999999999999</v>
      </c>
      <c r="O185" s="53">
        <v>113</v>
      </c>
      <c r="P185" s="75">
        <v>-3.0000000000000001E-5</v>
      </c>
      <c r="Q185" s="75">
        <v>2.3999999999999998E-3</v>
      </c>
      <c r="R185" s="81">
        <f t="shared" si="118"/>
        <v>5.1586949813110565E-2</v>
      </c>
      <c r="S185" s="81">
        <f t="shared" si="119"/>
        <v>-7.82444784294271E-4</v>
      </c>
      <c r="T185" s="81">
        <f t="shared" si="119"/>
        <v>1.8018018018018018E-2</v>
      </c>
      <c r="U185" s="81">
        <f>P185-I185</f>
        <v>-2.0300000000000001E-3</v>
      </c>
      <c r="V185" s="82">
        <f>Q185-J185</f>
        <v>-0.3276</v>
      </c>
    </row>
    <row r="186" spans="1:22">
      <c r="A186" s="176">
        <v>163</v>
      </c>
      <c r="B186" s="170" t="s">
        <v>243</v>
      </c>
      <c r="C186" s="166" t="s">
        <v>152</v>
      </c>
      <c r="D186" s="57">
        <v>972531509.88</v>
      </c>
      <c r="E186" s="52">
        <f t="shared" si="116"/>
        <v>1.1645177021906915E-2</v>
      </c>
      <c r="F186" s="51">
        <v>364.26</v>
      </c>
      <c r="G186" s="51">
        <v>364.64</v>
      </c>
      <c r="H186" s="53">
        <v>158</v>
      </c>
      <c r="I186" s="75">
        <v>1.37E-2</v>
      </c>
      <c r="J186" s="75">
        <v>0.44629999999999997</v>
      </c>
      <c r="K186" s="57">
        <v>973167115.20000005</v>
      </c>
      <c r="L186" s="79">
        <f t="shared" si="117"/>
        <v>1.1571779678976888E-2</v>
      </c>
      <c r="M186" s="51">
        <v>364.63</v>
      </c>
      <c r="N186" s="51">
        <v>369.01</v>
      </c>
      <c r="O186" s="53">
        <v>158</v>
      </c>
      <c r="P186" s="75">
        <v>1.37E-2</v>
      </c>
      <c r="Q186" s="75">
        <v>0.44629999999999997</v>
      </c>
      <c r="R186" s="81">
        <f t="shared" si="118"/>
        <v>6.5355755936224557E-4</v>
      </c>
      <c r="S186" s="81">
        <f t="shared" si="119"/>
        <v>1.1984422992540602E-2</v>
      </c>
      <c r="T186" s="81">
        <f t="shared" si="119"/>
        <v>0</v>
      </c>
      <c r="U186" s="81">
        <f t="shared" si="120"/>
        <v>0</v>
      </c>
      <c r="V186" s="82">
        <f t="shared" si="120"/>
        <v>0</v>
      </c>
    </row>
    <row r="187" spans="1:22">
      <c r="A187" s="176">
        <v>164</v>
      </c>
      <c r="B187" s="170" t="s">
        <v>244</v>
      </c>
      <c r="C187" s="166" t="s">
        <v>34</v>
      </c>
      <c r="D187" s="57">
        <v>2143762415.6199999</v>
      </c>
      <c r="E187" s="52">
        <f t="shared" si="116"/>
        <v>2.5669597919645848E-2</v>
      </c>
      <c r="F187" s="51">
        <v>552.22</v>
      </c>
      <c r="G187" s="51">
        <v>552.22</v>
      </c>
      <c r="H187" s="53">
        <v>823</v>
      </c>
      <c r="I187" s="75">
        <v>6.0299999999999998E-3</v>
      </c>
      <c r="J187" s="75">
        <v>-1.4999999999999999E-2</v>
      </c>
      <c r="K187" s="57">
        <v>2176568832.1300001</v>
      </c>
      <c r="L187" s="79">
        <f t="shared" si="117"/>
        <v>2.5881243404284313E-2</v>
      </c>
      <c r="M187" s="51">
        <v>552.22</v>
      </c>
      <c r="N187" s="51">
        <v>552.22</v>
      </c>
      <c r="O187" s="53">
        <v>823</v>
      </c>
      <c r="P187" s="75">
        <v>-4.45E-3</v>
      </c>
      <c r="Q187" s="75">
        <v>1.166E-2</v>
      </c>
      <c r="R187" s="81">
        <f t="shared" si="118"/>
        <v>1.5303196040272145E-2</v>
      </c>
      <c r="S187" s="81">
        <f t="shared" si="119"/>
        <v>0</v>
      </c>
      <c r="T187" s="81">
        <f t="shared" si="119"/>
        <v>0</v>
      </c>
      <c r="U187" s="81">
        <f t="shared" si="120"/>
        <v>-1.048E-2</v>
      </c>
      <c r="V187" s="82">
        <f t="shared" si="120"/>
        <v>2.666E-2</v>
      </c>
    </row>
    <row r="188" spans="1:22">
      <c r="A188" s="176">
        <v>165</v>
      </c>
      <c r="B188" s="170" t="s">
        <v>245</v>
      </c>
      <c r="C188" s="166" t="s">
        <v>106</v>
      </c>
      <c r="D188" s="51">
        <v>47024192.840000004</v>
      </c>
      <c r="E188" s="52">
        <f t="shared" si="116"/>
        <v>5.6307178160392595E-4</v>
      </c>
      <c r="F188" s="51">
        <v>2.61</v>
      </c>
      <c r="G188" s="51">
        <v>2.61</v>
      </c>
      <c r="H188" s="53">
        <v>8</v>
      </c>
      <c r="I188" s="75">
        <v>-9.0200000000000002E-4</v>
      </c>
      <c r="J188" s="75">
        <v>0.39497900000000002</v>
      </c>
      <c r="K188" s="51">
        <v>46788641.880000003</v>
      </c>
      <c r="L188" s="79">
        <f t="shared" si="117"/>
        <v>5.5635650532913838E-4</v>
      </c>
      <c r="M188" s="51">
        <v>2.64</v>
      </c>
      <c r="N188" s="51">
        <v>2.64</v>
      </c>
      <c r="O188" s="53">
        <v>8</v>
      </c>
      <c r="P188" s="75">
        <v>9.9850000000000008E-3</v>
      </c>
      <c r="Q188" s="75">
        <v>5.3959999999999998E-3</v>
      </c>
      <c r="R188" s="81">
        <f t="shared" si="118"/>
        <v>-5.0091441399422619E-3</v>
      </c>
      <c r="S188" s="81">
        <f t="shared" si="119"/>
        <v>1.1494252873563314E-2</v>
      </c>
      <c r="T188" s="81">
        <f t="shared" si="119"/>
        <v>0</v>
      </c>
      <c r="U188" s="81">
        <f t="shared" si="120"/>
        <v>1.0887000000000001E-2</v>
      </c>
      <c r="V188" s="82">
        <f t="shared" si="120"/>
        <v>-0.38958300000000001</v>
      </c>
    </row>
    <row r="189" spans="1:22">
      <c r="A189" s="176">
        <v>166</v>
      </c>
      <c r="B189" s="170" t="s">
        <v>246</v>
      </c>
      <c r="C189" s="166" t="s">
        <v>46</v>
      </c>
      <c r="D189" s="51">
        <v>419328773.56</v>
      </c>
      <c r="E189" s="52">
        <f t="shared" si="116"/>
        <v>5.0210792646583234E-3</v>
      </c>
      <c r="F189" s="51">
        <v>3.5184950000000002</v>
      </c>
      <c r="G189" s="51">
        <v>3.588387</v>
      </c>
      <c r="H189" s="53">
        <v>139</v>
      </c>
      <c r="I189" s="75">
        <v>-5.1299999999999998E-2</v>
      </c>
      <c r="J189" s="75">
        <v>0.2888</v>
      </c>
      <c r="K189" s="51">
        <v>400822307.22000003</v>
      </c>
      <c r="L189" s="79">
        <f t="shared" si="117"/>
        <v>4.7661160731020018E-3</v>
      </c>
      <c r="M189" s="51">
        <v>3.37</v>
      </c>
      <c r="N189" s="51">
        <v>3.44</v>
      </c>
      <c r="O189" s="53">
        <v>138</v>
      </c>
      <c r="P189" s="75">
        <v>0.28539999999999999</v>
      </c>
      <c r="Q189" s="75">
        <v>0.2888</v>
      </c>
      <c r="R189" s="81">
        <f t="shared" si="118"/>
        <v>-4.4133547485626957E-2</v>
      </c>
      <c r="S189" s="81">
        <f t="shared" si="119"/>
        <v>-4.1352005789788017E-2</v>
      </c>
      <c r="T189" s="81">
        <f t="shared" si="119"/>
        <v>-7.1942446043165471E-3</v>
      </c>
      <c r="U189" s="81">
        <f t="shared" si="120"/>
        <v>0.3367</v>
      </c>
      <c r="V189" s="82">
        <f t="shared" si="120"/>
        <v>0</v>
      </c>
    </row>
    <row r="190" spans="1:22">
      <c r="A190" s="176">
        <v>167</v>
      </c>
      <c r="B190" s="170" t="s">
        <v>328</v>
      </c>
      <c r="C190" s="166" t="s">
        <v>329</v>
      </c>
      <c r="D190" s="51">
        <v>206838669.93629</v>
      </c>
      <c r="E190" s="52">
        <f t="shared" si="116"/>
        <v>2.4767042526787409E-3</v>
      </c>
      <c r="F190" s="51">
        <v>115.12</v>
      </c>
      <c r="G190" s="51">
        <v>115.73</v>
      </c>
      <c r="H190" s="53">
        <v>99</v>
      </c>
      <c r="I190" s="75">
        <v>2.5499999999999998E-2</v>
      </c>
      <c r="J190" s="75">
        <v>0.1517</v>
      </c>
      <c r="K190" s="51">
        <v>209660954.94768</v>
      </c>
      <c r="L190" s="52">
        <f t="shared" si="117"/>
        <v>2.4930459938937036E-3</v>
      </c>
      <c r="M190" s="51">
        <v>116.81</v>
      </c>
      <c r="N190" s="51">
        <v>117.43</v>
      </c>
      <c r="O190" s="53">
        <v>106</v>
      </c>
      <c r="P190" s="75">
        <v>1.47E-2</v>
      </c>
      <c r="Q190" s="75">
        <v>9.4000000000000004E-3</v>
      </c>
      <c r="R190" s="81">
        <f t="shared" ref="R190" si="126">((K190-D190)/D190)</f>
        <v>1.3644861535124524E-2</v>
      </c>
      <c r="S190" s="81">
        <f t="shared" ref="S190" si="127">((N190-G190)/G190)</f>
        <v>1.4689363172902469E-2</v>
      </c>
      <c r="T190" s="81">
        <f t="shared" ref="T190" si="128">((O190-H190)/H190)</f>
        <v>7.0707070707070704E-2</v>
      </c>
      <c r="U190" s="81">
        <f t="shared" ref="U190" si="129">P190-I190</f>
        <v>-1.0799999999999999E-2</v>
      </c>
      <c r="V190" s="82">
        <f t="shared" ref="V190" si="130">Q190-J190</f>
        <v>-0.14230000000000001</v>
      </c>
    </row>
    <row r="191" spans="1:22">
      <c r="A191" s="176">
        <v>168</v>
      </c>
      <c r="B191" s="170" t="s">
        <v>247</v>
      </c>
      <c r="C191" s="166" t="s">
        <v>50</v>
      </c>
      <c r="D191" s="57">
        <v>4818182373.21</v>
      </c>
      <c r="E191" s="52">
        <f t="shared" si="116"/>
        <v>5.7693335475356697E-2</v>
      </c>
      <c r="F191" s="51">
        <v>9650.86</v>
      </c>
      <c r="G191" s="51">
        <v>9739.25</v>
      </c>
      <c r="H191" s="53">
        <v>3707</v>
      </c>
      <c r="I191" s="75">
        <v>-2.5000000000000001E-3</v>
      </c>
      <c r="J191" s="75">
        <v>0.5131</v>
      </c>
      <c r="K191" s="57">
        <v>5067063768.29</v>
      </c>
      <c r="L191" s="52">
        <f t="shared" si="117"/>
        <v>6.0251671712034723E-2</v>
      </c>
      <c r="M191" s="51">
        <v>9714.36</v>
      </c>
      <c r="N191" s="51">
        <v>9800.06</v>
      </c>
      <c r="O191" s="53">
        <v>3826</v>
      </c>
      <c r="P191" s="75">
        <v>6.1999999999999998E-3</v>
      </c>
      <c r="Q191" s="75">
        <v>7.0000000000000001E-3</v>
      </c>
      <c r="R191" s="81">
        <f t="shared" si="118"/>
        <v>5.1654623217217199E-2</v>
      </c>
      <c r="S191" s="81">
        <f t="shared" si="119"/>
        <v>6.2438072746874235E-3</v>
      </c>
      <c r="T191" s="81">
        <f t="shared" si="119"/>
        <v>3.2101429727542485E-2</v>
      </c>
      <c r="U191" s="81">
        <f t="shared" si="120"/>
        <v>8.6999999999999994E-3</v>
      </c>
      <c r="V191" s="82">
        <f t="shared" si="120"/>
        <v>-0.50609999999999999</v>
      </c>
    </row>
    <row r="192" spans="1:22">
      <c r="A192" s="176">
        <v>169</v>
      </c>
      <c r="B192" s="170" t="s">
        <v>248</v>
      </c>
      <c r="C192" s="170" t="s">
        <v>117</v>
      </c>
      <c r="D192" s="57">
        <v>163020851.19999999</v>
      </c>
      <c r="E192" s="52">
        <f t="shared" si="116"/>
        <v>1.9520258739176371E-3</v>
      </c>
      <c r="F192" s="51">
        <v>1436.14</v>
      </c>
      <c r="G192" s="51">
        <v>1456.68</v>
      </c>
      <c r="H192" s="53">
        <v>57</v>
      </c>
      <c r="I192" s="75">
        <v>1.8700000000000001E-2</v>
      </c>
      <c r="J192" s="75">
        <v>0.28739999999999999</v>
      </c>
      <c r="K192" s="57">
        <v>167556367.59999999</v>
      </c>
      <c r="L192" s="52">
        <f t="shared" si="117"/>
        <v>1.9923868566791673E-3</v>
      </c>
      <c r="M192" s="51">
        <v>1448.47</v>
      </c>
      <c r="N192" s="51">
        <v>1468.96</v>
      </c>
      <c r="O192" s="53">
        <v>59</v>
      </c>
      <c r="P192" s="75">
        <v>2.8199999999999999E-2</v>
      </c>
      <c r="Q192" s="75">
        <v>4.0000000000000001E-3</v>
      </c>
      <c r="R192" s="81">
        <f t="shared" si="118"/>
        <v>2.782169499554181E-2</v>
      </c>
      <c r="S192" s="81" t="b">
        <f>L193=((N192-G192)/G192)</f>
        <v>0</v>
      </c>
      <c r="T192" s="81">
        <f t="shared" si="119"/>
        <v>3.5087719298245612E-2</v>
      </c>
      <c r="U192" s="81">
        <f t="shared" si="120"/>
        <v>9.499999999999998E-3</v>
      </c>
      <c r="V192" s="82">
        <f t="shared" si="120"/>
        <v>-0.28339999999999999</v>
      </c>
    </row>
    <row r="193" spans="1:22">
      <c r="A193" s="176">
        <v>170</v>
      </c>
      <c r="B193" s="170" t="s">
        <v>249</v>
      </c>
      <c r="C193" s="170" t="s">
        <v>96</v>
      </c>
      <c r="D193" s="57">
        <v>800796680.50999999</v>
      </c>
      <c r="E193" s="52">
        <f t="shared" si="116"/>
        <v>9.5888092142588175E-3</v>
      </c>
      <c r="F193" s="51">
        <v>1.5253000000000001</v>
      </c>
      <c r="G193" s="51">
        <v>1.5253000000000001</v>
      </c>
      <c r="H193" s="53">
        <v>46</v>
      </c>
      <c r="I193" s="75">
        <v>2.7000000000000001E-3</v>
      </c>
      <c r="J193" s="75">
        <v>0.13589999999999999</v>
      </c>
      <c r="K193" s="57">
        <v>802464928.70000005</v>
      </c>
      <c r="L193" s="52">
        <f t="shared" si="117"/>
        <v>9.5419863762185395E-3</v>
      </c>
      <c r="M193" s="51">
        <v>1.5253000000000001</v>
      </c>
      <c r="N193" s="51">
        <v>1.5253000000000001</v>
      </c>
      <c r="O193" s="53">
        <v>46</v>
      </c>
      <c r="P193" s="75">
        <v>2.0999999999999999E-3</v>
      </c>
      <c r="Q193" s="75">
        <v>0.13830000000000001</v>
      </c>
      <c r="R193" s="81">
        <f t="shared" si="118"/>
        <v>2.0832356459539857E-3</v>
      </c>
      <c r="S193" s="81">
        <f t="shared" si="119"/>
        <v>0</v>
      </c>
      <c r="T193" s="81">
        <f t="shared" si="119"/>
        <v>0</v>
      </c>
      <c r="U193" s="81">
        <f t="shared" si="120"/>
        <v>-6.0000000000000027E-4</v>
      </c>
      <c r="V193" s="82">
        <f t="shared" si="120"/>
        <v>2.4000000000000132E-3</v>
      </c>
    </row>
    <row r="194" spans="1:22">
      <c r="A194" s="176">
        <v>171</v>
      </c>
      <c r="B194" s="170" t="s">
        <v>250</v>
      </c>
      <c r="C194" s="166" t="s">
        <v>53</v>
      </c>
      <c r="D194" s="51">
        <v>3297198950.54</v>
      </c>
      <c r="E194" s="52">
        <f t="shared" si="116"/>
        <v>3.9480947471019948E-2</v>
      </c>
      <c r="F194" s="51">
        <v>2.2081</v>
      </c>
      <c r="G194" s="51">
        <v>2.2242999999999999</v>
      </c>
      <c r="H194" s="53">
        <v>2823</v>
      </c>
      <c r="I194" s="75">
        <v>2.0000000000000001E-4</v>
      </c>
      <c r="J194" s="75">
        <v>0.31719999999999998</v>
      </c>
      <c r="K194" s="51">
        <v>3665024390.4699998</v>
      </c>
      <c r="L194" s="79">
        <f t="shared" si="117"/>
        <v>4.3580238277861817E-2</v>
      </c>
      <c r="M194" s="51">
        <v>2.2189000000000001</v>
      </c>
      <c r="N194" s="51">
        <v>2.2355999999999998</v>
      </c>
      <c r="O194" s="53">
        <v>2955</v>
      </c>
      <c r="P194" s="75">
        <v>4.7999999999999996E-3</v>
      </c>
      <c r="Q194" s="75">
        <v>-8.9999999999999998E-4</v>
      </c>
      <c r="R194" s="81">
        <f t="shared" si="118"/>
        <v>0.11155694437842735</v>
      </c>
      <c r="S194" s="81">
        <f t="shared" si="119"/>
        <v>5.0802499662814665E-3</v>
      </c>
      <c r="T194" s="81">
        <f t="shared" si="119"/>
        <v>4.6758767268862911E-2</v>
      </c>
      <c r="U194" s="81">
        <f t="shared" si="120"/>
        <v>4.5999999999999999E-3</v>
      </c>
      <c r="V194" s="82">
        <f t="shared" si="120"/>
        <v>-0.31809999999999999</v>
      </c>
    </row>
    <row r="195" spans="1:22">
      <c r="A195" s="176">
        <v>172</v>
      </c>
      <c r="B195" s="170" t="s">
        <v>251</v>
      </c>
      <c r="C195" s="166" t="s">
        <v>53</v>
      </c>
      <c r="D195" s="51">
        <v>2439508716.0300002</v>
      </c>
      <c r="E195" s="52">
        <f t="shared" si="116"/>
        <v>2.9210889884852681E-2</v>
      </c>
      <c r="F195" s="51">
        <v>1.7754000000000001</v>
      </c>
      <c r="G195" s="51">
        <v>1.7875000000000001</v>
      </c>
      <c r="H195" s="53">
        <v>1381</v>
      </c>
      <c r="I195" s="75">
        <v>-2.2000000000000001E-3</v>
      </c>
      <c r="J195" s="75">
        <v>0.36830000000000002</v>
      </c>
      <c r="K195" s="51">
        <v>2469569838.4499998</v>
      </c>
      <c r="L195" s="79">
        <f t="shared" si="117"/>
        <v>2.9365273061571637E-2</v>
      </c>
      <c r="M195" s="51">
        <v>1.7912999999999999</v>
      </c>
      <c r="N195" s="51">
        <v>1.8035000000000001</v>
      </c>
      <c r="O195" s="53">
        <v>1492</v>
      </c>
      <c r="P195" s="75">
        <v>8.9999999999999993E-3</v>
      </c>
      <c r="Q195" s="75">
        <v>2.0999999999999999E-3</v>
      </c>
      <c r="R195" s="81">
        <f t="shared" si="118"/>
        <v>1.2322613246867333E-2</v>
      </c>
      <c r="S195" s="81">
        <f t="shared" si="119"/>
        <v>8.951048951048958E-3</v>
      </c>
      <c r="T195" s="81">
        <f t="shared" si="119"/>
        <v>8.0376538740043441E-2</v>
      </c>
      <c r="U195" s="81">
        <f t="shared" si="120"/>
        <v>1.12E-2</v>
      </c>
      <c r="V195" s="82">
        <f t="shared" si="120"/>
        <v>-0.36620000000000003</v>
      </c>
    </row>
    <row r="196" spans="1:22">
      <c r="A196" s="176">
        <v>173</v>
      </c>
      <c r="B196" s="170" t="s">
        <v>252</v>
      </c>
      <c r="C196" s="166" t="s">
        <v>122</v>
      </c>
      <c r="D196" s="57">
        <v>11937801657.91</v>
      </c>
      <c r="E196" s="52">
        <f t="shared" si="116"/>
        <v>0.14294427701980486</v>
      </c>
      <c r="F196" s="51">
        <v>687.36</v>
      </c>
      <c r="G196" s="51">
        <v>694.11</v>
      </c>
      <c r="H196" s="53">
        <v>39</v>
      </c>
      <c r="I196" s="75">
        <v>3.2000000000000002E-3</v>
      </c>
      <c r="J196" s="75">
        <v>0.3271</v>
      </c>
      <c r="K196" s="57">
        <v>10822797228.629999</v>
      </c>
      <c r="L196" s="79">
        <f t="shared" si="117"/>
        <v>0.12869220823826291</v>
      </c>
      <c r="M196" s="51">
        <v>691.65</v>
      </c>
      <c r="N196" s="51">
        <v>699.28</v>
      </c>
      <c r="O196" s="53">
        <v>37</v>
      </c>
      <c r="P196" s="75">
        <v>7.1000000000000004E-3</v>
      </c>
      <c r="Q196" s="75">
        <v>5.7999999999999996E-3</v>
      </c>
      <c r="R196" s="81">
        <f t="shared" si="118"/>
        <v>-9.3401152174546101E-2</v>
      </c>
      <c r="S196" s="81">
        <f t="shared" si="119"/>
        <v>7.4483871432481294E-3</v>
      </c>
      <c r="T196" s="81">
        <f t="shared" si="119"/>
        <v>-5.128205128205128E-2</v>
      </c>
      <c r="U196" s="81">
        <f t="shared" si="120"/>
        <v>3.9000000000000003E-3</v>
      </c>
      <c r="V196" s="82">
        <f t="shared" si="120"/>
        <v>-0.32130000000000003</v>
      </c>
    </row>
    <row r="197" spans="1:22">
      <c r="A197" s="60"/>
      <c r="B197" s="61"/>
      <c r="C197" s="62" t="s">
        <v>56</v>
      </c>
      <c r="D197" s="104">
        <f>SUM(D168:D196)</f>
        <v>83513673347.384338</v>
      </c>
      <c r="E197" s="64">
        <f>(D197/$D$231)</f>
        <v>1.0884898085249764E-2</v>
      </c>
      <c r="F197" s="65"/>
      <c r="G197" s="105"/>
      <c r="H197" s="67">
        <f>SUM(H168:H196)</f>
        <v>78705</v>
      </c>
      <c r="I197" s="123"/>
      <c r="J197" s="123"/>
      <c r="K197" s="104">
        <f>SUM(K168:K196)</f>
        <v>84098310043.701248</v>
      </c>
      <c r="L197" s="64">
        <f>(K197/$K$231)</f>
        <v>1.0785454554729679E-2</v>
      </c>
      <c r="M197" s="65"/>
      <c r="N197" s="105"/>
      <c r="O197" s="67">
        <f>SUM(O168:O196)</f>
        <v>79407</v>
      </c>
      <c r="P197" s="123"/>
      <c r="Q197" s="123"/>
      <c r="R197" s="81">
        <f t="shared" ref="R197" si="131">((K197-D197)/D197)</f>
        <v>7.0004907326378634E-3</v>
      </c>
      <c r="S197" s="81" t="e">
        <f t="shared" ref="S197" si="132">((N197-G197)/G197)</f>
        <v>#DIV/0!</v>
      </c>
      <c r="T197" s="81">
        <f t="shared" ref="T197" si="133">((O197-H197)/H197)</f>
        <v>8.9193825042881651E-3</v>
      </c>
      <c r="U197" s="81">
        <f t="shared" ref="U197" si="134">P197-I197</f>
        <v>0</v>
      </c>
      <c r="V197" s="82">
        <f t="shared" ref="V197" si="135">Q197-J197</f>
        <v>0</v>
      </c>
    </row>
    <row r="198" spans="1:22" ht="5.25" customHeight="1">
      <c r="A198" s="60"/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</row>
    <row r="199" spans="1:22" ht="15" customHeight="1">
      <c r="A199" s="194" t="s">
        <v>253</v>
      </c>
      <c r="B199" s="194"/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  <c r="P199" s="194"/>
      <c r="Q199" s="194"/>
      <c r="R199" s="194"/>
      <c r="S199" s="194"/>
      <c r="T199" s="194"/>
      <c r="U199" s="194"/>
      <c r="V199" s="194"/>
    </row>
    <row r="200" spans="1:22">
      <c r="A200" s="173">
        <v>174</v>
      </c>
      <c r="B200" s="170" t="s">
        <v>254</v>
      </c>
      <c r="C200" s="166" t="s">
        <v>255</v>
      </c>
      <c r="D200" s="106">
        <v>1302977049.4300001</v>
      </c>
      <c r="E200" s="52">
        <f>(D200/$D$202)</f>
        <v>0.15930429343745015</v>
      </c>
      <c r="F200" s="107">
        <v>36.384500000000003</v>
      </c>
      <c r="G200" s="107">
        <v>36.677399999999999</v>
      </c>
      <c r="H200" s="53">
        <v>1502</v>
      </c>
      <c r="I200" s="75">
        <v>-8.6699999999999999E-2</v>
      </c>
      <c r="J200" s="75">
        <v>0.3664</v>
      </c>
      <c r="K200" s="106">
        <v>1453018142.52</v>
      </c>
      <c r="L200" s="79">
        <f>(K200/$K$202)</f>
        <v>0.17189251510675108</v>
      </c>
      <c r="M200" s="107">
        <v>40.178899999999999</v>
      </c>
      <c r="N200" s="107">
        <v>40.551900000000003</v>
      </c>
      <c r="O200" s="53">
        <v>1504</v>
      </c>
      <c r="P200" s="75">
        <v>1.17E-2</v>
      </c>
      <c r="Q200" s="75">
        <v>1.0999999999999999E-2</v>
      </c>
      <c r="R200" s="81">
        <f>((K200-D200)/D200)</f>
        <v>0.11515252180046981</v>
      </c>
      <c r="S200" s="81">
        <f t="shared" ref="S200:T202" si="136">((N200-G200)/G200)</f>
        <v>0.1056372589114824</v>
      </c>
      <c r="T200" s="81">
        <f t="shared" si="136"/>
        <v>1.3315579227696406E-3</v>
      </c>
      <c r="U200" s="81">
        <f t="shared" ref="U200:V202" si="137">P200-I200</f>
        <v>9.8400000000000001E-2</v>
      </c>
      <c r="V200" s="82">
        <f t="shared" si="137"/>
        <v>-0.35539999999999999</v>
      </c>
    </row>
    <row r="201" spans="1:22">
      <c r="A201" s="173">
        <v>175</v>
      </c>
      <c r="B201" s="170" t="s">
        <v>256</v>
      </c>
      <c r="C201" s="166" t="s">
        <v>50</v>
      </c>
      <c r="D201" s="69">
        <v>6876193902.6800003</v>
      </c>
      <c r="E201" s="52">
        <f>(D201/$D$202)</f>
        <v>0.84069570656254977</v>
      </c>
      <c r="F201" s="107">
        <v>4.45</v>
      </c>
      <c r="G201" s="107">
        <v>4.51</v>
      </c>
      <c r="H201" s="53">
        <v>11764</v>
      </c>
      <c r="I201" s="75">
        <v>-2.2000000000000001E-3</v>
      </c>
      <c r="J201" s="75">
        <v>0.55520000000000003</v>
      </c>
      <c r="K201" s="69">
        <v>7000044177.3699999</v>
      </c>
      <c r="L201" s="79">
        <f>(K201/$K$202)</f>
        <v>0.82810748489324904</v>
      </c>
      <c r="M201" s="107">
        <v>4.53</v>
      </c>
      <c r="N201" s="107">
        <v>4.59</v>
      </c>
      <c r="O201" s="53">
        <v>11831</v>
      </c>
      <c r="P201" s="75">
        <v>1.77E-2</v>
      </c>
      <c r="Q201" s="75">
        <v>1.32E-2</v>
      </c>
      <c r="R201" s="81">
        <f>((K201-D201)/D201)</f>
        <v>1.8011457565460576E-2</v>
      </c>
      <c r="S201" s="81">
        <f t="shared" si="136"/>
        <v>1.7738359201773853E-2</v>
      </c>
      <c r="T201" s="81">
        <f t="shared" si="136"/>
        <v>5.6953417205032305E-3</v>
      </c>
      <c r="U201" s="81">
        <f t="shared" si="137"/>
        <v>1.9900000000000001E-2</v>
      </c>
      <c r="V201" s="82">
        <f t="shared" si="137"/>
        <v>-0.54200000000000004</v>
      </c>
    </row>
    <row r="202" spans="1:22">
      <c r="A202" s="60"/>
      <c r="B202" s="61"/>
      <c r="C202" s="96" t="s">
        <v>56</v>
      </c>
      <c r="D202" s="104">
        <f>SUM(D200:D201)</f>
        <v>8179170952.1100006</v>
      </c>
      <c r="E202" s="64">
        <f>(D202/$D$231)</f>
        <v>1.0660462971760906E-3</v>
      </c>
      <c r="F202" s="65"/>
      <c r="G202" s="105"/>
      <c r="H202" s="67">
        <f>SUM(H200:H201)</f>
        <v>13266</v>
      </c>
      <c r="I202" s="123"/>
      <c r="J202" s="123"/>
      <c r="K202" s="104">
        <f>SUM(K200:K201)</f>
        <v>8453062319.8899994</v>
      </c>
      <c r="L202" s="64">
        <f>(K202/$K$231)</f>
        <v>1.084089792673543E-3</v>
      </c>
      <c r="M202" s="65"/>
      <c r="N202" s="105"/>
      <c r="O202" s="67">
        <f>SUM(O200:O201)</f>
        <v>13335</v>
      </c>
      <c r="P202" s="123"/>
      <c r="Q202" s="123"/>
      <c r="R202" s="81">
        <f>((K202-D202)/D202)</f>
        <v>3.3486446167180592E-2</v>
      </c>
      <c r="S202" s="81" t="e">
        <f t="shared" si="136"/>
        <v>#DIV/0!</v>
      </c>
      <c r="T202" s="81">
        <f t="shared" si="136"/>
        <v>5.2012663952962458E-3</v>
      </c>
      <c r="U202" s="81">
        <f t="shared" si="137"/>
        <v>0</v>
      </c>
      <c r="V202" s="82">
        <f t="shared" si="137"/>
        <v>0</v>
      </c>
    </row>
    <row r="203" spans="1:22" ht="6" customHeight="1">
      <c r="A203" s="60"/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</row>
    <row r="204" spans="1:22" ht="15" customHeight="1">
      <c r="A204" s="190" t="s">
        <v>257</v>
      </c>
      <c r="B204" s="190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</row>
    <row r="205" spans="1:22">
      <c r="A205" s="193" t="s">
        <v>258</v>
      </c>
      <c r="B205" s="193"/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3"/>
      <c r="U205" s="193"/>
      <c r="V205" s="193"/>
    </row>
    <row r="206" spans="1:22">
      <c r="A206" s="173">
        <v>176</v>
      </c>
      <c r="B206" s="170" t="s">
        <v>259</v>
      </c>
      <c r="C206" s="166" t="s">
        <v>260</v>
      </c>
      <c r="D206" s="73">
        <v>8470374556.1999998</v>
      </c>
      <c r="E206" s="52">
        <f>(D206/$D$230)</f>
        <v>0.10572094404520001</v>
      </c>
      <c r="F206" s="108">
        <v>2.95</v>
      </c>
      <c r="G206" s="108">
        <v>3.01</v>
      </c>
      <c r="H206" s="71">
        <v>15424</v>
      </c>
      <c r="I206" s="78">
        <v>1.1000000000000001E-3</v>
      </c>
      <c r="J206" s="78">
        <v>0.36599999999999999</v>
      </c>
      <c r="K206" s="73">
        <v>8689638837.0900002</v>
      </c>
      <c r="L206" s="52">
        <f>(K206/$K$230)</f>
        <v>0.10895542742961525</v>
      </c>
      <c r="M206" s="108">
        <v>2.98</v>
      </c>
      <c r="N206" s="108">
        <v>3.03</v>
      </c>
      <c r="O206" s="71">
        <v>15481</v>
      </c>
      <c r="P206" s="78">
        <v>0</v>
      </c>
      <c r="Q206" s="78">
        <v>7.0000000000000001E-3</v>
      </c>
      <c r="R206" s="80">
        <f>((K206-D206)/D206)</f>
        <v>2.5886019494794008E-2</v>
      </c>
      <c r="S206" s="80">
        <f>((N206-G206)/G206)</f>
        <v>6.6445182724252554E-3</v>
      </c>
      <c r="T206" s="80">
        <f>((O206-H206)/H206)</f>
        <v>3.6955394190871368E-3</v>
      </c>
      <c r="U206" s="80">
        <f>P206-I206</f>
        <v>-1.1000000000000001E-3</v>
      </c>
      <c r="V206" s="127">
        <f>Q206-J206</f>
        <v>-0.35899999999999999</v>
      </c>
    </row>
    <row r="207" spans="1:22">
      <c r="A207" s="173">
        <v>177</v>
      </c>
      <c r="B207" s="170" t="s">
        <v>261</v>
      </c>
      <c r="C207" s="166" t="s">
        <v>50</v>
      </c>
      <c r="D207" s="73">
        <v>4636603850.8299999</v>
      </c>
      <c r="E207" s="52">
        <f>(D207/$D$230)</f>
        <v>5.787065648880417E-2</v>
      </c>
      <c r="F207" s="108">
        <v>931.81</v>
      </c>
      <c r="G207" s="108">
        <v>943.63</v>
      </c>
      <c r="H207" s="71">
        <v>2614</v>
      </c>
      <c r="I207" s="78">
        <v>-3.0000000000000001E-3</v>
      </c>
      <c r="J207" s="78">
        <v>0.86970000000000003</v>
      </c>
      <c r="K207" s="73">
        <v>4853612957.6499996</v>
      </c>
      <c r="L207" s="52">
        <f>(K207/$K$230)</f>
        <v>6.085724439104185E-2</v>
      </c>
      <c r="M207" s="108">
        <v>946.43</v>
      </c>
      <c r="N207" s="108">
        <v>959.42</v>
      </c>
      <c r="O207" s="71">
        <v>2710</v>
      </c>
      <c r="P207" s="78">
        <v>1.67E-2</v>
      </c>
      <c r="Q207" s="78">
        <v>9.1000000000000004E-3</v>
      </c>
      <c r="R207" s="80">
        <f>((K207-D207)/D207)</f>
        <v>4.6803460852311726E-2</v>
      </c>
      <c r="S207" s="80">
        <f>((N207-G207)/G207)</f>
        <v>1.6733253499782715E-2</v>
      </c>
      <c r="T207" s="80">
        <f>((O207-H207)/H207)</f>
        <v>3.6725325172149964E-2</v>
      </c>
      <c r="U207" s="80">
        <f>P207-I207</f>
        <v>1.9699999999999999E-2</v>
      </c>
      <c r="V207" s="127">
        <f>Q207-J207</f>
        <v>-0.86060000000000003</v>
      </c>
    </row>
    <row r="208" spans="1:22" ht="6" customHeight="1">
      <c r="A208" s="95"/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</row>
    <row r="209" spans="1:24" ht="15" customHeight="1">
      <c r="A209" s="193" t="s">
        <v>194</v>
      </c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  <c r="T209" s="193"/>
      <c r="U209" s="193"/>
      <c r="V209" s="193"/>
    </row>
    <row r="210" spans="1:24">
      <c r="A210" s="173">
        <v>178</v>
      </c>
      <c r="B210" s="170" t="s">
        <v>262</v>
      </c>
      <c r="C210" s="166" t="s">
        <v>24</v>
      </c>
      <c r="D210" s="57">
        <v>1265598063.3</v>
      </c>
      <c r="E210" s="52">
        <f>(D210/$D$230)</f>
        <v>1.5796258022133861E-2</v>
      </c>
      <c r="F210" s="107">
        <v>1.1477999999999999</v>
      </c>
      <c r="G210" s="107">
        <v>1.1477999999999999</v>
      </c>
      <c r="H210" s="53">
        <v>735</v>
      </c>
      <c r="I210" s="75">
        <v>0.14119999999999999</v>
      </c>
      <c r="J210" s="75">
        <v>0.1348</v>
      </c>
      <c r="K210" s="57">
        <v>1273815291.3900001</v>
      </c>
      <c r="L210" s="52">
        <f t="shared" ref="L210:L223" si="138">(K210/$K$230)</f>
        <v>1.5971790328889582E-2</v>
      </c>
      <c r="M210" s="107">
        <v>1.1495</v>
      </c>
      <c r="N210" s="107">
        <v>1.1495</v>
      </c>
      <c r="O210" s="53">
        <v>747</v>
      </c>
      <c r="P210" s="75">
        <v>0.13639999999999999</v>
      </c>
      <c r="Q210" s="75">
        <v>0.13500000000000001</v>
      </c>
      <c r="R210" s="81">
        <f>((K210-D210)/D210)</f>
        <v>6.4927628512436528E-3</v>
      </c>
      <c r="S210" s="81">
        <f>((N210-G210)/G210)</f>
        <v>1.4810942672939841E-3</v>
      </c>
      <c r="T210" s="81">
        <f>((O210-H210)/H210)</f>
        <v>1.6326530612244899E-2</v>
      </c>
      <c r="U210" s="81">
        <f>P210-I210</f>
        <v>-4.7999999999999987E-3</v>
      </c>
      <c r="V210" s="82">
        <f>Q210-J210</f>
        <v>2.0000000000000573E-4</v>
      </c>
      <c r="X210" s="128"/>
    </row>
    <row r="211" spans="1:24">
      <c r="A211" s="173">
        <v>179</v>
      </c>
      <c r="B211" s="170" t="s">
        <v>263</v>
      </c>
      <c r="C211" s="166" t="s">
        <v>264</v>
      </c>
      <c r="D211" s="57">
        <v>371144955.19</v>
      </c>
      <c r="E211" s="52">
        <f>(D211/$D$230)</f>
        <v>4.6323565481032527E-3</v>
      </c>
      <c r="F211" s="107">
        <v>1121.71</v>
      </c>
      <c r="G211" s="107">
        <v>1121.71</v>
      </c>
      <c r="H211" s="53">
        <v>17</v>
      </c>
      <c r="I211" s="75">
        <v>2.3E-3</v>
      </c>
      <c r="J211" s="75">
        <v>0.1125</v>
      </c>
      <c r="K211" s="57">
        <v>369647520.50999999</v>
      </c>
      <c r="L211" s="52">
        <f t="shared" si="138"/>
        <v>4.6348420631198419E-3</v>
      </c>
      <c r="M211" s="107">
        <v>1117.18</v>
      </c>
      <c r="N211" s="107">
        <v>1117.18</v>
      </c>
      <c r="O211" s="53">
        <v>17</v>
      </c>
      <c r="P211" s="75">
        <v>-0.1118</v>
      </c>
      <c r="Q211" s="75">
        <v>6.9999999999999999E-4</v>
      </c>
      <c r="R211" s="81">
        <f>((K211-D211)/D211)</f>
        <v>-4.0346356836062245E-3</v>
      </c>
      <c r="S211" s="81">
        <f>((N211-G211)/G211)</f>
        <v>-4.0384769682003125E-3</v>
      </c>
      <c r="T211" s="81">
        <f>((O211-H211)/H211)</f>
        <v>0</v>
      </c>
      <c r="U211" s="81">
        <f>P211-I211</f>
        <v>-0.11409999999999999</v>
      </c>
      <c r="V211" s="82">
        <f>Q211-J211</f>
        <v>-0.1118</v>
      </c>
      <c r="X211" s="128"/>
    </row>
    <row r="212" spans="1:24">
      <c r="A212" s="173">
        <v>180</v>
      </c>
      <c r="B212" s="170" t="s">
        <v>265</v>
      </c>
      <c r="C212" s="166" t="s">
        <v>73</v>
      </c>
      <c r="D212" s="57">
        <v>317200169.5</v>
      </c>
      <c r="E212" s="52">
        <f>(D212/$D$230)</f>
        <v>3.9590576719291948E-3</v>
      </c>
      <c r="F212" s="107">
        <v>122.53</v>
      </c>
      <c r="G212" s="107">
        <v>122.53</v>
      </c>
      <c r="H212" s="53">
        <v>80</v>
      </c>
      <c r="I212" s="75">
        <v>1.8E-3</v>
      </c>
      <c r="J212" s="75">
        <v>0.13389999999999999</v>
      </c>
      <c r="K212" s="57">
        <v>316416892.43000001</v>
      </c>
      <c r="L212" s="52">
        <f t="shared" si="138"/>
        <v>3.967407438558908E-3</v>
      </c>
      <c r="M212" s="107">
        <v>122.65</v>
      </c>
      <c r="N212" s="107">
        <v>122.65</v>
      </c>
      <c r="O212" s="53">
        <v>79</v>
      </c>
      <c r="P212" s="75">
        <v>1E-3</v>
      </c>
      <c r="Q212" s="75">
        <v>0.13389999999999999</v>
      </c>
      <c r="R212" s="81">
        <f t="shared" ref="R212:R231" si="139">((K212-D212)/D212)</f>
        <v>-2.4693463160333929E-3</v>
      </c>
      <c r="S212" s="81">
        <f t="shared" ref="S212:S230" si="140">((N212-G212)/G212)</f>
        <v>9.7935199542972784E-4</v>
      </c>
      <c r="T212" s="81">
        <f t="shared" ref="T212:T230" si="141">((O212-H212)/H212)</f>
        <v>-1.2500000000000001E-2</v>
      </c>
      <c r="U212" s="81">
        <f t="shared" ref="U212:U230" si="142">P212-I212</f>
        <v>-7.9999999999999993E-4</v>
      </c>
      <c r="V212" s="82">
        <f t="shared" ref="V212:V230" si="143">Q212-J212</f>
        <v>0</v>
      </c>
    </row>
    <row r="213" spans="1:24">
      <c r="A213" s="173">
        <v>181</v>
      </c>
      <c r="B213" s="178" t="s">
        <v>266</v>
      </c>
      <c r="C213" s="166" t="s">
        <v>267</v>
      </c>
      <c r="D213" s="57">
        <v>54970158.900133699</v>
      </c>
      <c r="E213" s="52">
        <v>0</v>
      </c>
      <c r="F213" s="107">
        <v>105.54</v>
      </c>
      <c r="G213" s="107">
        <v>105.54</v>
      </c>
      <c r="H213" s="53">
        <v>14</v>
      </c>
      <c r="I213" s="75">
        <v>3.0999999999999999E-3</v>
      </c>
      <c r="J213" s="75">
        <v>5.5399999999999998E-2</v>
      </c>
      <c r="K213" s="57">
        <v>55113720.64373</v>
      </c>
      <c r="L213" s="52">
        <f t="shared" si="138"/>
        <v>6.9104586537510864E-4</v>
      </c>
      <c r="M213" s="107">
        <v>105.83</v>
      </c>
      <c r="N213" s="107">
        <v>105.83</v>
      </c>
      <c r="O213" s="53">
        <v>14</v>
      </c>
      <c r="P213" s="75">
        <v>2.8999999999999998E-3</v>
      </c>
      <c r="Q213" s="75">
        <v>5.8299999999999998E-2</v>
      </c>
      <c r="R213" s="81">
        <f t="shared" si="139"/>
        <v>2.6116305004159502E-3</v>
      </c>
      <c r="S213" s="81">
        <f t="shared" si="140"/>
        <v>2.7477733560734509E-3</v>
      </c>
      <c r="T213" s="81">
        <f t="shared" si="141"/>
        <v>0</v>
      </c>
      <c r="U213" s="81">
        <f t="shared" si="142"/>
        <v>-2.0000000000000009E-4</v>
      </c>
      <c r="V213" s="82">
        <f t="shared" si="143"/>
        <v>2.8999999999999998E-3</v>
      </c>
    </row>
    <row r="214" spans="1:24">
      <c r="A214" s="173">
        <v>182</v>
      </c>
      <c r="B214" s="178" t="s">
        <v>268</v>
      </c>
      <c r="C214" s="166" t="s">
        <v>79</v>
      </c>
      <c r="D214" s="69">
        <v>68325110.700000003</v>
      </c>
      <c r="E214" s="52">
        <f>(D214/$D$230)</f>
        <v>8.5278344626561276E-4</v>
      </c>
      <c r="F214" s="107">
        <v>103.87</v>
      </c>
      <c r="G214" s="107">
        <v>104.1</v>
      </c>
      <c r="H214" s="53">
        <v>15</v>
      </c>
      <c r="I214" s="75">
        <v>2.2000000000000001E-3</v>
      </c>
      <c r="J214" s="75">
        <v>0.112</v>
      </c>
      <c r="K214" s="69">
        <v>68407383.920000002</v>
      </c>
      <c r="L214" s="52">
        <f t="shared" si="138"/>
        <v>8.5772906033012772E-4</v>
      </c>
      <c r="M214" s="107">
        <v>103.93</v>
      </c>
      <c r="N214" s="107">
        <v>103.93</v>
      </c>
      <c r="O214" s="53">
        <v>15</v>
      </c>
      <c r="P214" s="75">
        <v>1.1999999999999999E-3</v>
      </c>
      <c r="Q214" s="75">
        <v>4.0000000000000002E-4</v>
      </c>
      <c r="R214" s="81">
        <f t="shared" si="139"/>
        <v>1.2041432374876313E-3</v>
      </c>
      <c r="S214" s="81">
        <f t="shared" si="140"/>
        <v>-1.633045148895173E-3</v>
      </c>
      <c r="T214" s="81">
        <f t="shared" si="141"/>
        <v>0</v>
      </c>
      <c r="U214" s="81">
        <f t="shared" si="142"/>
        <v>-1.0000000000000002E-3</v>
      </c>
      <c r="V214" s="82">
        <f t="shared" si="143"/>
        <v>-0.1116</v>
      </c>
    </row>
    <row r="215" spans="1:24">
      <c r="A215" s="173">
        <v>183</v>
      </c>
      <c r="B215" s="170" t="s">
        <v>269</v>
      </c>
      <c r="C215" s="166" t="s">
        <v>82</v>
      </c>
      <c r="D215" s="69">
        <v>265660149.46000001</v>
      </c>
      <c r="E215" s="52">
        <v>0</v>
      </c>
      <c r="F215" s="107">
        <v>1.1622600000000001</v>
      </c>
      <c r="G215" s="107">
        <v>1.1622600000000001</v>
      </c>
      <c r="H215" s="53">
        <v>57</v>
      </c>
      <c r="I215" s="75">
        <v>1.8E-3</v>
      </c>
      <c r="J215" s="75">
        <v>0.10879999999999999</v>
      </c>
      <c r="K215" s="69">
        <v>265660149.46000001</v>
      </c>
      <c r="L215" s="52">
        <f t="shared" si="138"/>
        <v>3.3309917337281374E-3</v>
      </c>
      <c r="M215" s="107">
        <v>1.1567000000000001</v>
      </c>
      <c r="N215" s="107">
        <v>1.1567000000000001</v>
      </c>
      <c r="O215" s="53">
        <v>55</v>
      </c>
      <c r="P215" s="75">
        <v>1.8E-3</v>
      </c>
      <c r="Q215" s="75">
        <v>0.13458300000000001</v>
      </c>
      <c r="R215" s="81">
        <f t="shared" ref="R215:R216" si="144">((K215-D215)/D215)</f>
        <v>0</v>
      </c>
      <c r="S215" s="81">
        <f t="shared" ref="S215:S216" si="145">((N215-G215)/G215)</f>
        <v>-4.7837833187066659E-3</v>
      </c>
      <c r="T215" s="81">
        <f t="shared" ref="T215" si="146">((O215-H215)/H215)</f>
        <v>-3.5087719298245612E-2</v>
      </c>
      <c r="U215" s="81">
        <f t="shared" ref="U215" si="147">P215-I215</f>
        <v>0</v>
      </c>
      <c r="V215" s="82">
        <f t="shared" ref="V215" si="148">Q215-J215</f>
        <v>2.5783000000000014E-2</v>
      </c>
    </row>
    <row r="216" spans="1:24">
      <c r="A216" s="173">
        <v>184</v>
      </c>
      <c r="B216" s="170" t="s">
        <v>270</v>
      </c>
      <c r="C216" s="166" t="s">
        <v>32</v>
      </c>
      <c r="D216" s="57">
        <v>5101620834.2399998</v>
      </c>
      <c r="E216" s="52">
        <f t="shared" ref="E216:E223" si="149">(D216/$D$230)</f>
        <v>6.3674654193624849E-2</v>
      </c>
      <c r="F216" s="107">
        <v>141.9</v>
      </c>
      <c r="G216" s="107">
        <v>141.9</v>
      </c>
      <c r="H216" s="53">
        <v>765</v>
      </c>
      <c r="I216" s="75">
        <v>2.0999999999999999E-3</v>
      </c>
      <c r="J216" s="75">
        <v>0.15310000000000001</v>
      </c>
      <c r="K216" s="57">
        <v>5090094685.0799999</v>
      </c>
      <c r="L216" s="52">
        <f t="shared" si="138"/>
        <v>6.3822381167665115E-2</v>
      </c>
      <c r="M216" s="107">
        <v>142.4</v>
      </c>
      <c r="N216" s="107">
        <v>142.4</v>
      </c>
      <c r="O216" s="53">
        <v>765</v>
      </c>
      <c r="P216" s="75">
        <v>2.7000000000000001E-3</v>
      </c>
      <c r="Q216" s="75">
        <v>8.0000000000000004E-4</v>
      </c>
      <c r="R216" s="81">
        <f t="shared" si="144"/>
        <v>-2.2593112139265687E-3</v>
      </c>
      <c r="S216" s="81">
        <f t="shared" si="145"/>
        <v>3.5236081747709652E-3</v>
      </c>
      <c r="T216" s="81">
        <f t="shared" si="141"/>
        <v>0</v>
      </c>
      <c r="U216" s="81">
        <f t="shared" si="142"/>
        <v>6.0000000000000027E-4</v>
      </c>
      <c r="V216" s="82">
        <f t="shared" si="143"/>
        <v>-0.15230000000000002</v>
      </c>
    </row>
    <row r="217" spans="1:24">
      <c r="A217" s="173">
        <v>185</v>
      </c>
      <c r="B217" s="170" t="s">
        <v>271</v>
      </c>
      <c r="C217" s="166" t="s">
        <v>71</v>
      </c>
      <c r="D217" s="57">
        <v>914444979.49873304</v>
      </c>
      <c r="E217" s="52">
        <f t="shared" si="149"/>
        <v>1.1413425211431339E-2</v>
      </c>
      <c r="F217" s="56">
        <v>1322.7906838469301</v>
      </c>
      <c r="G217" s="56">
        <v>1322.7906838469301</v>
      </c>
      <c r="H217" s="53">
        <v>297</v>
      </c>
      <c r="I217" s="75">
        <v>0.1163</v>
      </c>
      <c r="J217" s="75">
        <v>0.11600000000000001</v>
      </c>
      <c r="K217" s="57">
        <v>993360239.93244505</v>
      </c>
      <c r="L217" s="52">
        <f t="shared" si="138"/>
        <v>1.2455292050972008E-2</v>
      </c>
      <c r="M217" s="56">
        <v>1325.66797135149</v>
      </c>
      <c r="N217" s="56">
        <v>1325.66797135149</v>
      </c>
      <c r="O217" s="53">
        <v>297</v>
      </c>
      <c r="P217" s="75">
        <v>0.1134</v>
      </c>
      <c r="Q217" s="75">
        <v>0.1116</v>
      </c>
      <c r="R217" s="81">
        <f t="shared" si="139"/>
        <v>8.6298533211884007E-2</v>
      </c>
      <c r="S217" s="81">
        <f t="shared" si="140"/>
        <v>2.1751646270990045E-3</v>
      </c>
      <c r="T217" s="81">
        <f t="shared" si="141"/>
        <v>0</v>
      </c>
      <c r="U217" s="81">
        <f t="shared" si="142"/>
        <v>-2.8999999999999998E-3</v>
      </c>
      <c r="V217" s="82">
        <f t="shared" si="143"/>
        <v>-4.4000000000000011E-3</v>
      </c>
    </row>
    <row r="218" spans="1:24">
      <c r="A218" s="173">
        <v>186</v>
      </c>
      <c r="B218" s="170" t="s">
        <v>272</v>
      </c>
      <c r="C218" s="166" t="s">
        <v>260</v>
      </c>
      <c r="D218" s="57">
        <v>40833498331.389999</v>
      </c>
      <c r="E218" s="52">
        <f t="shared" si="149"/>
        <v>0.50965349449662745</v>
      </c>
      <c r="F218" s="56">
        <v>1297.8399999999999</v>
      </c>
      <c r="G218" s="56">
        <v>1297.8399999999999</v>
      </c>
      <c r="H218" s="53">
        <v>11630</v>
      </c>
      <c r="I218" s="75">
        <v>1.6999999999999999E-3</v>
      </c>
      <c r="J218" s="75">
        <v>0.14799999999999999</v>
      </c>
      <c r="K218" s="57">
        <v>41467607064.129997</v>
      </c>
      <c r="L218" s="52">
        <f t="shared" si="138"/>
        <v>0.51994345643813344</v>
      </c>
      <c r="M218" s="56">
        <v>1301.6500000000001</v>
      </c>
      <c r="N218" s="56">
        <v>1301.6500000000001</v>
      </c>
      <c r="O218" s="53">
        <v>11838</v>
      </c>
      <c r="P218" s="75">
        <v>5.9999999999999995E-4</v>
      </c>
      <c r="Q218" s="75">
        <v>5.9999999999999995E-4</v>
      </c>
      <c r="R218" s="81">
        <f t="shared" si="139"/>
        <v>1.5529130705231261E-2</v>
      </c>
      <c r="S218" s="81">
        <f t="shared" si="140"/>
        <v>2.935646921038166E-3</v>
      </c>
      <c r="T218" s="81">
        <f t="shared" si="141"/>
        <v>1.7884780739466897E-2</v>
      </c>
      <c r="U218" s="81">
        <f t="shared" si="142"/>
        <v>-1.0999999999999998E-3</v>
      </c>
      <c r="V218" s="82">
        <f t="shared" si="143"/>
        <v>-0.1474</v>
      </c>
    </row>
    <row r="219" spans="1:24">
      <c r="A219" s="173">
        <v>187</v>
      </c>
      <c r="B219" s="170" t="s">
        <v>273</v>
      </c>
      <c r="C219" s="166" t="s">
        <v>274</v>
      </c>
      <c r="D219" s="57">
        <v>325669443.31</v>
      </c>
      <c r="E219" s="52">
        <f t="shared" si="149"/>
        <v>4.0647648772752796E-3</v>
      </c>
      <c r="F219" s="108">
        <v>120</v>
      </c>
      <c r="G219" s="108">
        <v>120.7</v>
      </c>
      <c r="H219" s="71">
        <v>129</v>
      </c>
      <c r="I219" s="75">
        <v>1.4E-3</v>
      </c>
      <c r="J219" s="75">
        <v>-3.4599999999999999E-2</v>
      </c>
      <c r="K219" s="57">
        <v>329136424.20999998</v>
      </c>
      <c r="L219" s="52">
        <f t="shared" si="138"/>
        <v>4.1268918599227959E-3</v>
      </c>
      <c r="M219" s="108">
        <v>121.24</v>
      </c>
      <c r="N219" s="108">
        <v>122</v>
      </c>
      <c r="O219" s="71">
        <v>130</v>
      </c>
      <c r="P219" s="75">
        <v>-1E-4</v>
      </c>
      <c r="Q219" s="75">
        <v>5.9999999999999995E-4</v>
      </c>
      <c r="R219" s="81">
        <f t="shared" si="139"/>
        <v>1.0645705242600263E-2</v>
      </c>
      <c r="S219" s="81">
        <f t="shared" si="140"/>
        <v>1.0770505385252668E-2</v>
      </c>
      <c r="T219" s="81">
        <f t="shared" si="141"/>
        <v>7.7519379844961239E-3</v>
      </c>
      <c r="U219" s="81">
        <f t="shared" si="142"/>
        <v>-1.5E-3</v>
      </c>
      <c r="V219" s="82">
        <f t="shared" si="143"/>
        <v>3.5200000000000002E-2</v>
      </c>
    </row>
    <row r="220" spans="1:24">
      <c r="A220" s="173">
        <v>188</v>
      </c>
      <c r="B220" s="170" t="s">
        <v>275</v>
      </c>
      <c r="C220" s="166" t="s">
        <v>274</v>
      </c>
      <c r="D220" s="57">
        <v>454582937.17000002</v>
      </c>
      <c r="E220" s="52">
        <f t="shared" si="149"/>
        <v>5.6737676646512495E-3</v>
      </c>
      <c r="F220" s="108">
        <v>135.18</v>
      </c>
      <c r="G220" s="108">
        <v>135.18</v>
      </c>
      <c r="H220" s="71">
        <v>142</v>
      </c>
      <c r="I220" s="75">
        <v>2.0999999999999999E-3</v>
      </c>
      <c r="J220" s="75">
        <v>0.2102</v>
      </c>
      <c r="K220" s="57">
        <v>463260976.80000001</v>
      </c>
      <c r="L220" s="52">
        <f t="shared" si="138"/>
        <v>5.8086185956616994E-3</v>
      </c>
      <c r="M220" s="108">
        <v>135.78</v>
      </c>
      <c r="N220" s="108">
        <v>135.78</v>
      </c>
      <c r="O220" s="71">
        <v>145</v>
      </c>
      <c r="P220" s="75">
        <v>0</v>
      </c>
      <c r="Q220" s="75">
        <v>1.1000000000000001E-3</v>
      </c>
      <c r="R220" s="81">
        <f t="shared" si="139"/>
        <v>1.9090112981417679E-2</v>
      </c>
      <c r="S220" s="81">
        <f t="shared" si="140"/>
        <v>4.4385264092320926E-3</v>
      </c>
      <c r="T220" s="81">
        <f t="shared" si="141"/>
        <v>2.1126760563380281E-2</v>
      </c>
      <c r="U220" s="81">
        <f t="shared" si="142"/>
        <v>-2.0999999999999999E-3</v>
      </c>
      <c r="V220" s="82">
        <f t="shared" si="143"/>
        <v>-0.20910000000000001</v>
      </c>
    </row>
    <row r="221" spans="1:24" ht="13.5" customHeight="1">
      <c r="A221" s="173">
        <v>189</v>
      </c>
      <c r="B221" s="170" t="s">
        <v>276</v>
      </c>
      <c r="C221" s="166" t="s">
        <v>104</v>
      </c>
      <c r="D221" s="57">
        <v>2377195456</v>
      </c>
      <c r="E221" s="52">
        <f t="shared" si="149"/>
        <v>2.9670393690480107E-2</v>
      </c>
      <c r="F221" s="85">
        <v>107.86</v>
      </c>
      <c r="G221" s="85">
        <v>107.86</v>
      </c>
      <c r="H221" s="53">
        <v>762</v>
      </c>
      <c r="I221" s="75">
        <v>2.5999999999999999E-3</v>
      </c>
      <c r="J221" s="75">
        <v>0.1555</v>
      </c>
      <c r="K221" s="57">
        <v>2366777063</v>
      </c>
      <c r="L221" s="52">
        <f t="shared" si="138"/>
        <v>2.9675940665001382E-2</v>
      </c>
      <c r="M221" s="85">
        <v>103.91</v>
      </c>
      <c r="N221" s="85">
        <v>103.91</v>
      </c>
      <c r="O221" s="53">
        <v>769</v>
      </c>
      <c r="P221" s="75">
        <v>3.8E-3</v>
      </c>
      <c r="Q221" s="75">
        <v>0.15570000000000001</v>
      </c>
      <c r="R221" s="81">
        <f t="shared" si="139"/>
        <v>-4.3826404655553913E-3</v>
      </c>
      <c r="S221" s="81">
        <f t="shared" si="140"/>
        <v>-3.6621546449100713E-2</v>
      </c>
      <c r="T221" s="81">
        <f t="shared" si="141"/>
        <v>9.1863517060367453E-3</v>
      </c>
      <c r="U221" s="81">
        <f t="shared" si="142"/>
        <v>1.2000000000000001E-3</v>
      </c>
      <c r="V221" s="82">
        <f t="shared" si="143"/>
        <v>2.0000000000000573E-4</v>
      </c>
    </row>
    <row r="222" spans="1:24" ht="15.75" customHeight="1">
      <c r="A222" s="173">
        <v>190</v>
      </c>
      <c r="B222" s="170" t="s">
        <v>277</v>
      </c>
      <c r="C222" s="166" t="s">
        <v>50</v>
      </c>
      <c r="D222" s="57">
        <v>5503136104.8999996</v>
      </c>
      <c r="E222" s="52">
        <f t="shared" si="149"/>
        <v>6.8686070534318827E-2</v>
      </c>
      <c r="F222" s="85">
        <v>144.15</v>
      </c>
      <c r="G222" s="85">
        <v>144.15</v>
      </c>
      <c r="H222" s="53">
        <v>1868</v>
      </c>
      <c r="I222" s="75">
        <v>1.2999999999999999E-3</v>
      </c>
      <c r="J222" s="75">
        <v>7.3300000000000004E-2</v>
      </c>
      <c r="K222" s="57">
        <v>3838205909.2800002</v>
      </c>
      <c r="L222" s="52">
        <f t="shared" si="138"/>
        <v>4.8125517440782702E-2</v>
      </c>
      <c r="M222" s="85">
        <v>144.52000000000001</v>
      </c>
      <c r="N222" s="85">
        <v>144.52000000000001</v>
      </c>
      <c r="O222" s="53">
        <v>1909</v>
      </c>
      <c r="P222" s="75">
        <v>2.5999999999999999E-3</v>
      </c>
      <c r="Q222" s="75">
        <v>6.9999999999999999E-4</v>
      </c>
      <c r="R222" s="81">
        <f t="shared" si="139"/>
        <v>-0.30254207126324634</v>
      </c>
      <c r="S222" s="81">
        <f t="shared" si="140"/>
        <v>2.5667707249393307E-3</v>
      </c>
      <c r="T222" s="81">
        <f t="shared" si="141"/>
        <v>2.1948608137044967E-2</v>
      </c>
      <c r="U222" s="81">
        <f t="shared" si="142"/>
        <v>1.2999999999999999E-3</v>
      </c>
      <c r="V222" s="82">
        <f t="shared" si="143"/>
        <v>-7.2599999999999998E-2</v>
      </c>
    </row>
    <row r="223" spans="1:24">
      <c r="A223" s="176">
        <v>191</v>
      </c>
      <c r="B223" s="170" t="s">
        <v>278</v>
      </c>
      <c r="C223" s="166" t="s">
        <v>53</v>
      </c>
      <c r="D223" s="57">
        <v>3970186402.0999999</v>
      </c>
      <c r="E223" s="52">
        <f t="shared" si="149"/>
        <v>4.9552927285629871E-2</v>
      </c>
      <c r="F223" s="85">
        <v>1.2192000000000001</v>
      </c>
      <c r="G223" s="85">
        <v>1.2192000000000001</v>
      </c>
      <c r="H223" s="53">
        <v>1960</v>
      </c>
      <c r="I223" s="75">
        <v>0.1225</v>
      </c>
      <c r="J223" s="75">
        <v>0.1036</v>
      </c>
      <c r="K223" s="57">
        <v>4018774856.4899998</v>
      </c>
      <c r="L223" s="52">
        <f t="shared" si="138"/>
        <v>5.0389589307591104E-2</v>
      </c>
      <c r="M223" s="85">
        <v>1.2310000000000001</v>
      </c>
      <c r="N223" s="85">
        <v>1.2310000000000001</v>
      </c>
      <c r="O223" s="53">
        <v>2037</v>
      </c>
      <c r="P223" s="75">
        <v>9.7000000000000003E-3</v>
      </c>
      <c r="Q223" s="75">
        <v>0.1094</v>
      </c>
      <c r="R223" s="81">
        <f t="shared" si="139"/>
        <v>1.2238330765603191E-2</v>
      </c>
      <c r="S223" s="81">
        <f t="shared" si="140"/>
        <v>9.6784776902887407E-3</v>
      </c>
      <c r="T223" s="81">
        <f t="shared" si="141"/>
        <v>3.9285714285714285E-2</v>
      </c>
      <c r="U223" s="81">
        <f t="shared" si="142"/>
        <v>-0.1128</v>
      </c>
      <c r="V223" s="82">
        <f t="shared" si="143"/>
        <v>5.7999999999999996E-3</v>
      </c>
    </row>
    <row r="224" spans="1:24" ht="6" customHeight="1">
      <c r="A224" s="60"/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  <c r="T224" s="192"/>
      <c r="U224" s="192"/>
      <c r="V224" s="192"/>
    </row>
    <row r="225" spans="1:22">
      <c r="A225" s="193" t="s">
        <v>279</v>
      </c>
      <c r="B225" s="193"/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  <c r="T225" s="193"/>
      <c r="U225" s="193"/>
      <c r="V225" s="193"/>
    </row>
    <row r="226" spans="1:22">
      <c r="A226" s="173">
        <v>192</v>
      </c>
      <c r="B226" s="170" t="s">
        <v>280</v>
      </c>
      <c r="C226" s="166" t="s">
        <v>20</v>
      </c>
      <c r="D226" s="106">
        <v>352127753.22000003</v>
      </c>
      <c r="E226" s="52">
        <f>(D226/$D$202)</f>
        <v>4.3051765916343979E-2</v>
      </c>
      <c r="F226" s="107">
        <v>104.6957</v>
      </c>
      <c r="G226" s="107">
        <v>104.6957</v>
      </c>
      <c r="H226" s="55">
        <v>121</v>
      </c>
      <c r="I226" s="76">
        <v>6.9999999999999999E-4</v>
      </c>
      <c r="J226" s="76">
        <v>4.7E-2</v>
      </c>
      <c r="K226" s="106">
        <v>396467921.77999997</v>
      </c>
      <c r="L226" s="79">
        <f>(K226/$K$202)</f>
        <v>4.6902283075225128E-2</v>
      </c>
      <c r="M226" s="107">
        <v>104.9372</v>
      </c>
      <c r="N226" s="107">
        <v>104.9372</v>
      </c>
      <c r="O226" s="55">
        <v>112</v>
      </c>
      <c r="P226" s="76">
        <v>5.0000000000000001E-4</v>
      </c>
      <c r="Q226" s="76">
        <v>5.0000000000000001E-4</v>
      </c>
      <c r="R226" s="81">
        <f>((K226-D226)/D226)</f>
        <v>0.12592068689427438</v>
      </c>
      <c r="S226" s="81">
        <f t="shared" ref="S226" si="150">((N226-G226)/G226)</f>
        <v>2.3066849927934198E-3</v>
      </c>
      <c r="T226" s="81">
        <f t="shared" ref="T226" si="151">((O226-H226)/H226)</f>
        <v>-7.43801652892562E-2</v>
      </c>
      <c r="U226" s="81">
        <f t="shared" ref="U226" si="152">P226-I226</f>
        <v>-1.9999999999999998E-4</v>
      </c>
      <c r="V226" s="82">
        <f t="shared" ref="V226" si="153">Q226-J226</f>
        <v>-4.65E-2</v>
      </c>
    </row>
    <row r="227" spans="1:22">
      <c r="A227" s="173">
        <v>193</v>
      </c>
      <c r="B227" s="170" t="s">
        <v>281</v>
      </c>
      <c r="C227" s="166" t="s">
        <v>24</v>
      </c>
      <c r="D227" s="106">
        <v>4411560341.71</v>
      </c>
      <c r="E227" s="52">
        <f>(D227/$D$202)</f>
        <v>0.53936522020877176</v>
      </c>
      <c r="F227" s="107">
        <v>103.5034</v>
      </c>
      <c r="G227" s="107">
        <v>106.6241</v>
      </c>
      <c r="H227" s="55">
        <v>3570</v>
      </c>
      <c r="I227" s="76">
        <v>-0.1754</v>
      </c>
      <c r="J227" s="76">
        <v>0.51659999999999995</v>
      </c>
      <c r="K227" s="106">
        <v>4461560086.7600002</v>
      </c>
      <c r="L227" s="79">
        <f>(K227/$K$202)</f>
        <v>0.52780399787920396</v>
      </c>
      <c r="M227" s="107">
        <v>104.0981</v>
      </c>
      <c r="N227" s="107">
        <v>107.2367</v>
      </c>
      <c r="O227" s="55">
        <v>3710</v>
      </c>
      <c r="P227" s="76">
        <v>-4.3999999999999997E-2</v>
      </c>
      <c r="Q227" s="76">
        <v>0.51959999999999995</v>
      </c>
      <c r="R227" s="81">
        <f>((K227-D227)/D227)</f>
        <v>1.1333800555161259E-2</v>
      </c>
      <c r="S227" s="81">
        <f t="shared" ref="S227" si="154">((N227-G227)/G227)</f>
        <v>5.7454177807831483E-3</v>
      </c>
      <c r="T227" s="81">
        <f t="shared" ref="T227" si="155">((O227-H227)/H227)</f>
        <v>3.9215686274509803E-2</v>
      </c>
      <c r="U227" s="81">
        <f t="shared" ref="U227" si="156">P227-I227</f>
        <v>0.13140000000000002</v>
      </c>
      <c r="V227" s="82">
        <f t="shared" ref="V227" si="157">Q227-J227</f>
        <v>3.0000000000000027E-3</v>
      </c>
    </row>
    <row r="228" spans="1:22">
      <c r="A228" s="173">
        <v>194</v>
      </c>
      <c r="B228" s="170" t="s">
        <v>282</v>
      </c>
      <c r="C228" s="166" t="s">
        <v>260</v>
      </c>
      <c r="D228" s="57">
        <v>278323846.68000001</v>
      </c>
      <c r="E228" s="52">
        <f t="shared" ref="E228" si="158">(D228/$D$230)</f>
        <v>3.4738321931423147E-3</v>
      </c>
      <c r="F228" s="56">
        <v>1225.73</v>
      </c>
      <c r="G228" s="56">
        <v>1225.73</v>
      </c>
      <c r="H228" s="53">
        <v>167</v>
      </c>
      <c r="I228" s="75">
        <v>1.4E-3</v>
      </c>
      <c r="J228" s="75">
        <v>0.1069</v>
      </c>
      <c r="K228" s="57">
        <v>287576485.25</v>
      </c>
      <c r="L228" s="52">
        <f t="shared" ref="L228" si="159">(K228/$K$230)</f>
        <v>3.6057906958550934E-3</v>
      </c>
      <c r="M228" s="56">
        <v>1265.33</v>
      </c>
      <c r="N228" s="56">
        <v>1265.33</v>
      </c>
      <c r="O228" s="53">
        <v>167</v>
      </c>
      <c r="P228" s="75">
        <v>0</v>
      </c>
      <c r="Q228" s="75">
        <v>0</v>
      </c>
      <c r="R228" s="81">
        <f t="shared" ref="R228" si="160">((K228-D228)/D228)</f>
        <v>3.324414591265016E-2</v>
      </c>
      <c r="S228" s="81">
        <f t="shared" ref="S228" si="161">((N228-G228)/G228)</f>
        <v>3.2307278111819007E-2</v>
      </c>
      <c r="T228" s="81">
        <f t="shared" ref="T228" si="162">((O228-H228)/H228)</f>
        <v>0</v>
      </c>
      <c r="U228" s="81">
        <f t="shared" ref="U228" si="163">P228-I228</f>
        <v>-1.4E-3</v>
      </c>
      <c r="V228" s="82">
        <f t="shared" ref="V228" si="164">Q228-J228</f>
        <v>-0.1069</v>
      </c>
    </row>
    <row r="229" spans="1:22">
      <c r="A229" s="173">
        <v>195</v>
      </c>
      <c r="B229" s="170" t="s">
        <v>283</v>
      </c>
      <c r="C229" s="166" t="s">
        <v>284</v>
      </c>
      <c r="D229" s="57">
        <v>147894974.03999999</v>
      </c>
      <c r="E229" s="52">
        <f t="shared" ref="E229" si="165">(D229/$D$230)</f>
        <v>1.8459155697671563E-3</v>
      </c>
      <c r="F229" s="56">
        <v>115.63</v>
      </c>
      <c r="G229" s="56">
        <v>118.01</v>
      </c>
      <c r="H229" s="53">
        <v>312</v>
      </c>
      <c r="I229" s="75">
        <v>3.3E-3</v>
      </c>
      <c r="J229" s="75">
        <v>9.5500000000000002E-2</v>
      </c>
      <c r="K229" s="57">
        <v>148936002.16999999</v>
      </c>
      <c r="L229" s="52">
        <f t="shared" ref="L229" si="166">(K229/$K$230)</f>
        <v>1.8674407625351558E-3</v>
      </c>
      <c r="M229" s="56">
        <v>115.98</v>
      </c>
      <c r="N229" s="56">
        <v>118.37</v>
      </c>
      <c r="O229" s="53">
        <v>314</v>
      </c>
      <c r="P229" s="75">
        <v>3.0000000000000001E-3</v>
      </c>
      <c r="Q229" s="75">
        <v>0.1008</v>
      </c>
      <c r="R229" s="81">
        <f t="shared" ref="R229" si="167">((K229-D229)/D229)</f>
        <v>7.0389689491303234E-3</v>
      </c>
      <c r="S229" s="81">
        <f t="shared" ref="S229" si="168">((N229-G229)/G229)</f>
        <v>3.0505889331412543E-3</v>
      </c>
      <c r="T229" s="81">
        <f t="shared" ref="T229" si="169">((O229-H229)/H229)</f>
        <v>6.41025641025641E-3</v>
      </c>
      <c r="U229" s="81">
        <f t="shared" ref="U229" si="170">P229-I229</f>
        <v>-2.9999999999999992E-4</v>
      </c>
      <c r="V229" s="82">
        <f t="shared" ref="V229" si="171">Q229-J229</f>
        <v>5.2999999999999992E-3</v>
      </c>
    </row>
    <row r="230" spans="1:22">
      <c r="A230" s="60"/>
      <c r="B230" s="61"/>
      <c r="C230" s="96" t="s">
        <v>56</v>
      </c>
      <c r="D230" s="84">
        <f>SUM(D206:D229)</f>
        <v>80120118418.338852</v>
      </c>
      <c r="E230" s="64">
        <f>(D230/$D$231)</f>
        <v>1.0442593273728575E-2</v>
      </c>
      <c r="F230" s="65"/>
      <c r="G230" s="99"/>
      <c r="H230" s="109">
        <f>SUM(H206:H229)</f>
        <v>40679</v>
      </c>
      <c r="I230" s="101"/>
      <c r="J230" s="101"/>
      <c r="K230" s="84">
        <f>SUM(K206:K229)</f>
        <v>79754070467.976181</v>
      </c>
      <c r="L230" s="64">
        <f>(K230/$K$231)</f>
        <v>1.0228313769207437E-2</v>
      </c>
      <c r="M230" s="65"/>
      <c r="N230" s="99"/>
      <c r="O230" s="67">
        <f>SUM(O206:O229)</f>
        <v>41311</v>
      </c>
      <c r="P230" s="101"/>
      <c r="Q230" s="101"/>
      <c r="R230" s="81">
        <f t="shared" si="139"/>
        <v>-4.5687395074903618E-3</v>
      </c>
      <c r="S230" s="81" t="e">
        <f t="shared" si="140"/>
        <v>#DIV/0!</v>
      </c>
      <c r="T230" s="81">
        <f t="shared" si="141"/>
        <v>1.5536271786425429E-2</v>
      </c>
      <c r="U230" s="81">
        <f t="shared" si="142"/>
        <v>0</v>
      </c>
      <c r="V230" s="82">
        <f t="shared" si="143"/>
        <v>0</v>
      </c>
    </row>
    <row r="231" spans="1:22">
      <c r="A231" s="110"/>
      <c r="B231" s="110"/>
      <c r="C231" s="111" t="s">
        <v>285</v>
      </c>
      <c r="D231" s="112">
        <f>SUM(D26,D72,D114,D156,D165,D197,D202,D230)</f>
        <v>7672435028174.9131</v>
      </c>
      <c r="E231" s="113"/>
      <c r="F231" s="113"/>
      <c r="G231" s="114"/>
      <c r="H231" s="112">
        <f>SUM(H26,H72,H114,H156,H165,H197,H202,H230)</f>
        <v>1100273</v>
      </c>
      <c r="I231" s="124"/>
      <c r="J231" s="124"/>
      <c r="K231" s="112">
        <f>SUM(K26,K72,K114,K156,K165,K197,K202,K230)</f>
        <v>7797382077589.1299</v>
      </c>
      <c r="L231" s="113"/>
      <c r="M231" s="113"/>
      <c r="N231" s="114"/>
      <c r="O231" s="112">
        <f>SUM(O26,O72,O114,O156,O165,O197,O202,O230)</f>
        <v>1114582</v>
      </c>
      <c r="P231" s="125"/>
      <c r="Q231" s="112"/>
      <c r="R231" s="129">
        <f t="shared" si="139"/>
        <v>1.628518833400127E-2</v>
      </c>
      <c r="S231" s="129"/>
      <c r="T231" s="129"/>
      <c r="U231" s="129"/>
      <c r="V231" s="129"/>
    </row>
    <row r="232" spans="1:22" ht="6.75" customHeight="1">
      <c r="A232" s="60"/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61"/>
    </row>
    <row r="233" spans="1:22" ht="14.4" customHeight="1">
      <c r="A233" s="190" t="s">
        <v>286</v>
      </c>
      <c r="B233" s="190"/>
      <c r="C233" s="190"/>
      <c r="D233" s="190"/>
      <c r="E233" s="190"/>
      <c r="F233" s="190"/>
      <c r="G233" s="190"/>
      <c r="H233" s="190"/>
      <c r="I233" s="190"/>
      <c r="J233" s="190"/>
      <c r="K233" s="190"/>
      <c r="L233" s="190"/>
      <c r="M233" s="190"/>
      <c r="N233" s="190"/>
      <c r="O233" s="190"/>
      <c r="P233" s="190"/>
      <c r="Q233" s="190"/>
      <c r="R233" s="190"/>
      <c r="S233" s="190"/>
      <c r="T233" s="190"/>
      <c r="U233" s="190"/>
      <c r="V233" s="190"/>
    </row>
    <row r="234" spans="1:22" ht="14.4" customHeight="1">
      <c r="A234" s="173">
        <v>1</v>
      </c>
      <c r="B234" s="170" t="s">
        <v>287</v>
      </c>
      <c r="C234" s="166" t="s">
        <v>24</v>
      </c>
      <c r="D234" s="57">
        <v>1880221615.3306942</v>
      </c>
      <c r="E234" s="52">
        <f t="shared" ref="E234:E237" si="172">(D234/$D$230)</f>
        <v>2.3467534153073923E-2</v>
      </c>
      <c r="F234" s="56">
        <v>1508.4729891699999</v>
      </c>
      <c r="G234" s="56">
        <v>1508.4729891699999</v>
      </c>
      <c r="H234" s="53">
        <v>50</v>
      </c>
      <c r="I234" s="75">
        <v>0.08</v>
      </c>
      <c r="J234" s="75">
        <v>6.4799999999999996E-2</v>
      </c>
      <c r="K234" s="57">
        <f>1303554.43*W137</f>
        <v>1865188118.7011969</v>
      </c>
      <c r="L234" s="52">
        <f>(K234/$K$239)</f>
        <v>9.9524657925458573E-2</v>
      </c>
      <c r="M234" s="56">
        <f>1.0458*W137</f>
        <v>1496.3807338200002</v>
      </c>
      <c r="N234" s="56">
        <f>1.0458*W137</f>
        <v>1496.3807338200002</v>
      </c>
      <c r="O234" s="53">
        <v>50</v>
      </c>
      <c r="P234" s="75">
        <v>7.4899999999999994E-2</v>
      </c>
      <c r="Q234" s="75">
        <v>6.4799999999999996E-2</v>
      </c>
      <c r="R234" s="81">
        <f t="shared" ref="R234" si="173">((K234-D234)/D234)</f>
        <v>-7.9955982352926998E-3</v>
      </c>
      <c r="S234" s="81">
        <f t="shared" ref="S234" si="174">((N234-G234)/G234)</f>
        <v>-8.01622265484064E-3</v>
      </c>
      <c r="T234" s="81">
        <f t="shared" ref="T234" si="175">((O234-H234)/H234)</f>
        <v>0</v>
      </c>
      <c r="U234" s="81">
        <f t="shared" ref="U234" si="176">P234-I234</f>
        <v>-5.1000000000000073E-3</v>
      </c>
      <c r="V234" s="82">
        <f t="shared" ref="V234" si="177">Q234-J234</f>
        <v>0</v>
      </c>
    </row>
    <row r="235" spans="1:22" ht="14.4" customHeight="1">
      <c r="A235" s="173">
        <v>2</v>
      </c>
      <c r="B235" s="170" t="s">
        <v>288</v>
      </c>
      <c r="C235" s="166" t="s">
        <v>216</v>
      </c>
      <c r="D235" s="57">
        <v>4169362077.09935</v>
      </c>
      <c r="E235" s="52">
        <f t="shared" ref="E235" si="178">(D235/$D$230)</f>
        <v>5.2038890598357083E-2</v>
      </c>
      <c r="F235" s="56">
        <v>123.2</v>
      </c>
      <c r="G235" s="56">
        <v>123.2</v>
      </c>
      <c r="H235" s="53">
        <v>9</v>
      </c>
      <c r="I235" s="75">
        <v>0.2407</v>
      </c>
      <c r="J235" s="75">
        <v>0.25609999999999999</v>
      </c>
      <c r="K235" s="57">
        <v>4121235456.77</v>
      </c>
      <c r="L235" s="52">
        <f>(K235/$K$239)</f>
        <v>0.21990519077020437</v>
      </c>
      <c r="M235" s="56">
        <v>123.2</v>
      </c>
      <c r="N235" s="56">
        <v>123.2</v>
      </c>
      <c r="O235" s="53">
        <v>9</v>
      </c>
      <c r="P235" s="75">
        <v>5.3E-3</v>
      </c>
      <c r="Q235" s="75">
        <v>0.18920000000000001</v>
      </c>
      <c r="R235" s="81">
        <f t="shared" ref="R235" si="179">((K235-D235)/D235)</f>
        <v>-1.1542921780214389E-2</v>
      </c>
      <c r="S235" s="81">
        <f t="shared" ref="S235" si="180">((N235-G235)/G235)</f>
        <v>0</v>
      </c>
      <c r="T235" s="81">
        <f t="shared" ref="T235" si="181">((O235-H235)/H235)</f>
        <v>0</v>
      </c>
      <c r="U235" s="81">
        <f t="shared" ref="U235" si="182">P235-I235</f>
        <v>-0.2354</v>
      </c>
      <c r="V235" s="82">
        <f t="shared" ref="V235" si="183">Q235-J235</f>
        <v>-6.6899999999999987E-2</v>
      </c>
    </row>
    <row r="236" spans="1:22" ht="14.4" customHeight="1">
      <c r="A236" s="173">
        <v>3</v>
      </c>
      <c r="B236" s="170" t="s">
        <v>289</v>
      </c>
      <c r="C236" s="166" t="s">
        <v>32</v>
      </c>
      <c r="D236" s="57">
        <v>715287248.57707298</v>
      </c>
      <c r="E236" s="52">
        <f>(D236/$D$230)</f>
        <v>8.9276858633966956E-3</v>
      </c>
      <c r="F236" s="56">
        <v>161051.972186</v>
      </c>
      <c r="G236" s="56">
        <v>161051.972186</v>
      </c>
      <c r="H236" s="53">
        <v>7</v>
      </c>
      <c r="I236" s="75">
        <v>8.9999999999999998E-4</v>
      </c>
      <c r="J236" s="75">
        <v>0.1158</v>
      </c>
      <c r="K236" s="57">
        <f>496820.17*W137</f>
        <v>710874096.92214298</v>
      </c>
      <c r="L236" s="52">
        <f>(K236/$K$239)</f>
        <v>3.7931563371479765E-2</v>
      </c>
      <c r="M236" s="56">
        <f>111.86*W137</f>
        <v>160054.646094</v>
      </c>
      <c r="N236" s="56">
        <f>111.86*W137</f>
        <v>160054.646094</v>
      </c>
      <c r="O236" s="53">
        <v>7</v>
      </c>
      <c r="P236" s="75">
        <v>2.2000000000000001E-3</v>
      </c>
      <c r="Q236" s="75">
        <v>5.9999999999999995E-4</v>
      </c>
      <c r="R236" s="81">
        <f t="shared" ref="R236:R237" si="184">((K236-D236)/D236)</f>
        <v>-6.169761398248208E-3</v>
      </c>
      <c r="S236" s="81">
        <f t="shared" ref="S236:S237" si="185">((N236-G236)/G236)</f>
        <v>-6.1925729841307651E-3</v>
      </c>
      <c r="T236" s="81">
        <f t="shared" ref="T236:T237" si="186">((O236-H236)/H236)</f>
        <v>0</v>
      </c>
      <c r="U236" s="81">
        <f t="shared" ref="U236:U237" si="187">P236-I236</f>
        <v>1.3000000000000002E-3</v>
      </c>
      <c r="V236" s="82">
        <f t="shared" ref="V236:V237" si="188">Q236-J236</f>
        <v>-0.1152</v>
      </c>
    </row>
    <row r="237" spans="1:22" ht="14.4" customHeight="1">
      <c r="A237" s="173">
        <v>4</v>
      </c>
      <c r="B237" s="170" t="s">
        <v>290</v>
      </c>
      <c r="C237" s="166" t="s">
        <v>42</v>
      </c>
      <c r="D237" s="57">
        <v>11809917000.030001</v>
      </c>
      <c r="E237" s="52">
        <f t="shared" si="172"/>
        <v>0.14740264035015213</v>
      </c>
      <c r="F237" s="56">
        <v>1.28</v>
      </c>
      <c r="G237" s="56">
        <v>1.28</v>
      </c>
      <c r="H237" s="53">
        <v>16</v>
      </c>
      <c r="I237" s="75">
        <v>1.9199999999999998E-2</v>
      </c>
      <c r="J237" s="75">
        <v>0.2278</v>
      </c>
      <c r="K237" s="57">
        <v>11870779356.99</v>
      </c>
      <c r="L237" s="52">
        <f>(K237/$K$239)</f>
        <v>0.63341345731695109</v>
      </c>
      <c r="M237" s="56">
        <v>1.28</v>
      </c>
      <c r="N237" s="56">
        <v>1.28</v>
      </c>
      <c r="O237" s="53">
        <v>16</v>
      </c>
      <c r="P237" s="75">
        <v>3.0499999999999999E-2</v>
      </c>
      <c r="Q237" s="75">
        <v>8.6499999999999994E-2</v>
      </c>
      <c r="R237" s="81">
        <f t="shared" si="184"/>
        <v>5.1534957408967798E-3</v>
      </c>
      <c r="S237" s="81">
        <f t="shared" si="185"/>
        <v>0</v>
      </c>
      <c r="T237" s="81">
        <f t="shared" si="186"/>
        <v>0</v>
      </c>
      <c r="U237" s="81">
        <f t="shared" si="187"/>
        <v>1.1300000000000001E-2</v>
      </c>
      <c r="V237" s="82">
        <f t="shared" si="188"/>
        <v>-0.14130000000000001</v>
      </c>
    </row>
    <row r="238" spans="1:22" ht="14.4" customHeight="1">
      <c r="A238" s="173">
        <v>5</v>
      </c>
      <c r="B238" s="170" t="s">
        <v>291</v>
      </c>
      <c r="C238" s="166" t="s">
        <v>53</v>
      </c>
      <c r="D238" s="57">
        <v>172108248.49000001</v>
      </c>
      <c r="E238" s="52">
        <f t="shared" ref="E238" si="189">(D238/$D$230)</f>
        <v>2.1481277348013232E-3</v>
      </c>
      <c r="F238" s="56">
        <v>1.1258999999999999</v>
      </c>
      <c r="G238" s="56">
        <v>1.1258999999999999</v>
      </c>
      <c r="H238" s="53">
        <v>15</v>
      </c>
      <c r="I238" s="75">
        <v>1.3299999999999999E-2</v>
      </c>
      <c r="J238" s="75">
        <v>0.12620000000000001</v>
      </c>
      <c r="K238" s="57">
        <v>172887848.87</v>
      </c>
      <c r="L238" s="52">
        <f>(K238/$K$239)</f>
        <v>9.225130615906324E-3</v>
      </c>
      <c r="M238" s="56">
        <v>1.131</v>
      </c>
      <c r="N238" s="56">
        <v>1.131</v>
      </c>
      <c r="O238" s="53">
        <v>15</v>
      </c>
      <c r="P238" s="75">
        <v>4.1999999999999997E-3</v>
      </c>
      <c r="Q238" s="75">
        <v>1.43E-2</v>
      </c>
      <c r="R238" s="81">
        <f t="shared" ref="R238:R239" si="190">((K238-D238)/D238)</f>
        <v>4.5297095684829558E-3</v>
      </c>
      <c r="S238" s="81">
        <f t="shared" ref="S238" si="191">((N238-G238)/G238)</f>
        <v>4.5297095656808822E-3</v>
      </c>
      <c r="T238" s="81">
        <f t="shared" ref="T238" si="192">((O238-H238)/H238)</f>
        <v>0</v>
      </c>
      <c r="U238" s="81">
        <f t="shared" ref="U238" si="193">P238-I238</f>
        <v>-9.1000000000000004E-3</v>
      </c>
      <c r="V238" s="82">
        <f t="shared" ref="V238" si="194">Q238-J238</f>
        <v>-0.1119</v>
      </c>
    </row>
    <row r="239" spans="1:22" ht="14.4" customHeight="1">
      <c r="A239" s="115"/>
      <c r="B239" s="115"/>
      <c r="C239" s="115" t="s">
        <v>56</v>
      </c>
      <c r="D239" s="115">
        <f>SUM(D234:D238)</f>
        <v>18746896189.527119</v>
      </c>
      <c r="E239" s="115"/>
      <c r="F239" s="115"/>
      <c r="G239" s="115"/>
      <c r="H239" s="115">
        <f>SUM(H234:H238)</f>
        <v>97</v>
      </c>
      <c r="I239" s="115"/>
      <c r="J239" s="115"/>
      <c r="K239" s="115">
        <f>SUM(K234:K238)</f>
        <v>18740964878.253338</v>
      </c>
      <c r="L239" s="64"/>
      <c r="M239" s="115"/>
      <c r="N239" s="115"/>
      <c r="O239" s="115">
        <f>SUM(O234:O238)</f>
        <v>97</v>
      </c>
      <c r="P239" s="115"/>
      <c r="Q239" s="115"/>
      <c r="R239" s="129">
        <f t="shared" si="190"/>
        <v>-3.163889752104312E-4</v>
      </c>
      <c r="S239" s="115"/>
      <c r="T239" s="115"/>
      <c r="U239" s="115"/>
      <c r="V239" s="115"/>
    </row>
    <row r="240" spans="1:22" ht="6" customHeight="1">
      <c r="A240" s="60"/>
      <c r="B240" s="68"/>
      <c r="C240" s="96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1"/>
    </row>
    <row r="241" spans="1:22" ht="15.6">
      <c r="A241" s="190" t="s">
        <v>292</v>
      </c>
      <c r="B241" s="190"/>
      <c r="C241" s="190"/>
      <c r="D241" s="190"/>
      <c r="E241" s="190"/>
      <c r="F241" s="190"/>
      <c r="G241" s="190"/>
      <c r="H241" s="190"/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</row>
    <row r="242" spans="1:22">
      <c r="A242" s="173">
        <v>1</v>
      </c>
      <c r="B242" s="170" t="s">
        <v>293</v>
      </c>
      <c r="C242" s="166" t="s">
        <v>294</v>
      </c>
      <c r="D242" s="57">
        <v>133144840826</v>
      </c>
      <c r="E242" s="52">
        <f>(D242/$D$244)</f>
        <v>0.89690436484740066</v>
      </c>
      <c r="F242" s="85">
        <v>108.35</v>
      </c>
      <c r="G242" s="85">
        <v>108.35</v>
      </c>
      <c r="H242" s="53">
        <v>0</v>
      </c>
      <c r="I242" s="75">
        <v>0.18099999999999999</v>
      </c>
      <c r="J242" s="75">
        <v>0.18099999999999999</v>
      </c>
      <c r="K242" s="57">
        <v>133144840826</v>
      </c>
      <c r="L242" s="52">
        <f>(K242/$K$244)</f>
        <v>0.89680351975540151</v>
      </c>
      <c r="M242" s="85">
        <v>108.35</v>
      </c>
      <c r="N242" s="85">
        <v>108.35</v>
      </c>
      <c r="O242" s="53">
        <v>0</v>
      </c>
      <c r="P242" s="75">
        <v>0.18099999999999999</v>
      </c>
      <c r="Q242" s="75">
        <v>0.18099999999999999</v>
      </c>
      <c r="R242" s="81">
        <f>((K242-D242)/D242)</f>
        <v>0</v>
      </c>
      <c r="S242" s="81">
        <f>((N242-G242)/G242)</f>
        <v>0</v>
      </c>
      <c r="T242" s="81" t="e">
        <f>((O242-H242)/H242)</f>
        <v>#DIV/0!</v>
      </c>
      <c r="U242" s="81">
        <f>P242-I242</f>
        <v>0</v>
      </c>
      <c r="V242" s="82">
        <f>Q242-J242</f>
        <v>0</v>
      </c>
    </row>
    <row r="243" spans="1:22" ht="14.4" customHeight="1">
      <c r="A243" s="173">
        <v>2</v>
      </c>
      <c r="B243" s="170" t="s">
        <v>295</v>
      </c>
      <c r="C243" s="166" t="s">
        <v>53</v>
      </c>
      <c r="D243" s="57">
        <v>15304476675.82</v>
      </c>
      <c r="E243" s="52">
        <f>(D243/$D$244)</f>
        <v>0.10309563515259923</v>
      </c>
      <c r="F243" s="116">
        <v>1000000</v>
      </c>
      <c r="G243" s="116">
        <v>1000000</v>
      </c>
      <c r="H243" s="53">
        <v>26</v>
      </c>
      <c r="I243" s="75">
        <v>0.2084</v>
      </c>
      <c r="J243" s="75">
        <v>0.2084</v>
      </c>
      <c r="K243" s="57">
        <v>15321169724.799999</v>
      </c>
      <c r="L243" s="52">
        <f>(K243/$K$244)</f>
        <v>0.10319648024459861</v>
      </c>
      <c r="M243" s="116">
        <v>1000000</v>
      </c>
      <c r="N243" s="116">
        <v>1000000</v>
      </c>
      <c r="O243" s="53">
        <v>26</v>
      </c>
      <c r="P243" s="75">
        <v>2.0999999999999999E-3</v>
      </c>
      <c r="Q243" s="75">
        <v>0.20580000000000001</v>
      </c>
      <c r="R243" s="81">
        <f>((K243-D243)/D243)</f>
        <v>1.0907298128248573E-3</v>
      </c>
      <c r="S243" s="81">
        <f>((N243-G243)/G243)</f>
        <v>0</v>
      </c>
      <c r="T243" s="81">
        <f>((O243-H243)/H243)</f>
        <v>0</v>
      </c>
      <c r="U243" s="81">
        <f>P243-I243</f>
        <v>-0.20630000000000001</v>
      </c>
      <c r="V243" s="82">
        <f>Q243-J243</f>
        <v>-2.5999999999999912E-3</v>
      </c>
    </row>
    <row r="244" spans="1:22" ht="15" customHeight="1">
      <c r="A244" s="110"/>
      <c r="B244" s="110"/>
      <c r="C244" s="111" t="s">
        <v>296</v>
      </c>
      <c r="D244" s="115">
        <f>SUM(D242:D243)</f>
        <v>148449317501.82001</v>
      </c>
      <c r="E244" s="117"/>
      <c r="F244" s="118"/>
      <c r="G244" s="118"/>
      <c r="H244" s="115">
        <f>SUM(H242:H243)</f>
        <v>26</v>
      </c>
      <c r="I244" s="126"/>
      <c r="J244" s="126"/>
      <c r="K244" s="115">
        <f>SUM(K242:K243)</f>
        <v>148466010550.79999</v>
      </c>
      <c r="L244" s="117"/>
      <c r="M244" s="118"/>
      <c r="N244" s="118"/>
      <c r="O244" s="115">
        <f>SUM(O242:O243)</f>
        <v>26</v>
      </c>
      <c r="P244" s="126"/>
      <c r="Q244" s="115"/>
      <c r="R244" s="129">
        <f>((K244-D244)/D244)</f>
        <v>1.1244948283292586E-4</v>
      </c>
      <c r="S244" s="130"/>
      <c r="T244" s="130"/>
      <c r="U244" s="129"/>
      <c r="V244" s="131"/>
    </row>
    <row r="245" spans="1:22" ht="4.5" customHeight="1">
      <c r="A245" s="60"/>
      <c r="B245" s="191"/>
      <c r="C245" s="191"/>
      <c r="D245" s="191"/>
      <c r="E245" s="191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</row>
    <row r="246" spans="1:22" ht="15.6">
      <c r="A246" s="190" t="s">
        <v>297</v>
      </c>
      <c r="B246" s="190"/>
      <c r="C246" s="190"/>
      <c r="D246" s="190"/>
      <c r="E246" s="190"/>
      <c r="F246" s="190"/>
      <c r="G246" s="190"/>
      <c r="H246" s="190"/>
      <c r="I246" s="190"/>
      <c r="J246" s="190"/>
      <c r="K246" s="190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</row>
    <row r="247" spans="1:22">
      <c r="A247" s="173">
        <v>1</v>
      </c>
      <c r="B247" s="170" t="s">
        <v>298</v>
      </c>
      <c r="C247" s="166" t="s">
        <v>94</v>
      </c>
      <c r="D247" s="119">
        <v>1442573446.1300001</v>
      </c>
      <c r="E247" s="120">
        <f t="shared" ref="E247:E258" si="195">(D247/$D$259)</f>
        <v>7.9778790504455271E-2</v>
      </c>
      <c r="F247" s="116">
        <v>352.48</v>
      </c>
      <c r="G247" s="116">
        <v>352.48</v>
      </c>
      <c r="H247" s="121">
        <v>266</v>
      </c>
      <c r="I247" s="77">
        <v>-2.9999999999999997E-4</v>
      </c>
      <c r="J247" s="77">
        <v>0.4456</v>
      </c>
      <c r="K247" s="119">
        <v>1444369840.23</v>
      </c>
      <c r="L247" s="120">
        <f t="shared" ref="L247:L258" si="196">(K247/$K$259)</f>
        <v>7.8950364479492052E-2</v>
      </c>
      <c r="M247" s="116">
        <v>352.92</v>
      </c>
      <c r="N247" s="116">
        <v>352.92</v>
      </c>
      <c r="O247" s="121">
        <v>266</v>
      </c>
      <c r="P247" s="77">
        <v>1.4E-3</v>
      </c>
      <c r="Q247" s="77">
        <v>-2.0000000000000001E-4</v>
      </c>
      <c r="R247" s="81">
        <f>((K247-D247)/D247)</f>
        <v>1.2452704607998305E-3</v>
      </c>
      <c r="S247" s="81">
        <f>((N247-G247)/G247)</f>
        <v>1.2482977757603203E-3</v>
      </c>
      <c r="T247" s="81">
        <f>((O247-H247)/H247)</f>
        <v>0</v>
      </c>
      <c r="U247" s="81">
        <f>P247-I247</f>
        <v>1.6999999999999999E-3</v>
      </c>
      <c r="V247" s="82">
        <f>Q247-J247</f>
        <v>-0.44579999999999997</v>
      </c>
    </row>
    <row r="248" spans="1:22">
      <c r="A248" s="173">
        <v>2</v>
      </c>
      <c r="B248" s="170" t="s">
        <v>299</v>
      </c>
      <c r="C248" s="166" t="s">
        <v>260</v>
      </c>
      <c r="D248" s="119">
        <v>2036512240.25</v>
      </c>
      <c r="E248" s="120">
        <f t="shared" si="195"/>
        <v>0.11262544989339995</v>
      </c>
      <c r="F248" s="116">
        <v>57.92</v>
      </c>
      <c r="G248" s="116">
        <v>64.02</v>
      </c>
      <c r="H248" s="121">
        <v>547</v>
      </c>
      <c r="I248" s="77">
        <v>-6.3E-3</v>
      </c>
      <c r="J248" s="77">
        <v>0.88949999999999996</v>
      </c>
      <c r="K248" s="119">
        <v>2082212079.02</v>
      </c>
      <c r="L248" s="120">
        <f t="shared" si="196"/>
        <v>0.11381531099822215</v>
      </c>
      <c r="M248" s="116">
        <v>59.22</v>
      </c>
      <c r="N248" s="116">
        <v>65.459999999999994</v>
      </c>
      <c r="O248" s="121">
        <v>547</v>
      </c>
      <c r="P248" s="77">
        <v>8.9999999999999998E-4</v>
      </c>
      <c r="Q248" s="77">
        <v>8.9999999999999998E-4</v>
      </c>
      <c r="R248" s="81">
        <f t="shared" ref="R248:R259" si="197">((K248-D248)/D248)</f>
        <v>2.2440247530449372E-2</v>
      </c>
      <c r="S248" s="81">
        <f t="shared" ref="S248:S259" si="198">((N248-G248)/G248)</f>
        <v>2.249297094657916E-2</v>
      </c>
      <c r="T248" s="81">
        <f t="shared" ref="T248:T259" si="199">((O248-H248)/H248)</f>
        <v>0</v>
      </c>
      <c r="U248" s="81">
        <f t="shared" ref="U248:U259" si="200">P248-I248</f>
        <v>7.1999999999999998E-3</v>
      </c>
      <c r="V248" s="82">
        <f t="shared" ref="V248:V259" si="201">Q248-J248</f>
        <v>-0.88859999999999995</v>
      </c>
    </row>
    <row r="249" spans="1:22">
      <c r="A249" s="173">
        <v>3</v>
      </c>
      <c r="B249" s="170" t="s">
        <v>300</v>
      </c>
      <c r="C249" s="166" t="s">
        <v>44</v>
      </c>
      <c r="D249" s="119">
        <v>474894245.50999999</v>
      </c>
      <c r="E249" s="120">
        <f t="shared" si="195"/>
        <v>2.626312623870343E-2</v>
      </c>
      <c r="F249" s="116">
        <v>39.57</v>
      </c>
      <c r="G249" s="116">
        <v>39.92</v>
      </c>
      <c r="H249" s="121">
        <v>218</v>
      </c>
      <c r="I249" s="77">
        <v>1.3299999999999999E-2</v>
      </c>
      <c r="J249" s="77">
        <v>0.23899999999999999</v>
      </c>
      <c r="K249" s="119">
        <v>485253962.30000001</v>
      </c>
      <c r="L249" s="120">
        <f t="shared" si="196"/>
        <v>2.6524354165829225E-2</v>
      </c>
      <c r="M249" s="116">
        <v>40.428215000000002</v>
      </c>
      <c r="N249" s="116">
        <v>40.793002000000001</v>
      </c>
      <c r="O249" s="121">
        <v>218</v>
      </c>
      <c r="P249" s="77">
        <v>5.5999999999999999E-3</v>
      </c>
      <c r="Q249" s="77">
        <v>0.10970000000000001</v>
      </c>
      <c r="R249" s="81">
        <f t="shared" si="197"/>
        <v>2.1814786950880991E-2</v>
      </c>
      <c r="S249" s="81">
        <f t="shared" si="198"/>
        <v>2.1868787575150289E-2</v>
      </c>
      <c r="T249" s="81">
        <f t="shared" si="199"/>
        <v>0</v>
      </c>
      <c r="U249" s="81">
        <f t="shared" si="200"/>
        <v>-7.6999999999999994E-3</v>
      </c>
      <c r="V249" s="82">
        <f t="shared" si="201"/>
        <v>-0.12929999999999997</v>
      </c>
    </row>
    <row r="250" spans="1:22">
      <c r="A250" s="173">
        <v>4</v>
      </c>
      <c r="B250" s="170" t="s">
        <v>301</v>
      </c>
      <c r="C250" s="166" t="s">
        <v>44</v>
      </c>
      <c r="D250" s="119">
        <v>975591288.78999996</v>
      </c>
      <c r="E250" s="120">
        <f t="shared" si="195"/>
        <v>5.3953227307176568E-2</v>
      </c>
      <c r="F250" s="116">
        <v>82.84</v>
      </c>
      <c r="G250" s="116">
        <v>83.29</v>
      </c>
      <c r="H250" s="121">
        <v>261</v>
      </c>
      <c r="I250" s="77">
        <v>-2.7000000000000001E-3</v>
      </c>
      <c r="J250" s="77">
        <v>0.1036</v>
      </c>
      <c r="K250" s="119">
        <v>981009393.29999995</v>
      </c>
      <c r="L250" s="120">
        <f t="shared" si="196"/>
        <v>5.3622726674012473E-2</v>
      </c>
      <c r="M250" s="116">
        <v>83.302661000000001</v>
      </c>
      <c r="N250" s="116">
        <v>83.774466000000004</v>
      </c>
      <c r="O250" s="121">
        <v>261</v>
      </c>
      <c r="P250" s="77">
        <v>2.18E-2</v>
      </c>
      <c r="Q250" s="77">
        <v>0.2661</v>
      </c>
      <c r="R250" s="81">
        <f t="shared" si="197"/>
        <v>5.5536622479685337E-3</v>
      </c>
      <c r="S250" s="81">
        <f t="shared" si="198"/>
        <v>5.8166166406531106E-3</v>
      </c>
      <c r="T250" s="81">
        <f t="shared" si="199"/>
        <v>0</v>
      </c>
      <c r="U250" s="81">
        <f t="shared" si="200"/>
        <v>2.4500000000000001E-2</v>
      </c>
      <c r="V250" s="82">
        <f t="shared" si="201"/>
        <v>0.16250000000000001</v>
      </c>
    </row>
    <row r="251" spans="1:22">
      <c r="A251" s="173">
        <v>5</v>
      </c>
      <c r="B251" s="170" t="s">
        <v>302</v>
      </c>
      <c r="C251" s="166" t="s">
        <v>303</v>
      </c>
      <c r="D251" s="119">
        <v>2011022716.5599999</v>
      </c>
      <c r="E251" s="120">
        <f t="shared" si="195"/>
        <v>0.11121580009291443</v>
      </c>
      <c r="F251" s="116">
        <v>58700</v>
      </c>
      <c r="G251" s="116">
        <v>62455</v>
      </c>
      <c r="H251" s="121">
        <v>320</v>
      </c>
      <c r="I251" s="77">
        <v>1.6E-2</v>
      </c>
      <c r="J251" s="77">
        <v>0.6</v>
      </c>
      <c r="K251" s="119">
        <v>1941665474.3299999</v>
      </c>
      <c r="L251" s="120">
        <f t="shared" si="196"/>
        <v>0.10613292567171627</v>
      </c>
      <c r="M251" s="116">
        <v>57312</v>
      </c>
      <c r="N251" s="116">
        <v>61906</v>
      </c>
      <c r="O251" s="121">
        <v>320</v>
      </c>
      <c r="P251" s="77">
        <v>-3.4000000000000002E-2</v>
      </c>
      <c r="Q251" s="77">
        <v>0.54</v>
      </c>
      <c r="R251" s="81">
        <f t="shared" si="197"/>
        <v>-3.4488542401271631E-2</v>
      </c>
      <c r="S251" s="81">
        <f t="shared" si="198"/>
        <v>-8.7903290369065728E-3</v>
      </c>
      <c r="T251" s="81">
        <f t="shared" si="199"/>
        <v>0</v>
      </c>
      <c r="U251" s="81">
        <f t="shared" si="200"/>
        <v>-0.05</v>
      </c>
      <c r="V251" s="82">
        <f t="shared" si="201"/>
        <v>-5.9999999999999942E-2</v>
      </c>
    </row>
    <row r="252" spans="1:22">
      <c r="A252" s="173">
        <v>6</v>
      </c>
      <c r="B252" s="170" t="s">
        <v>304</v>
      </c>
      <c r="C252" s="166" t="s">
        <v>305</v>
      </c>
      <c r="D252" s="119">
        <v>934838766.41999996</v>
      </c>
      <c r="E252" s="120">
        <f t="shared" si="195"/>
        <v>5.1699486290796196E-2</v>
      </c>
      <c r="F252" s="116">
        <v>1497.05</v>
      </c>
      <c r="G252" s="116">
        <v>1497.05</v>
      </c>
      <c r="H252" s="121">
        <v>174</v>
      </c>
      <c r="I252" s="77">
        <v>-5.0000000000000001E-4</v>
      </c>
      <c r="J252" s="77">
        <v>0.44550000000000001</v>
      </c>
      <c r="K252" s="119">
        <v>958438320.59000003</v>
      </c>
      <c r="L252" s="120">
        <f t="shared" si="196"/>
        <v>5.2388974509218006E-2</v>
      </c>
      <c r="M252" s="116">
        <v>1954</v>
      </c>
      <c r="N252" s="116">
        <v>1954</v>
      </c>
      <c r="O252" s="121">
        <v>174</v>
      </c>
      <c r="P252" s="77">
        <v>2.53E-2</v>
      </c>
      <c r="Q252" s="77">
        <v>4.65E-2</v>
      </c>
      <c r="R252" s="81">
        <f t="shared" si="197"/>
        <v>2.52445181112626E-2</v>
      </c>
      <c r="S252" s="81">
        <f t="shared" si="198"/>
        <v>0.30523362613139177</v>
      </c>
      <c r="T252" s="81">
        <f t="shared" si="199"/>
        <v>0</v>
      </c>
      <c r="U252" s="81">
        <f t="shared" si="200"/>
        <v>2.58E-2</v>
      </c>
      <c r="V252" s="82">
        <f t="shared" si="201"/>
        <v>-0.39900000000000002</v>
      </c>
    </row>
    <row r="253" spans="1:22">
      <c r="A253" s="173">
        <v>7</v>
      </c>
      <c r="B253" s="170" t="s">
        <v>306</v>
      </c>
      <c r="C253" s="166" t="s">
        <v>305</v>
      </c>
      <c r="D253" s="119">
        <v>1050298419.46</v>
      </c>
      <c r="E253" s="120">
        <f t="shared" si="195"/>
        <v>5.8084763585554589E-2</v>
      </c>
      <c r="F253" s="116">
        <v>729.01</v>
      </c>
      <c r="G253" s="116">
        <v>729.01</v>
      </c>
      <c r="H253" s="121">
        <v>1793</v>
      </c>
      <c r="I253" s="77">
        <v>5.5999999999999999E-3</v>
      </c>
      <c r="J253" s="77">
        <v>0.44900000000000001</v>
      </c>
      <c r="K253" s="119">
        <v>1070978827.6900001</v>
      </c>
      <c r="L253" s="120">
        <f t="shared" si="196"/>
        <v>5.8540525037881083E-2</v>
      </c>
      <c r="M253" s="116">
        <v>1066.1400000000001</v>
      </c>
      <c r="N253" s="116">
        <v>1066.1400000000001</v>
      </c>
      <c r="O253" s="121">
        <v>1793</v>
      </c>
      <c r="P253" s="77">
        <v>1.9699999999999999E-2</v>
      </c>
      <c r="Q253" s="77">
        <v>1.9400000000000001E-2</v>
      </c>
      <c r="R253" s="81">
        <f t="shared" si="197"/>
        <v>1.9690030801562699E-2</v>
      </c>
      <c r="S253" s="81">
        <f t="shared" si="198"/>
        <v>0.46244907477263703</v>
      </c>
      <c r="T253" s="81">
        <f t="shared" si="199"/>
        <v>0</v>
      </c>
      <c r="U253" s="81">
        <f t="shared" si="200"/>
        <v>1.4099999999999998E-2</v>
      </c>
      <c r="V253" s="82">
        <f t="shared" si="201"/>
        <v>-0.42959999999999998</v>
      </c>
    </row>
    <row r="254" spans="1:22">
      <c r="A254" s="173">
        <v>8</v>
      </c>
      <c r="B254" s="170" t="s">
        <v>307</v>
      </c>
      <c r="C254" s="166" t="s">
        <v>308</v>
      </c>
      <c r="D254" s="119">
        <v>175101241.47</v>
      </c>
      <c r="E254" s="120">
        <f t="shared" si="195"/>
        <v>9.6836423114406121E-3</v>
      </c>
      <c r="F254" s="116">
        <v>38.46</v>
      </c>
      <c r="G254" s="116">
        <v>38.56</v>
      </c>
      <c r="H254" s="121">
        <v>312</v>
      </c>
      <c r="I254" s="77">
        <v>8.3799999999999999E-2</v>
      </c>
      <c r="J254" s="77">
        <v>1.1801999999999999</v>
      </c>
      <c r="K254" s="119">
        <v>181354169.63999999</v>
      </c>
      <c r="L254" s="120">
        <f t="shared" si="196"/>
        <v>9.9129581594376483E-3</v>
      </c>
      <c r="M254" s="116">
        <v>39.79</v>
      </c>
      <c r="N254" s="116">
        <v>39.89</v>
      </c>
      <c r="O254" s="121">
        <v>313</v>
      </c>
      <c r="P254" s="77">
        <v>0.04</v>
      </c>
      <c r="Q254" s="77">
        <v>0</v>
      </c>
      <c r="R254" s="81">
        <f t="shared" si="197"/>
        <v>3.5710358861569223E-2</v>
      </c>
      <c r="S254" s="81">
        <f t="shared" si="198"/>
        <v>3.4491701244813232E-2</v>
      </c>
      <c r="T254" s="81">
        <f t="shared" si="199"/>
        <v>3.205128205128205E-3</v>
      </c>
      <c r="U254" s="81">
        <f t="shared" si="200"/>
        <v>-4.3799999999999999E-2</v>
      </c>
      <c r="V254" s="82">
        <f t="shared" si="201"/>
        <v>-1.1801999999999999</v>
      </c>
    </row>
    <row r="255" spans="1:22">
      <c r="A255" s="173">
        <v>9</v>
      </c>
      <c r="B255" s="170" t="s">
        <v>309</v>
      </c>
      <c r="C255" s="166" t="s">
        <v>308</v>
      </c>
      <c r="D255" s="122">
        <v>923325686.61000001</v>
      </c>
      <c r="E255" s="120">
        <f t="shared" si="195"/>
        <v>5.1062777231242161E-2</v>
      </c>
      <c r="F255" s="116">
        <v>15.01</v>
      </c>
      <c r="G255" s="116">
        <v>15.11</v>
      </c>
      <c r="H255" s="121">
        <v>404</v>
      </c>
      <c r="I255" s="77">
        <v>-1.41E-2</v>
      </c>
      <c r="J255" s="77">
        <v>0.28439999999999999</v>
      </c>
      <c r="K255" s="122">
        <v>951216882.70000005</v>
      </c>
      <c r="L255" s="120">
        <f t="shared" si="196"/>
        <v>5.1994245169403812E-2</v>
      </c>
      <c r="M255" s="116">
        <v>15.46</v>
      </c>
      <c r="N255" s="116">
        <v>15.56</v>
      </c>
      <c r="O255" s="121">
        <v>409</v>
      </c>
      <c r="P255" s="77">
        <v>3.5700000000000003E-2</v>
      </c>
      <c r="Q255" s="77">
        <v>-3.3300000000000003E-2</v>
      </c>
      <c r="R255" s="81">
        <f t="shared" si="197"/>
        <v>3.0207321744078034E-2</v>
      </c>
      <c r="S255" s="81">
        <f t="shared" si="198"/>
        <v>2.9781601588352156E-2</v>
      </c>
      <c r="T255" s="81">
        <f t="shared" si="199"/>
        <v>1.2376237623762377E-2</v>
      </c>
      <c r="U255" s="81">
        <f t="shared" si="200"/>
        <v>4.9800000000000004E-2</v>
      </c>
      <c r="V255" s="82">
        <f t="shared" si="201"/>
        <v>-0.31769999999999998</v>
      </c>
    </row>
    <row r="256" spans="1:22" ht="15" customHeight="1">
      <c r="A256" s="173">
        <v>10</v>
      </c>
      <c r="B256" s="170" t="s">
        <v>310</v>
      </c>
      <c r="C256" s="166" t="s">
        <v>308</v>
      </c>
      <c r="D256" s="119">
        <v>147178943.36000001</v>
      </c>
      <c r="E256" s="120">
        <f t="shared" si="195"/>
        <v>8.1394525321980722E-3</v>
      </c>
      <c r="F256" s="116">
        <v>142.44</v>
      </c>
      <c r="G256" s="116">
        <v>144.44</v>
      </c>
      <c r="H256" s="121">
        <v>407</v>
      </c>
      <c r="I256" s="77">
        <v>3.7100000000000001E-2</v>
      </c>
      <c r="J256" s="77">
        <v>6.2399999999999997E-2</v>
      </c>
      <c r="K256" s="119">
        <v>150191412.72999999</v>
      </c>
      <c r="L256" s="120">
        <f t="shared" si="196"/>
        <v>8.2095779394252087E-3</v>
      </c>
      <c r="M256" s="116">
        <v>145.37</v>
      </c>
      <c r="N256" s="116">
        <v>147.37</v>
      </c>
      <c r="O256" s="121">
        <v>407</v>
      </c>
      <c r="P256" s="77">
        <v>-8.1699999999999995E-2</v>
      </c>
      <c r="Q256" s="77">
        <v>-7.6200000000000004E-2</v>
      </c>
      <c r="R256" s="81">
        <f t="shared" si="197"/>
        <v>2.0468073089989974E-2</v>
      </c>
      <c r="S256" s="81">
        <f t="shared" si="198"/>
        <v>2.0285239545832227E-2</v>
      </c>
      <c r="T256" s="81">
        <f t="shared" si="199"/>
        <v>0</v>
      </c>
      <c r="U256" s="81">
        <f t="shared" si="200"/>
        <v>-0.11879999999999999</v>
      </c>
      <c r="V256" s="82">
        <f t="shared" si="201"/>
        <v>-0.1386</v>
      </c>
    </row>
    <row r="257" spans="1:26">
      <c r="A257" s="173">
        <v>11</v>
      </c>
      <c r="B257" s="170" t="s">
        <v>311</v>
      </c>
      <c r="C257" s="166" t="s">
        <v>308</v>
      </c>
      <c r="D257" s="119">
        <v>7812460516.0200005</v>
      </c>
      <c r="E257" s="120">
        <f t="shared" si="195"/>
        <v>0.43205332283353365</v>
      </c>
      <c r="F257" s="116">
        <v>56.23</v>
      </c>
      <c r="G257" s="116">
        <v>56.43</v>
      </c>
      <c r="H257" s="121">
        <v>813</v>
      </c>
      <c r="I257" s="77">
        <v>0</v>
      </c>
      <c r="J257" s="77">
        <v>0.56910000000000005</v>
      </c>
      <c r="K257" s="119">
        <v>7948598628.8500004</v>
      </c>
      <c r="L257" s="120">
        <f t="shared" si="196"/>
        <v>0.43447650412651145</v>
      </c>
      <c r="M257" s="116">
        <v>57.26</v>
      </c>
      <c r="N257" s="116">
        <v>57.46</v>
      </c>
      <c r="O257" s="121">
        <v>818</v>
      </c>
      <c r="P257" s="77">
        <v>-6.7799999999999999E-2</v>
      </c>
      <c r="Q257" s="77">
        <v>1.83E-2</v>
      </c>
      <c r="R257" s="81">
        <f t="shared" si="197"/>
        <v>1.742576651118289E-2</v>
      </c>
      <c r="S257" s="81">
        <f t="shared" si="198"/>
        <v>1.8252702463228798E-2</v>
      </c>
      <c r="T257" s="81">
        <f t="shared" si="199"/>
        <v>6.1500615006150061E-3</v>
      </c>
      <c r="U257" s="81">
        <f t="shared" si="200"/>
        <v>-6.7799999999999999E-2</v>
      </c>
      <c r="V257" s="82">
        <f t="shared" si="201"/>
        <v>-0.55080000000000007</v>
      </c>
    </row>
    <row r="258" spans="1:26">
      <c r="A258" s="173">
        <v>12</v>
      </c>
      <c r="B258" s="170" t="s">
        <v>312</v>
      </c>
      <c r="C258" s="166" t="s">
        <v>308</v>
      </c>
      <c r="D258" s="122">
        <v>98369905.200000003</v>
      </c>
      <c r="E258" s="120">
        <f t="shared" si="195"/>
        <v>5.4401611785849435E-3</v>
      </c>
      <c r="F258" s="116">
        <v>56.2</v>
      </c>
      <c r="G258" s="116">
        <v>56.4</v>
      </c>
      <c r="H258" s="121">
        <v>392</v>
      </c>
      <c r="I258" s="77">
        <v>0.1019</v>
      </c>
      <c r="J258" s="77">
        <v>0.49819999999999998</v>
      </c>
      <c r="K258" s="122">
        <v>99368034.620000005</v>
      </c>
      <c r="L258" s="120">
        <f t="shared" si="196"/>
        <v>5.4315330688506566E-3</v>
      </c>
      <c r="M258" s="116">
        <v>56.67</v>
      </c>
      <c r="N258" s="116">
        <v>56.87</v>
      </c>
      <c r="O258" s="121">
        <v>400</v>
      </c>
      <c r="P258" s="77">
        <v>-4.3099999999999999E-2</v>
      </c>
      <c r="Q258" s="77">
        <v>0</v>
      </c>
      <c r="R258" s="81">
        <f t="shared" si="197"/>
        <v>1.0146694946698004E-2</v>
      </c>
      <c r="S258" s="81">
        <f t="shared" si="198"/>
        <v>8.3333333333333141E-3</v>
      </c>
      <c r="T258" s="81">
        <f t="shared" si="199"/>
        <v>2.0408163265306121E-2</v>
      </c>
      <c r="U258" s="81">
        <f t="shared" si="200"/>
        <v>-0.14500000000000002</v>
      </c>
      <c r="V258" s="82">
        <f t="shared" si="201"/>
        <v>-0.49819999999999998</v>
      </c>
    </row>
    <row r="259" spans="1:26">
      <c r="A259" s="132"/>
      <c r="B259" s="132"/>
      <c r="C259" s="133" t="s">
        <v>313</v>
      </c>
      <c r="D259" s="115">
        <f>SUM(D247:D258)</f>
        <v>18082167415.780003</v>
      </c>
      <c r="E259" s="117"/>
      <c r="F259" s="117"/>
      <c r="G259" s="118"/>
      <c r="H259" s="115">
        <f>SUM(H247:H258)</f>
        <v>5907</v>
      </c>
      <c r="I259" s="126"/>
      <c r="J259" s="126"/>
      <c r="K259" s="115">
        <f>SUM(K247:K258)</f>
        <v>18294657026</v>
      </c>
      <c r="L259" s="117"/>
      <c r="M259" s="117"/>
      <c r="N259" s="118"/>
      <c r="O259" s="115">
        <f>SUM(O247:O258)</f>
        <v>5926</v>
      </c>
      <c r="P259" s="126"/>
      <c r="Q259" s="126"/>
      <c r="R259" s="81">
        <f t="shared" si="197"/>
        <v>1.175133518753738E-2</v>
      </c>
      <c r="S259" s="81" t="e">
        <f t="shared" si="198"/>
        <v>#DIV/0!</v>
      </c>
      <c r="T259" s="81">
        <f t="shared" si="199"/>
        <v>3.2165227695953951E-3</v>
      </c>
      <c r="U259" s="81">
        <f t="shared" si="200"/>
        <v>0</v>
      </c>
      <c r="V259" s="82">
        <f t="shared" si="201"/>
        <v>0</v>
      </c>
      <c r="Z259" s="90"/>
    </row>
    <row r="260" spans="1:26">
      <c r="A260" s="134"/>
      <c r="B260" s="134"/>
      <c r="C260" s="135" t="s">
        <v>314</v>
      </c>
      <c r="D260" s="136">
        <f>SUM(D231,D239,D244,D259)</f>
        <v>7857713409282.041</v>
      </c>
      <c r="E260" s="137"/>
      <c r="F260" s="137"/>
      <c r="G260" s="138"/>
      <c r="H260" s="136">
        <f>SUM(H231,H239,H244,H259)</f>
        <v>1106303</v>
      </c>
      <c r="I260" s="149"/>
      <c r="J260" s="149"/>
      <c r="K260" s="136">
        <f>SUM(K231,K239,K244,K259)</f>
        <v>7982883710044.1826</v>
      </c>
      <c r="L260" s="137"/>
      <c r="M260" s="137"/>
      <c r="N260" s="136"/>
      <c r="O260" s="136">
        <f>SUM(O231,O239,O244,O259)</f>
        <v>1120631</v>
      </c>
      <c r="P260" s="150"/>
      <c r="Q260" s="136"/>
      <c r="R260" s="154"/>
      <c r="S260" s="155"/>
      <c r="T260" s="155"/>
      <c r="U260" s="156"/>
      <c r="V260" s="156"/>
      <c r="Z260" s="90"/>
    </row>
    <row r="261" spans="1:26">
      <c r="A261" s="139" t="s">
        <v>315</v>
      </c>
      <c r="B261" s="140" t="s">
        <v>334</v>
      </c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</row>
    <row r="262" spans="1:26">
      <c r="B262" s="142"/>
    </row>
    <row r="263" spans="1:26">
      <c r="B263" s="142"/>
      <c r="C263" s="143"/>
      <c r="D263" s="144"/>
      <c r="K263" s="144"/>
    </row>
    <row r="264" spans="1:26" ht="15">
      <c r="B264" s="145"/>
      <c r="C264" s="146"/>
      <c r="D264" s="147"/>
      <c r="F264" s="148"/>
      <c r="G264" s="148"/>
      <c r="I264" s="151"/>
      <c r="J264" s="152"/>
    </row>
    <row r="265" spans="1:26">
      <c r="C265" s="142"/>
    </row>
    <row r="266" spans="1:26">
      <c r="K266" s="128"/>
    </row>
    <row r="267" spans="1:26">
      <c r="B267" s="143"/>
    </row>
    <row r="268" spans="1:26">
      <c r="K268" s="153"/>
    </row>
  </sheetData>
  <sheetProtection algorithmName="SHA-512" hashValue="vcHTJ87TlRfWMVEpLsUtdF9rrZovjiO3Hfj2dKHrSvKJNfm2jctMnHNB4kgflMx7eliPp45pAjA/afJRMzPiGw==" saltValue="BieK4uEjaJT2BSZ8Qyalx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3:V73"/>
    <mergeCell ref="A74:V74"/>
    <mergeCell ref="B115:V115"/>
    <mergeCell ref="A116:V116"/>
    <mergeCell ref="A117:V117"/>
    <mergeCell ref="B135:V135"/>
    <mergeCell ref="A136:V136"/>
    <mergeCell ref="B157:V157"/>
    <mergeCell ref="A158:V158"/>
    <mergeCell ref="B166:V166"/>
    <mergeCell ref="A167:V167"/>
    <mergeCell ref="B198:V198"/>
    <mergeCell ref="A199:V199"/>
    <mergeCell ref="B203:V203"/>
    <mergeCell ref="A204:V204"/>
    <mergeCell ref="A205:V205"/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H9" sqref="H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15"/>
      <c r="G1" s="15"/>
    </row>
    <row r="2" spans="1:7" ht="27.6">
      <c r="A2" s="30" t="s">
        <v>316</v>
      </c>
      <c r="B2" s="31" t="s">
        <v>335</v>
      </c>
      <c r="C2" s="31" t="s">
        <v>336</v>
      </c>
      <c r="D2" s="183"/>
      <c r="F2" s="15"/>
      <c r="G2" s="15"/>
    </row>
    <row r="3" spans="1:7">
      <c r="A3" s="32" t="s">
        <v>18</v>
      </c>
      <c r="B3" s="33">
        <f t="shared" ref="B3:C10" si="0">B13</f>
        <v>79.641660217847488</v>
      </c>
      <c r="C3" s="33">
        <f t="shared" si="0"/>
        <v>81.634147241387197</v>
      </c>
      <c r="D3" s="183"/>
      <c r="F3" s="15"/>
      <c r="G3" s="15"/>
    </row>
    <row r="4" spans="1:7" ht="15.6" customHeight="1">
      <c r="A4" s="30" t="s">
        <v>57</v>
      </c>
      <c r="B4" s="34">
        <f t="shared" si="0"/>
        <v>4744.967555037585</v>
      </c>
      <c r="C4" s="34">
        <f t="shared" si="0"/>
        <v>4861.6973217289278</v>
      </c>
      <c r="D4" s="183"/>
      <c r="F4" s="15"/>
      <c r="G4" s="15"/>
    </row>
    <row r="5" spans="1:7" ht="16.2" customHeight="1">
      <c r="A5" s="30" t="s">
        <v>317</v>
      </c>
      <c r="B5" s="33">
        <f t="shared" si="0"/>
        <v>237.25874210780859</v>
      </c>
      <c r="C5" s="33">
        <f t="shared" si="0"/>
        <v>241.49102191276637</v>
      </c>
      <c r="D5" s="183"/>
      <c r="F5" s="15"/>
      <c r="G5" s="15"/>
    </row>
    <row r="6" spans="1:7">
      <c r="A6" s="30" t="s">
        <v>175</v>
      </c>
      <c r="B6" s="34">
        <f t="shared" si="0"/>
        <v>1955.6987547865324</v>
      </c>
      <c r="C6" s="34">
        <f t="shared" si="0"/>
        <v>1957.3930435863615</v>
      </c>
      <c r="D6" s="183"/>
      <c r="F6" s="15"/>
      <c r="G6" s="15"/>
    </row>
    <row r="7" spans="1:7">
      <c r="A7" s="30" t="s">
        <v>318</v>
      </c>
      <c r="B7" s="33">
        <f t="shared" si="0"/>
        <v>483.05535330730521</v>
      </c>
      <c r="C7" s="33">
        <f t="shared" si="0"/>
        <v>482.86110028811964</v>
      </c>
      <c r="D7" s="183"/>
      <c r="F7" s="15"/>
      <c r="G7" s="15"/>
    </row>
    <row r="8" spans="1:7">
      <c r="A8" s="30" t="s">
        <v>221</v>
      </c>
      <c r="B8" s="35">
        <f t="shared" si="0"/>
        <v>83.513673347384341</v>
      </c>
      <c r="C8" s="35">
        <f t="shared" si="0"/>
        <v>84.098310043701247</v>
      </c>
      <c r="D8" s="183"/>
      <c r="F8" s="15"/>
      <c r="G8" s="15"/>
    </row>
    <row r="9" spans="1:7">
      <c r="A9" s="30" t="s">
        <v>253</v>
      </c>
      <c r="B9" s="33">
        <f t="shared" si="0"/>
        <v>8.1791709521100007</v>
      </c>
      <c r="C9" s="33">
        <f t="shared" si="0"/>
        <v>8.4530623198899999</v>
      </c>
      <c r="D9" s="183"/>
      <c r="F9" s="15"/>
      <c r="G9" s="15"/>
    </row>
    <row r="10" spans="1:7">
      <c r="A10" s="30" t="s">
        <v>319</v>
      </c>
      <c r="B10" s="33">
        <f t="shared" si="0"/>
        <v>80.120118418338848</v>
      </c>
      <c r="C10" s="33">
        <f t="shared" si="0"/>
        <v>79.754070467976177</v>
      </c>
      <c r="D10" s="183"/>
      <c r="F10" s="15"/>
      <c r="G10" s="15"/>
    </row>
    <row r="11" spans="1:7">
      <c r="A11" s="30" t="s">
        <v>286</v>
      </c>
      <c r="B11" s="33">
        <f>B21</f>
        <v>18.746896189527117</v>
      </c>
      <c r="C11" s="33">
        <f>C21</f>
        <v>18.740964878253337</v>
      </c>
      <c r="D11" s="183"/>
      <c r="F11" s="15"/>
      <c r="G11" s="15"/>
    </row>
    <row r="12" spans="1:7">
      <c r="F12" s="15"/>
      <c r="G12" s="15"/>
    </row>
    <row r="13" spans="1:7">
      <c r="A13" s="36" t="s">
        <v>18</v>
      </c>
      <c r="B13" s="37">
        <f>'Weekly Valuation'!D26/1000000000</f>
        <v>79.641660217847488</v>
      </c>
      <c r="C13" s="38">
        <f>'Weekly Valuation'!K26/1000000000</f>
        <v>81.634147241387197</v>
      </c>
      <c r="F13" s="15"/>
      <c r="G13" s="15"/>
    </row>
    <row r="14" spans="1:7">
      <c r="A14" s="39" t="s">
        <v>57</v>
      </c>
      <c r="B14" s="37">
        <f>'Weekly Valuation'!D72/1000000000</f>
        <v>4744.967555037585</v>
      </c>
      <c r="C14" s="40">
        <f>'Weekly Valuation'!K72/1000000000</f>
        <v>4861.6973217289278</v>
      </c>
      <c r="F14" s="15"/>
      <c r="G14" s="15"/>
    </row>
    <row r="15" spans="1:7">
      <c r="A15" s="39" t="s">
        <v>317</v>
      </c>
      <c r="B15" s="37">
        <f>'Weekly Valuation'!D114/1000000000</f>
        <v>237.25874210780859</v>
      </c>
      <c r="C15" s="38">
        <f>'Weekly Valuation'!K114/1000000000</f>
        <v>241.49102191276637</v>
      </c>
      <c r="F15" s="15"/>
      <c r="G15" s="15"/>
    </row>
    <row r="16" spans="1:7">
      <c r="A16" s="39" t="s">
        <v>175</v>
      </c>
      <c r="B16" s="37">
        <f>'Weekly Valuation'!D156/1000000000</f>
        <v>1955.6987547865324</v>
      </c>
      <c r="C16" s="40">
        <f>'Weekly Valuation'!K156/1000000000</f>
        <v>1957.3930435863615</v>
      </c>
      <c r="F16" s="15"/>
      <c r="G16" s="15"/>
    </row>
    <row r="17" spans="1:7">
      <c r="A17" s="39" t="s">
        <v>318</v>
      </c>
      <c r="B17" s="37">
        <f>'Weekly Valuation'!D165/1000000000</f>
        <v>483.05535330730521</v>
      </c>
      <c r="C17" s="38">
        <f>'Weekly Valuation'!K165/1000000000</f>
        <v>482.86110028811964</v>
      </c>
      <c r="F17" s="15"/>
      <c r="G17" s="15"/>
    </row>
    <row r="18" spans="1:7">
      <c r="A18" s="39" t="s">
        <v>221</v>
      </c>
      <c r="B18" s="37">
        <f>'Weekly Valuation'!D197/1000000000</f>
        <v>83.513673347384341</v>
      </c>
      <c r="C18" s="41">
        <f>'Weekly Valuation'!K197/1000000000</f>
        <v>84.098310043701247</v>
      </c>
      <c r="F18" s="15"/>
      <c r="G18" s="15"/>
    </row>
    <row r="19" spans="1:7">
      <c r="A19" s="39" t="s">
        <v>253</v>
      </c>
      <c r="B19" s="37">
        <f>'Weekly Valuation'!D202/1000000000</f>
        <v>8.1791709521100007</v>
      </c>
      <c r="C19" s="38">
        <f>'Weekly Valuation'!K202/1000000000</f>
        <v>8.4530623198899999</v>
      </c>
      <c r="F19" s="15"/>
      <c r="G19" s="15"/>
    </row>
    <row r="20" spans="1:7">
      <c r="A20" s="39" t="s">
        <v>319</v>
      </c>
      <c r="B20" s="37">
        <f>'Weekly Valuation'!D230/1000000000</f>
        <v>80.120118418338848</v>
      </c>
      <c r="C20" s="38">
        <f>'Weekly Valuation'!K230/1000000000</f>
        <v>79.754070467976177</v>
      </c>
      <c r="F20" s="15"/>
      <c r="G20" s="15"/>
    </row>
    <row r="21" spans="1:7">
      <c r="A21" s="39" t="s">
        <v>286</v>
      </c>
      <c r="B21" s="37">
        <f>'Weekly Valuation'!D239/1000000000</f>
        <v>18.746896189527117</v>
      </c>
      <c r="C21" s="38">
        <f>'Weekly Valuation'!K239/1000000000</f>
        <v>18.740964878253337</v>
      </c>
      <c r="F21" s="15"/>
      <c r="G21" s="15"/>
    </row>
    <row r="22" spans="1:7">
      <c r="A22" s="28"/>
      <c r="C22" s="26"/>
      <c r="F22" s="15"/>
      <c r="G22" s="15"/>
    </row>
    <row r="23" spans="1:7">
      <c r="A23" s="28"/>
      <c r="B23" s="26"/>
      <c r="C23" s="27"/>
      <c r="F23" s="15"/>
      <c r="G23" s="15"/>
    </row>
    <row r="24" spans="1:7">
      <c r="A24" s="28"/>
      <c r="B24" s="26"/>
      <c r="C24" s="26"/>
      <c r="F24" s="15"/>
      <c r="G24" s="15"/>
    </row>
    <row r="25" spans="1:7">
      <c r="A25" s="28"/>
      <c r="B25" s="26"/>
      <c r="C25" s="26"/>
      <c r="F25" s="15"/>
      <c r="G25" s="15"/>
    </row>
    <row r="26" spans="1:7">
      <c r="A26" s="167"/>
      <c r="B26" s="169"/>
      <c r="C26" s="169"/>
      <c r="D26" s="15"/>
      <c r="E26" s="15"/>
      <c r="F26" s="15"/>
      <c r="G26" s="15"/>
    </row>
    <row r="27" spans="1:7">
      <c r="A27" s="167"/>
      <c r="B27" s="169"/>
      <c r="C27" s="169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db4CI/HmBCT26RvVhCRYY6UULleW5/w3453zmSwB4SjQNIUz3J5zYx+IooUpaWNmxQBKCG8Mxly7P+KNcWfDRw==" saltValue="RhVeIyVBKVwSk3ZeejrCX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H13" sqref="H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84" t="s">
        <v>316</v>
      </c>
      <c r="B1" s="185">
        <v>46024</v>
      </c>
      <c r="C1" s="186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87" t="s">
        <v>253</v>
      </c>
      <c r="B2" s="26">
        <f>'Weekly Valuation'!K202</f>
        <v>8453062319.8899994</v>
      </c>
      <c r="C2" s="186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87" t="s">
        <v>286</v>
      </c>
      <c r="B3" s="26">
        <f>'Weekly Valuation'!K239</f>
        <v>18740964878.253338</v>
      </c>
      <c r="C3" s="186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87" t="s">
        <v>18</v>
      </c>
      <c r="B4" s="26">
        <f>'Weekly Valuation'!K26</f>
        <v>81634147241.387192</v>
      </c>
      <c r="C4" s="186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87" t="s">
        <v>319</v>
      </c>
      <c r="B5" s="27">
        <f>'Weekly Valuation'!K230</f>
        <v>79754070467.976181</v>
      </c>
      <c r="C5" s="186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87" t="s">
        <v>221</v>
      </c>
      <c r="B6" s="26">
        <f>'Weekly Valuation'!K197</f>
        <v>84098310043.701248</v>
      </c>
      <c r="C6" s="186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87" t="s">
        <v>318</v>
      </c>
      <c r="B7" s="26">
        <f>'Weekly Valuation'!K165</f>
        <v>482861100288.11963</v>
      </c>
      <c r="C7" s="186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87" t="s">
        <v>317</v>
      </c>
      <c r="B8" s="26">
        <f>'Weekly Valuation'!K114</f>
        <v>241491021912.76636</v>
      </c>
      <c r="C8" s="186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87" t="s">
        <v>175</v>
      </c>
      <c r="B9" s="188">
        <f>'Weekly Valuation'!K156</f>
        <v>1957393043586.3616</v>
      </c>
      <c r="C9" s="186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87" t="s">
        <v>57</v>
      </c>
      <c r="B10" s="188">
        <f>'Weekly Valuation'!K72</f>
        <v>4861697321728.9277</v>
      </c>
      <c r="C10" s="186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86"/>
      <c r="B11" s="186"/>
      <c r="C11" s="186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87"/>
      <c r="B12" s="189"/>
      <c r="C12" s="186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87"/>
      <c r="B13" s="186"/>
      <c r="C13" s="186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6"/>
      <c r="B14" s="26"/>
      <c r="C14" s="186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6"/>
      <c r="B15" s="26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8"/>
      <c r="B16" s="27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26"/>
      <c r="B17" s="26"/>
      <c r="C17" s="20"/>
      <c r="D17" s="20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26"/>
      <c r="B18" s="26"/>
      <c r="C18" s="20"/>
      <c r="D18" s="20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88"/>
      <c r="B19" s="26"/>
      <c r="C19" s="20"/>
      <c r="D19" s="20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68"/>
      <c r="B20" s="16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68"/>
      <c r="B21" s="16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67"/>
      <c r="B22" s="16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6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00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9"/>
    </row>
    <row r="34" spans="1:17" ht="15" customHeight="1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9"/>
    </row>
  </sheetData>
  <sheetProtection algorithmName="SHA-512" hashValue="KppKTRpoE4mEiiMej4gKA3N5/5YNumF1pK1kMKPIp+D4OdWlGgMfet/vyD5KbaQ/DYRd8hTLTeA47tym6yYRjg==" saltValue="64JSRHVAnOlN9nqWR9hxV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N17"/>
  <sheetViews>
    <sheetView topLeftCell="C1" zoomScale="110" zoomScaleNormal="110" workbookViewId="0">
      <selection activeCell="H10" sqref="H10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4">
      <c r="A1" s="15"/>
      <c r="B1" s="15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5"/>
    </row>
    <row r="2" spans="1:14">
      <c r="A2" s="179" t="s">
        <v>320</v>
      </c>
      <c r="B2" s="180">
        <v>45975</v>
      </c>
      <c r="C2" s="22">
        <v>45982</v>
      </c>
      <c r="D2" s="22">
        <v>45989</v>
      </c>
      <c r="E2" s="22">
        <v>45996</v>
      </c>
      <c r="F2" s="22">
        <v>46003</v>
      </c>
      <c r="G2" s="22">
        <v>46010</v>
      </c>
      <c r="H2" s="22">
        <v>46015</v>
      </c>
      <c r="I2" s="22">
        <v>46024</v>
      </c>
      <c r="J2" s="20"/>
      <c r="K2" s="20"/>
      <c r="L2" s="20"/>
      <c r="M2" s="20"/>
      <c r="N2" s="15"/>
    </row>
    <row r="3" spans="1:14">
      <c r="A3" s="179" t="s">
        <v>321</v>
      </c>
      <c r="B3" s="181">
        <f t="shared" ref="B3:I3" si="0">B4</f>
        <v>7224.9660672128502</v>
      </c>
      <c r="C3" s="23">
        <f t="shared" si="0"/>
        <v>7259.9310118544208</v>
      </c>
      <c r="D3" s="23">
        <f t="shared" si="0"/>
        <v>7416.5411604761439</v>
      </c>
      <c r="E3" s="23">
        <f t="shared" si="0"/>
        <v>7473.2757425151976</v>
      </c>
      <c r="F3" s="23">
        <f t="shared" si="0"/>
        <v>7522.4259502457116</v>
      </c>
      <c r="G3" s="23">
        <f t="shared" si="0"/>
        <v>7603.1851114640458</v>
      </c>
      <c r="H3" s="23">
        <f t="shared" si="0"/>
        <v>7672.435028174913</v>
      </c>
      <c r="I3" s="23">
        <f t="shared" si="0"/>
        <v>7816.1230424673831</v>
      </c>
      <c r="J3" s="20"/>
      <c r="K3" s="20"/>
      <c r="L3" s="20"/>
      <c r="M3" s="20"/>
      <c r="N3" s="15"/>
    </row>
    <row r="4" spans="1:14">
      <c r="A4" s="15"/>
      <c r="B4" s="182">
        <f>'NAV Trend'!C11/1000000000</f>
        <v>7224.9660672128502</v>
      </c>
      <c r="C4" s="24">
        <f>'NAV Trend'!D11/1000000000</f>
        <v>7259.9310118544208</v>
      </c>
      <c r="D4" s="24">
        <f>'NAV Trend'!E11/1000000000</f>
        <v>7416.5411604761439</v>
      </c>
      <c r="E4" s="24">
        <f>'NAV Trend'!F11/1000000000</f>
        <v>7473.2757425151976</v>
      </c>
      <c r="F4" s="24">
        <f>'NAV Trend'!G11/1000000000</f>
        <v>7522.4259502457116</v>
      </c>
      <c r="G4" s="24">
        <f>'NAV Trend'!H11/1000000000</f>
        <v>7603.1851114640458</v>
      </c>
      <c r="H4" s="25">
        <f>'NAV Trend'!I11/1000000000</f>
        <v>7672.435028174913</v>
      </c>
      <c r="I4" s="25">
        <f>'NAV Trend'!J11/1000000000</f>
        <v>7816.1230424673831</v>
      </c>
      <c r="J4" s="20"/>
      <c r="K4" s="20"/>
      <c r="L4" s="20"/>
      <c r="M4" s="20"/>
      <c r="N4" s="15"/>
    </row>
    <row r="5" spans="1:14">
      <c r="A5" s="15"/>
      <c r="B5" s="15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</row>
    <row r="6" spans="1:14">
      <c r="A6" s="15"/>
      <c r="B6" s="15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7YiLnKo1rxtBKB3dAley5q6UllKwbt8jpqKoeFhL3x6Go8Ac2Z6y05IOPwIfRDxWOIzSGtpyBSiFFvdvZEgXDg==" saltValue="QP/NyO0dPcaI5c/66m4Mo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G9" sqref="G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"/>
      <c r="P1" s="160"/>
    </row>
    <row r="2" spans="1:16">
      <c r="A2" s="21" t="s">
        <v>320</v>
      </c>
      <c r="B2" s="22">
        <v>45975</v>
      </c>
      <c r="C2" s="22">
        <v>45982</v>
      </c>
      <c r="D2" s="22">
        <v>45989</v>
      </c>
      <c r="E2" s="22">
        <v>45996</v>
      </c>
      <c r="F2" s="22">
        <v>46003</v>
      </c>
      <c r="G2" s="22">
        <v>46010</v>
      </c>
      <c r="H2" s="22">
        <v>46015</v>
      </c>
      <c r="I2" s="22">
        <v>46024</v>
      </c>
      <c r="J2" s="20"/>
      <c r="K2" s="15"/>
      <c r="L2" s="15"/>
      <c r="M2" s="15"/>
      <c r="N2" s="15"/>
      <c r="O2" s="15"/>
      <c r="P2" s="160"/>
    </row>
    <row r="3" spans="1:16">
      <c r="A3" s="21" t="s">
        <v>322</v>
      </c>
      <c r="B3" s="23">
        <f t="shared" ref="B3:I3" si="0">B4</f>
        <v>17.29912062779</v>
      </c>
      <c r="C3" s="23">
        <f t="shared" si="0"/>
        <v>16.915814556049998</v>
      </c>
      <c r="D3" s="23">
        <f t="shared" si="0"/>
        <v>16.97292700869</v>
      </c>
      <c r="E3" s="23">
        <f t="shared" si="0"/>
        <v>17.413222879320003</v>
      </c>
      <c r="F3" s="23">
        <f t="shared" si="0"/>
        <v>17.682838809310002</v>
      </c>
      <c r="G3" s="23">
        <f t="shared" si="0"/>
        <v>17.94056485019</v>
      </c>
      <c r="H3" s="23">
        <f t="shared" si="0"/>
        <v>18.082167415780003</v>
      </c>
      <c r="I3" s="23">
        <f t="shared" si="0"/>
        <v>18.294657025999999</v>
      </c>
      <c r="J3" s="20"/>
      <c r="K3" s="15"/>
      <c r="L3" s="15"/>
      <c r="M3" s="15"/>
      <c r="N3" s="15"/>
      <c r="O3" s="15"/>
      <c r="P3" s="160"/>
    </row>
    <row r="4" spans="1:16">
      <c r="A4" s="20"/>
      <c r="B4" s="24">
        <f>'NAV Trend'!C17/1000000000</f>
        <v>17.29912062779</v>
      </c>
      <c r="C4" s="24">
        <f>'NAV Trend'!D17/1000000000</f>
        <v>16.915814556049998</v>
      </c>
      <c r="D4" s="24">
        <f>'NAV Trend'!E17/1000000000</f>
        <v>16.97292700869</v>
      </c>
      <c r="E4" s="24">
        <f>'NAV Trend'!F17/1000000000</f>
        <v>17.413222879320003</v>
      </c>
      <c r="F4" s="24">
        <f>'NAV Trend'!G17/1000000000</f>
        <v>17.682838809310002</v>
      </c>
      <c r="G4" s="24">
        <f>'NAV Trend'!H17/1000000000</f>
        <v>17.94056485019</v>
      </c>
      <c r="H4" s="24">
        <f>'NAV Trend'!I17/1000000000</f>
        <v>18.082167415780003</v>
      </c>
      <c r="I4" s="25">
        <f>'NAV Trend'!J17/1000000000</f>
        <v>18.294657025999999</v>
      </c>
      <c r="J4" s="20"/>
      <c r="K4" s="15"/>
      <c r="L4" s="15"/>
      <c r="M4" s="15"/>
      <c r="N4" s="15"/>
      <c r="O4" s="15"/>
      <c r="P4" s="160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"/>
      <c r="P5" s="160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58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8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8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8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8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8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8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8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8"/>
    </row>
    <row r="18" spans="1: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spans="1: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pans="1: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</sheetData>
  <sheetProtection algorithmName="SHA-512" hashValue="wLETXrMfD0ormnZqU7bJui0kEgst19JBlveYaRzL5ptehXrq75cNH+su0Ziwj+3iWvGTFgstYjE8fp48PCzFyw==" saltValue="//50SHw5Kz8M2JQh4d15c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G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316</v>
      </c>
      <c r="B1" s="2">
        <v>45968</v>
      </c>
      <c r="C1" s="2">
        <v>45975</v>
      </c>
      <c r="D1" s="2">
        <v>45982</v>
      </c>
      <c r="E1" s="2">
        <v>45989</v>
      </c>
      <c r="F1" s="2">
        <v>45996</v>
      </c>
      <c r="G1" s="2">
        <v>46003</v>
      </c>
      <c r="H1" s="2">
        <v>46010</v>
      </c>
      <c r="I1" s="2">
        <v>46015</v>
      </c>
      <c r="J1" s="2">
        <v>46024</v>
      </c>
    </row>
    <row r="2" spans="1:11">
      <c r="A2" s="3" t="s">
        <v>18</v>
      </c>
      <c r="B2" s="4">
        <v>77622970040.713501</v>
      </c>
      <c r="C2" s="4">
        <v>77103229577.115402</v>
      </c>
      <c r="D2" s="4">
        <v>76470658139.095398</v>
      </c>
      <c r="E2" s="4">
        <v>76454466515.944092</v>
      </c>
      <c r="F2" s="4">
        <v>78401377862.474701</v>
      </c>
      <c r="G2" s="4">
        <v>78447194943.245102</v>
      </c>
      <c r="H2" s="4">
        <v>79735701358.92749</v>
      </c>
      <c r="I2" s="4">
        <v>79641660217.847488</v>
      </c>
      <c r="J2" s="4">
        <v>81634147241.387192</v>
      </c>
    </row>
    <row r="3" spans="1:11">
      <c r="A3" s="3" t="s">
        <v>57</v>
      </c>
      <c r="B3" s="4">
        <v>4392378656476.5811</v>
      </c>
      <c r="C3" s="4">
        <v>4459546758095.3066</v>
      </c>
      <c r="D3" s="4">
        <v>4500562998487.0645</v>
      </c>
      <c r="E3" s="4">
        <v>4552330092438.3486</v>
      </c>
      <c r="F3" s="4">
        <v>4598078276116.3418</v>
      </c>
      <c r="G3" s="4">
        <v>4642448189370.7549</v>
      </c>
      <c r="H3" s="4">
        <v>4678050109959.2363</v>
      </c>
      <c r="I3" s="4">
        <v>4744967555037.585</v>
      </c>
      <c r="J3" s="4">
        <v>4861697321728.9277</v>
      </c>
    </row>
    <row r="4" spans="1:11">
      <c r="A4" s="3" t="s">
        <v>317</v>
      </c>
      <c r="B4" s="5">
        <v>243268463507.48514</v>
      </c>
      <c r="C4" s="5">
        <v>244019694006.9003</v>
      </c>
      <c r="D4" s="5">
        <v>242652780469.49625</v>
      </c>
      <c r="E4" s="5">
        <v>243665972654.49658</v>
      </c>
      <c r="F4" s="5">
        <v>239569435821.11508</v>
      </c>
      <c r="G4" s="5">
        <v>238896018902.52338</v>
      </c>
      <c r="H4" s="5">
        <v>238340225253.66324</v>
      </c>
      <c r="I4" s="5">
        <v>237258742107.80859</v>
      </c>
      <c r="J4" s="5">
        <v>241491021912.76636</v>
      </c>
    </row>
    <row r="5" spans="1:11">
      <c r="A5" s="3" t="s">
        <v>175</v>
      </c>
      <c r="B5" s="4">
        <v>1911276570182.48</v>
      </c>
      <c r="C5" s="4">
        <v>1910381884325.9756</v>
      </c>
      <c r="D5" s="4">
        <v>1905477703934.2476</v>
      </c>
      <c r="E5" s="4">
        <v>1901028302593.2881</v>
      </c>
      <c r="F5" s="4">
        <v>1910113273501.6394</v>
      </c>
      <c r="G5" s="4">
        <v>1912273958134.9629</v>
      </c>
      <c r="H5" s="4">
        <v>1954262527494.0337</v>
      </c>
      <c r="I5" s="4">
        <v>1955698754786.5325</v>
      </c>
      <c r="J5" s="4">
        <v>1957393043586.3616</v>
      </c>
    </row>
    <row r="6" spans="1:11">
      <c r="A6" s="3" t="s">
        <v>318</v>
      </c>
      <c r="B6" s="5">
        <v>371321637298.57227</v>
      </c>
      <c r="C6" s="5">
        <v>372265278550.55267</v>
      </c>
      <c r="D6" s="5">
        <v>372914421521.18774</v>
      </c>
      <c r="E6" s="5">
        <v>480118186812.3526</v>
      </c>
      <c r="F6" s="5">
        <v>480962390405.30359</v>
      </c>
      <c r="G6" s="5">
        <v>481599355727.08673</v>
      </c>
      <c r="H6" s="5">
        <v>482352533334.53674</v>
      </c>
      <c r="I6" s="5">
        <v>483055353307.30524</v>
      </c>
      <c r="J6" s="5">
        <v>482861100288.11963</v>
      </c>
    </row>
    <row r="7" spans="1:11">
      <c r="A7" s="3" t="s">
        <v>221</v>
      </c>
      <c r="B7" s="7">
        <v>79917304669.356689</v>
      </c>
      <c r="C7" s="7">
        <v>79959427590.508118</v>
      </c>
      <c r="D7" s="7">
        <v>80018041766.047272</v>
      </c>
      <c r="E7" s="7">
        <v>80347740959.834061</v>
      </c>
      <c r="F7" s="7">
        <v>82072736373.0802</v>
      </c>
      <c r="G7" s="7">
        <v>83138604455.992661</v>
      </c>
      <c r="H7" s="7">
        <v>83857951344.08696</v>
      </c>
      <c r="I7" s="7">
        <v>83513673347.384338</v>
      </c>
      <c r="J7" s="7">
        <v>84098310043.701248</v>
      </c>
    </row>
    <row r="8" spans="1:11">
      <c r="A8" s="3" t="s">
        <v>253</v>
      </c>
      <c r="B8" s="6">
        <v>8328680558.7600002</v>
      </c>
      <c r="C8" s="6">
        <v>8317694966.6799994</v>
      </c>
      <c r="D8" s="6">
        <v>8122250716.4000006</v>
      </c>
      <c r="E8" s="6">
        <v>8137410105.1800003</v>
      </c>
      <c r="F8" s="6">
        <v>8269417847.3099995</v>
      </c>
      <c r="G8" s="6">
        <v>8345728599.1300001</v>
      </c>
      <c r="H8" s="6">
        <v>8322821216.8900003</v>
      </c>
      <c r="I8" s="6">
        <v>8179170952.1100006</v>
      </c>
      <c r="J8" s="6">
        <v>8453062319.8899994</v>
      </c>
    </row>
    <row r="9" spans="1:11">
      <c r="A9" s="3" t="s">
        <v>319</v>
      </c>
      <c r="B9" s="6">
        <v>73208194782.318939</v>
      </c>
      <c r="C9" s="6">
        <v>73372100099.812561</v>
      </c>
      <c r="D9" s="6">
        <v>73712156820.88179</v>
      </c>
      <c r="E9" s="6">
        <v>74458988396.700394</v>
      </c>
      <c r="F9" s="6">
        <v>75808834587.932678</v>
      </c>
      <c r="G9" s="6">
        <v>77276900112.016632</v>
      </c>
      <c r="H9" s="6">
        <v>78263241502.671127</v>
      </c>
      <c r="I9" s="6">
        <v>80120118418.338852</v>
      </c>
      <c r="J9" s="6">
        <v>79754070467.976181</v>
      </c>
    </row>
    <row r="10" spans="1:11">
      <c r="A10" s="3" t="s">
        <v>286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18740964878.253338</v>
      </c>
    </row>
    <row r="11" spans="1:11" ht="15.6">
      <c r="A11" s="8" t="s">
        <v>323</v>
      </c>
      <c r="B11" s="9">
        <f t="shared" ref="B11:I11" si="0">SUM(B2:B9)</f>
        <v>7157322477516.2676</v>
      </c>
      <c r="C11" s="9">
        <f t="shared" si="0"/>
        <v>7224966067212.8506</v>
      </c>
      <c r="D11" s="9">
        <f t="shared" si="0"/>
        <v>7259931011854.4209</v>
      </c>
      <c r="E11" s="9">
        <f t="shared" si="0"/>
        <v>7416541160476.1436</v>
      </c>
      <c r="F11" s="9">
        <f t="shared" si="0"/>
        <v>7473275742515.1973</v>
      </c>
      <c r="G11" s="9">
        <f t="shared" si="0"/>
        <v>7522425950245.7119</v>
      </c>
      <c r="H11" s="9">
        <f t="shared" si="0"/>
        <v>7603185111464.0459</v>
      </c>
      <c r="I11" s="9">
        <f t="shared" si="0"/>
        <v>7672435028174.9131</v>
      </c>
      <c r="J11" s="9">
        <f>SUM(J2:J10)</f>
        <v>7816123042467.3828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324</v>
      </c>
      <c r="B13" s="157" t="s">
        <v>325</v>
      </c>
      <c r="C13" s="13">
        <f>(B11+C11)/2</f>
        <v>7191144272364.5586</v>
      </c>
      <c r="D13" s="14">
        <f t="shared" ref="D13:J13" si="1">(C11+D11)/2</f>
        <v>7242448539533.6357</v>
      </c>
      <c r="E13" s="14">
        <f t="shared" si="1"/>
        <v>7338236086165.2822</v>
      </c>
      <c r="F13" s="14">
        <f t="shared" si="1"/>
        <v>7444908451495.6699</v>
      </c>
      <c r="G13" s="14">
        <f t="shared" si="1"/>
        <v>7497850846380.4551</v>
      </c>
      <c r="H13" s="14">
        <f t="shared" si="1"/>
        <v>7562805530854.8789</v>
      </c>
      <c r="I13" s="14">
        <f t="shared" si="1"/>
        <v>7637810069819.4795</v>
      </c>
      <c r="J13" s="14">
        <f t="shared" si="1"/>
        <v>7744279035321.1484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A16" s="15"/>
      <c r="B16" s="2">
        <v>45968</v>
      </c>
      <c r="C16" s="2">
        <v>45975</v>
      </c>
      <c r="D16" s="2">
        <v>45982</v>
      </c>
      <c r="E16" s="2">
        <v>45989</v>
      </c>
      <c r="F16" s="2">
        <v>45996</v>
      </c>
      <c r="G16" s="2">
        <v>46003</v>
      </c>
      <c r="H16" s="2">
        <v>46010</v>
      </c>
      <c r="I16" s="2">
        <v>46015</v>
      </c>
      <c r="J16" s="2">
        <v>46024</v>
      </c>
      <c r="K16" s="15"/>
    </row>
    <row r="17" spans="1:11">
      <c r="A17" s="16" t="s">
        <v>326</v>
      </c>
      <c r="B17" s="17">
        <v>17390304867.240002</v>
      </c>
      <c r="C17" s="17">
        <v>17299120627.790001</v>
      </c>
      <c r="D17" s="17">
        <v>16915814556.049999</v>
      </c>
      <c r="E17" s="17">
        <v>16972927008.689999</v>
      </c>
      <c r="F17" s="17">
        <v>17413222879.320004</v>
      </c>
      <c r="G17" s="17">
        <v>17682838809.310001</v>
      </c>
      <c r="H17" s="17">
        <v>17940564850.189999</v>
      </c>
      <c r="I17" s="17">
        <v>18082167415.780003</v>
      </c>
      <c r="J17" s="17">
        <v>18294657026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ziIOHIGIMcodQxwMNqTXkwVa8vrLcmZtfjo/5Tvto7vwo8j8xTvEctNue7yOpjSQOtp7mtWNalQwcE7rVJOiKg==" saltValue="DuHjTSDXlkl7JVBF7buFa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2026-02-03T16:17:56Z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